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defaultThemeVersion="124226"/>
  <bookViews>
    <workbookView xWindow="240" yWindow="165" windowWidth="14805" windowHeight="7950"/>
  </bookViews>
  <sheets>
    <sheet name="overall spend by category" sheetId="24" r:id="rId1"/>
    <sheet name="overall spend by department" sheetId="25" r:id="rId2"/>
    <sheet name="spend by department and outcome" sheetId="26" r:id="rId3"/>
    <sheet name="Flint Water Exp &amp; Act Track" sheetId="17" r:id="rId4"/>
  </sheets>
  <externalReferences>
    <externalReference r:id="rId5"/>
    <externalReference r:id="rId6"/>
  </externalReferences>
  <definedNames>
    <definedName name="_xlnm._FilterDatabase" localSheetId="3" hidden="1">'Flint Water Exp &amp; Act Track'!$A$7:$T$165</definedName>
    <definedName name="Contract" localSheetId="3">#REF!</definedName>
    <definedName name="Contract">#REF!</definedName>
    <definedName name="ExpType" localSheetId="3">#REF!</definedName>
    <definedName name="ExpType">#REF!</definedName>
    <definedName name="_xlnm.Print_Area" localSheetId="3">'Flint Water Exp &amp; Act Track'!$A$1:$S$213</definedName>
    <definedName name="_xlnm.Print_Area" localSheetId="1">'overall spend by department'!$A$2:$I$42</definedName>
    <definedName name="_xlnm.Print_Titles" localSheetId="3">'Flint Water Exp &amp; Act Track'!$1:$7</definedName>
    <definedName name="_xlnm.Print_Titles" localSheetId="2">'spend by department and outcome'!$1:$2</definedName>
    <definedName name="Purchase_of_bottled_water__faucet_filters__and_water_mounts" localSheetId="3">'Flint Water Exp &amp; Act Track'!$F$8:$F$8</definedName>
    <definedName name="SEOC" localSheetId="3">#REF!</definedName>
    <definedName name="SEOC">#REF!</definedName>
  </definedNames>
  <calcPr calcId="152511"/>
</workbook>
</file>

<file path=xl/calcChain.xml><?xml version="1.0" encoding="utf-8"?>
<calcChain xmlns="http://schemas.openxmlformats.org/spreadsheetml/2006/main">
  <c r="A108" i="17" l="1"/>
  <c r="I70" i="26" l="1"/>
  <c r="I38" i="26"/>
  <c r="I18" i="26"/>
  <c r="O164" i="17"/>
  <c r="O163" i="17"/>
  <c r="O162" i="17"/>
  <c r="O161" i="17"/>
  <c r="O160" i="17"/>
  <c r="O159" i="17"/>
  <c r="O158" i="17"/>
  <c r="O157" i="17"/>
  <c r="O156" i="17"/>
  <c r="O153" i="17"/>
  <c r="O152" i="17"/>
  <c r="O151" i="17"/>
  <c r="O150" i="17"/>
  <c r="O149" i="17"/>
  <c r="O147" i="17"/>
  <c r="O146" i="17"/>
  <c r="O145" i="17"/>
  <c r="O144" i="17"/>
  <c r="O143" i="17"/>
  <c r="O142" i="17"/>
  <c r="O141" i="17"/>
  <c r="O140" i="17"/>
  <c r="O139" i="17"/>
  <c r="O138" i="17"/>
  <c r="O137" i="17"/>
  <c r="O136" i="17"/>
  <c r="O135" i="17"/>
  <c r="O134" i="17"/>
  <c r="O133" i="17"/>
  <c r="O132" i="17"/>
  <c r="O131" i="17"/>
  <c r="O130" i="17"/>
  <c r="O129" i="17"/>
  <c r="O128" i="17"/>
  <c r="O126" i="17"/>
  <c r="O125" i="17"/>
  <c r="O123" i="17"/>
  <c r="O114" i="17"/>
  <c r="O113" i="17"/>
  <c r="O110" i="17"/>
  <c r="O108" i="17"/>
  <c r="O107" i="17"/>
  <c r="O102" i="17"/>
  <c r="O101" i="17"/>
  <c r="O100" i="17"/>
  <c r="O99" i="17"/>
  <c r="O98" i="17"/>
  <c r="O97" i="17"/>
  <c r="O96" i="17"/>
  <c r="O85" i="17"/>
  <c r="O74" i="17"/>
  <c r="O73" i="17"/>
  <c r="O72" i="17"/>
  <c r="O71" i="17"/>
  <c r="O70" i="17"/>
  <c r="O69" i="17"/>
  <c r="O68" i="17"/>
  <c r="O54" i="17"/>
  <c r="O53" i="17"/>
  <c r="O36" i="17"/>
  <c r="O35" i="17"/>
  <c r="O25" i="17"/>
  <c r="O21" i="17"/>
  <c r="O17" i="17"/>
  <c r="O16" i="17"/>
  <c r="O15" i="17"/>
  <c r="O14" i="17"/>
  <c r="O13" i="17"/>
  <c r="O11" i="17"/>
  <c r="O10" i="17"/>
  <c r="O9" i="17"/>
  <c r="L164" i="17"/>
  <c r="L162" i="17"/>
  <c r="L161" i="17"/>
  <c r="L159" i="17"/>
  <c r="L158" i="17"/>
  <c r="L157" i="17"/>
  <c r="L156" i="17"/>
  <c r="L155" i="17"/>
  <c r="L154" i="17"/>
  <c r="L153" i="17"/>
  <c r="L152" i="17"/>
  <c r="L151" i="17"/>
  <c r="L150" i="17"/>
  <c r="L149" i="17"/>
  <c r="L148" i="17"/>
  <c r="L147" i="17"/>
  <c r="L146" i="17"/>
  <c r="L145" i="17"/>
  <c r="L144" i="17"/>
  <c r="L143" i="17"/>
  <c r="L142" i="17"/>
  <c r="L141" i="17"/>
  <c r="L140" i="17"/>
  <c r="L138" i="17"/>
  <c r="L137" i="17"/>
  <c r="L135" i="17"/>
  <c r="L134" i="17"/>
  <c r="L133" i="17"/>
  <c r="L131" i="17"/>
  <c r="L130" i="17"/>
  <c r="L128" i="17"/>
  <c r="L127" i="17"/>
  <c r="L126" i="17"/>
  <c r="L124" i="17"/>
  <c r="L123" i="17"/>
  <c r="L122" i="17"/>
  <c r="L121" i="17"/>
  <c r="L120" i="17"/>
  <c r="L119" i="17"/>
  <c r="L118" i="17"/>
  <c r="L117" i="17"/>
  <c r="L115" i="17"/>
  <c r="L114" i="17"/>
  <c r="L113" i="17"/>
  <c r="L112" i="17"/>
  <c r="L111" i="17"/>
  <c r="L110" i="17"/>
  <c r="L109" i="17"/>
  <c r="L107" i="17"/>
  <c r="L106" i="17"/>
  <c r="L105" i="17"/>
  <c r="L104" i="17"/>
  <c r="L103" i="17"/>
  <c r="L102" i="17"/>
  <c r="L101" i="17"/>
  <c r="L100" i="17"/>
  <c r="L99" i="17"/>
  <c r="L98" i="17"/>
  <c r="L97" i="17"/>
  <c r="L96" i="17"/>
  <c r="L95" i="17"/>
  <c r="L94" i="17"/>
  <c r="L93" i="17"/>
  <c r="L92" i="17"/>
  <c r="L91" i="17"/>
  <c r="L90" i="17"/>
  <c r="L89" i="17"/>
  <c r="L88" i="17"/>
  <c r="L87" i="17"/>
  <c r="L86" i="17"/>
  <c r="L85" i="17"/>
  <c r="L84" i="17"/>
  <c r="L83" i="17"/>
  <c r="L82" i="17"/>
  <c r="L81" i="17"/>
  <c r="L80" i="17"/>
  <c r="L78" i="17"/>
  <c r="L77" i="17"/>
  <c r="L76" i="17"/>
  <c r="L75" i="17"/>
  <c r="L74" i="17"/>
  <c r="L73" i="17"/>
  <c r="L71" i="17"/>
  <c r="L70" i="17"/>
  <c r="L69" i="17"/>
  <c r="L67" i="17"/>
  <c r="L66" i="17"/>
  <c r="L65" i="17"/>
  <c r="L64" i="17"/>
  <c r="L63" i="17"/>
  <c r="L62" i="17"/>
  <c r="L60" i="17"/>
  <c r="L59" i="17"/>
  <c r="L58" i="17"/>
  <c r="L56" i="17"/>
  <c r="L55" i="17"/>
  <c r="L54" i="17"/>
  <c r="L53" i="17"/>
  <c r="L52" i="17"/>
  <c r="L51" i="17"/>
  <c r="L50" i="17"/>
  <c r="L49" i="17"/>
  <c r="L47" i="17"/>
  <c r="L46" i="17"/>
  <c r="L43" i="17"/>
  <c r="L42" i="17"/>
  <c r="L41" i="17"/>
  <c r="L40" i="17"/>
  <c r="L39" i="17"/>
  <c r="L38" i="17"/>
  <c r="L37" i="17"/>
  <c r="L36" i="17"/>
  <c r="L34" i="17"/>
  <c r="L33" i="17"/>
  <c r="L32" i="17"/>
  <c r="L31" i="17"/>
  <c r="L29" i="17"/>
  <c r="L28" i="17"/>
  <c r="L27" i="17"/>
  <c r="L26" i="17"/>
  <c r="L25" i="17"/>
  <c r="L24" i="17"/>
  <c r="L23" i="17"/>
  <c r="L21" i="17"/>
  <c r="L17" i="17"/>
  <c r="L16" i="17"/>
  <c r="L15" i="17"/>
  <c r="L14" i="17"/>
  <c r="L13" i="17"/>
  <c r="L12" i="17"/>
  <c r="L11" i="17"/>
  <c r="L10" i="17"/>
  <c r="L9" i="17"/>
  <c r="A45" i="17"/>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O29" i="17" l="1"/>
  <c r="O37" i="17"/>
  <c r="O89" i="17"/>
  <c r="O120" i="17"/>
  <c r="O33" i="17"/>
  <c r="O41" i="17"/>
  <c r="O65" i="17"/>
  <c r="O77" i="17"/>
  <c r="O93" i="17"/>
  <c r="O105" i="17"/>
  <c r="O112" i="17"/>
  <c r="O148" i="17"/>
  <c r="O49" i="17"/>
  <c r="O81" i="17"/>
  <c r="O124" i="17"/>
  <c r="O26" i="17"/>
  <c r="O34" i="17"/>
  <c r="O38" i="17"/>
  <c r="O42" i="17"/>
  <c r="O46" i="17"/>
  <c r="O50" i="17"/>
  <c r="O58" i="17"/>
  <c r="O62" i="17"/>
  <c r="O66" i="17"/>
  <c r="O78" i="17"/>
  <c r="O82" i="17"/>
  <c r="O86" i="17"/>
  <c r="O90" i="17"/>
  <c r="O94" i="17"/>
  <c r="O106" i="17"/>
  <c r="O109" i="17"/>
  <c r="O117" i="17"/>
  <c r="O121" i="17"/>
  <c r="O23" i="17"/>
  <c r="O27" i="17"/>
  <c r="O31" i="17"/>
  <c r="O39" i="17"/>
  <c r="O43" i="17"/>
  <c r="O47" i="17"/>
  <c r="O51" i="17"/>
  <c r="O55" i="17"/>
  <c r="O59" i="17"/>
  <c r="O63" i="17"/>
  <c r="O67" i="17"/>
  <c r="O75" i="17"/>
  <c r="O83" i="17"/>
  <c r="O87" i="17"/>
  <c r="O91" i="17"/>
  <c r="O95" i="17"/>
  <c r="O103" i="17"/>
  <c r="O118" i="17"/>
  <c r="O122" i="17"/>
  <c r="O154" i="17"/>
  <c r="O12" i="17"/>
  <c r="O24" i="17"/>
  <c r="O28" i="17"/>
  <c r="O32" i="17"/>
  <c r="O40" i="17"/>
  <c r="O52" i="17"/>
  <c r="O56" i="17"/>
  <c r="O60" i="17"/>
  <c r="O64" i="17"/>
  <c r="O76" i="17"/>
  <c r="O80" i="17"/>
  <c r="O84" i="17"/>
  <c r="O88" i="17"/>
  <c r="O92" i="17"/>
  <c r="O104" i="17"/>
  <c r="O111" i="17"/>
  <c r="O115" i="17"/>
  <c r="O119" i="17"/>
  <c r="O127" i="17"/>
  <c r="O155" i="17"/>
  <c r="M90" i="17"/>
  <c r="M87" i="17"/>
  <c r="M79" i="17"/>
  <c r="J79" i="17"/>
  <c r="J72" i="17"/>
  <c r="J68" i="17"/>
  <c r="L68" i="17" s="1"/>
  <c r="I57" i="17"/>
  <c r="O57" i="17" s="1"/>
  <c r="J48" i="17"/>
  <c r="H45" i="17"/>
  <c r="O45" i="17" s="1"/>
  <c r="L48" i="17" l="1"/>
  <c r="O48" i="17"/>
  <c r="L45" i="17"/>
  <c r="L79" i="17"/>
  <c r="O79" i="17"/>
  <c r="L44" i="17"/>
  <c r="O44" i="17"/>
  <c r="L61" i="17"/>
  <c r="O61" i="17"/>
  <c r="L72" i="17"/>
  <c r="L57" i="17"/>
  <c r="J84" i="26"/>
  <c r="L132" i="17" l="1"/>
  <c r="L129" i="17"/>
  <c r="L125" i="17" l="1"/>
  <c r="I208" i="17" l="1"/>
  <c r="L208" i="17" l="1"/>
  <c r="L175" i="17"/>
  <c r="J208" i="17"/>
  <c r="J20" i="17"/>
  <c r="J116" i="17"/>
  <c r="L20" i="17" l="1"/>
  <c r="O20" i="17"/>
  <c r="L116" i="17"/>
  <c r="O116" i="17"/>
  <c r="J22" i="17"/>
  <c r="J19" i="17"/>
  <c r="J18" i="17"/>
  <c r="L18" i="17" l="1"/>
  <c r="O18" i="17"/>
  <c r="L19" i="17"/>
  <c r="O19" i="17"/>
  <c r="L22" i="17"/>
  <c r="O22" i="17"/>
  <c r="L139" i="17"/>
  <c r="L136" i="17"/>
  <c r="H136" i="17"/>
  <c r="L108" i="17" l="1"/>
  <c r="I163" i="17" l="1"/>
  <c r="L163" i="17" s="1"/>
  <c r="I160" i="17"/>
  <c r="L160" i="17" s="1"/>
  <c r="O8" i="17"/>
  <c r="L8" i="17"/>
  <c r="J35" i="17"/>
  <c r="M30" i="17"/>
  <c r="J30" i="17"/>
  <c r="I30" i="17"/>
  <c r="L30" i="17" l="1"/>
  <c r="O30" i="17"/>
  <c r="L35" i="17"/>
  <c r="F27" i="25"/>
  <c r="D64" i="26" l="1"/>
  <c r="E64" i="26"/>
  <c r="F64" i="26"/>
  <c r="G64" i="26"/>
  <c r="H64" i="26"/>
  <c r="I64" i="26"/>
  <c r="J64" i="26"/>
  <c r="K62" i="26"/>
  <c r="I84" i="26"/>
  <c r="I27" i="25" l="1"/>
  <c r="G33" i="25" l="1"/>
  <c r="H33" i="25"/>
  <c r="D74" i="26"/>
  <c r="E74" i="26"/>
  <c r="F74" i="26"/>
  <c r="G74" i="26"/>
  <c r="H74" i="26"/>
  <c r="I74" i="26"/>
  <c r="J74" i="26"/>
  <c r="K72" i="26"/>
  <c r="I209" i="17" l="1"/>
  <c r="L209" i="17"/>
  <c r="I175" i="17" l="1"/>
  <c r="J209" i="17"/>
  <c r="J175" i="17"/>
  <c r="I165" i="17" l="1"/>
  <c r="J165" i="17" l="1"/>
  <c r="M165" i="17"/>
  <c r="I178" i="17"/>
  <c r="I206" i="17"/>
  <c r="I210" i="17"/>
  <c r="I182" i="17"/>
  <c r="J183" i="17"/>
  <c r="J194" i="17"/>
  <c r="I212" i="17"/>
  <c r="I185" i="17"/>
  <c r="I186" i="17"/>
  <c r="I194" i="17"/>
  <c r="I183" i="17"/>
  <c r="L184" i="17"/>
  <c r="J184" i="17"/>
  <c r="J189" i="17"/>
  <c r="J199" i="17"/>
  <c r="J205" i="17"/>
  <c r="J207" i="17"/>
  <c r="J180" i="17"/>
  <c r="L178" i="17"/>
  <c r="J178" i="17"/>
  <c r="J169" i="17"/>
  <c r="I170" i="17"/>
  <c r="I197" i="17"/>
  <c r="I187" i="17"/>
  <c r="L179" i="17"/>
  <c r="J179" i="17"/>
  <c r="L177" i="17"/>
  <c r="J177" i="17"/>
  <c r="L176" i="17"/>
  <c r="J176" i="17"/>
  <c r="L171" i="17"/>
  <c r="J171" i="17"/>
  <c r="L186" i="17"/>
  <c r="J186" i="17"/>
  <c r="L190" i="17"/>
  <c r="J190" i="17"/>
  <c r="I184" i="17"/>
  <c r="I189" i="17"/>
  <c r="I205" i="17"/>
  <c r="I199" i="17"/>
  <c r="I207" i="17"/>
  <c r="I180" i="17"/>
  <c r="I198" i="17"/>
  <c r="I169" i="17"/>
  <c r="I211" i="17"/>
  <c r="J170" i="17"/>
  <c r="I179" i="17"/>
  <c r="I177" i="17"/>
  <c r="I176" i="17"/>
  <c r="I171" i="17"/>
  <c r="I204" i="17"/>
  <c r="I173" i="17"/>
  <c r="I195" i="17"/>
  <c r="J185" i="17"/>
  <c r="J212" i="17"/>
  <c r="L210" i="17"/>
  <c r="J210" i="17"/>
  <c r="L172" i="17"/>
  <c r="J172" i="17"/>
  <c r="L188" i="17"/>
  <c r="J188" i="17"/>
  <c r="J203" i="17"/>
  <c r="L181" i="17"/>
  <c r="J181" i="17"/>
  <c r="L182" i="17"/>
  <c r="J182" i="17"/>
  <c r="J196" i="17"/>
  <c r="I190" i="17"/>
  <c r="I172" i="17"/>
  <c r="I188" i="17"/>
  <c r="L206" i="17"/>
  <c r="J206" i="17"/>
  <c r="I174" i="17"/>
  <c r="I203" i="17"/>
  <c r="L187" i="17"/>
  <c r="J187" i="17"/>
  <c r="I181" i="17"/>
  <c r="I196" i="17"/>
  <c r="L196" i="17"/>
  <c r="J197" i="17"/>
  <c r="J174" i="17" l="1"/>
  <c r="L170" i="17"/>
  <c r="J198" i="17"/>
  <c r="L211" i="17"/>
  <c r="L198" i="17"/>
  <c r="L169" i="17"/>
  <c r="L199" i="17"/>
  <c r="L205" i="17"/>
  <c r="L207" i="17"/>
  <c r="L180" i="17"/>
  <c r="J195" i="17"/>
  <c r="J204" i="17"/>
  <c r="J173" i="17"/>
  <c r="L203" i="17"/>
  <c r="L174" i="17"/>
  <c r="H165" i="17"/>
  <c r="L189" i="17"/>
  <c r="L212" i="17"/>
  <c r="L185" i="17"/>
  <c r="J211" i="17"/>
  <c r="L194" i="17"/>
  <c r="L183" i="17"/>
  <c r="L197" i="17"/>
  <c r="L204" i="17" l="1"/>
  <c r="L173" i="17"/>
  <c r="L195" i="17"/>
  <c r="L165" i="17"/>
  <c r="F15" i="24"/>
  <c r="E7" i="25" l="1"/>
  <c r="E5" i="25"/>
  <c r="F5" i="25"/>
  <c r="F7" i="25"/>
  <c r="E9" i="25"/>
  <c r="F9" i="25"/>
  <c r="E11" i="25"/>
  <c r="F11" i="25"/>
  <c r="E13" i="25"/>
  <c r="F13" i="25"/>
  <c r="E15" i="25"/>
  <c r="F15" i="25"/>
  <c r="E17" i="25"/>
  <c r="F17" i="25"/>
  <c r="E19" i="25"/>
  <c r="F19" i="25"/>
  <c r="E21" i="25"/>
  <c r="F21" i="25"/>
  <c r="E23" i="25"/>
  <c r="F23" i="25"/>
  <c r="E25" i="25"/>
  <c r="F25" i="25"/>
  <c r="E29" i="25"/>
  <c r="F29" i="25"/>
  <c r="E31" i="25"/>
  <c r="F31" i="25"/>
  <c r="E33" i="25"/>
  <c r="F33" i="25"/>
  <c r="E35" i="25"/>
  <c r="F35" i="25"/>
  <c r="E37" i="25"/>
  <c r="F37" i="25"/>
  <c r="E39" i="25"/>
  <c r="F39" i="25"/>
  <c r="K8" i="26"/>
  <c r="G86" i="26"/>
  <c r="H86" i="26"/>
  <c r="G80" i="26"/>
  <c r="H80" i="26"/>
  <c r="H88" i="26" s="1"/>
  <c r="G48" i="26"/>
  <c r="H48" i="26"/>
  <c r="G40" i="26"/>
  <c r="H40" i="26"/>
  <c r="B13" i="24"/>
  <c r="B5" i="24"/>
  <c r="B9" i="24"/>
  <c r="B11" i="24"/>
  <c r="B7" i="24"/>
  <c r="F41" i="25" l="1"/>
  <c r="G88" i="26"/>
  <c r="E41" i="25"/>
  <c r="J191" i="17"/>
  <c r="J192" i="17" s="1"/>
  <c r="J200" i="17"/>
  <c r="J213" i="17"/>
  <c r="I191" i="17"/>
  <c r="I192" i="17" s="1"/>
  <c r="I200" i="17"/>
  <c r="B15" i="24"/>
  <c r="I213" i="17"/>
  <c r="D9" i="24"/>
  <c r="D11" i="24"/>
  <c r="D5" i="24"/>
  <c r="D13" i="24"/>
  <c r="J201" i="17" l="1"/>
  <c r="I214" i="17"/>
  <c r="I201" i="17"/>
  <c r="J214" i="17"/>
  <c r="K32" i="26"/>
  <c r="K14" i="26"/>
  <c r="K38" i="26"/>
  <c r="L191" i="17" l="1"/>
  <c r="L192" i="17" s="1"/>
  <c r="L200" i="17"/>
  <c r="L213" i="17"/>
  <c r="L214" i="17" l="1"/>
  <c r="L201" i="17"/>
  <c r="D7" i="24"/>
  <c r="D17" i="24" s="1"/>
  <c r="I40" i="26"/>
  <c r="F5" i="24" s="1"/>
  <c r="H5" i="25" l="1"/>
  <c r="H7" i="25"/>
  <c r="H9" i="25"/>
  <c r="H11" i="25"/>
  <c r="H13" i="25"/>
  <c r="H15" i="25"/>
  <c r="H17" i="25"/>
  <c r="H19" i="25"/>
  <c r="H21" i="25"/>
  <c r="H23" i="25"/>
  <c r="H25" i="25"/>
  <c r="H29" i="25"/>
  <c r="H31" i="25"/>
  <c r="H35" i="25"/>
  <c r="H37" i="25"/>
  <c r="H39" i="25"/>
  <c r="I86" i="26"/>
  <c r="J86" i="26"/>
  <c r="G15" i="24" s="1"/>
  <c r="K84" i="26"/>
  <c r="K86" i="26" s="1"/>
  <c r="I80" i="26"/>
  <c r="F13" i="24" s="1"/>
  <c r="K78" i="26"/>
  <c r="F11" i="24"/>
  <c r="K70" i="26"/>
  <c r="K68" i="26"/>
  <c r="F9" i="24"/>
  <c r="K60" i="26"/>
  <c r="K58" i="26"/>
  <c r="K56" i="26"/>
  <c r="K54" i="26"/>
  <c r="K52" i="26"/>
  <c r="I48" i="26"/>
  <c r="F7" i="24" s="1"/>
  <c r="K46" i="26"/>
  <c r="K44" i="26"/>
  <c r="K36" i="26"/>
  <c r="K34" i="26"/>
  <c r="K30" i="26"/>
  <c r="K28" i="26"/>
  <c r="K26" i="26"/>
  <c r="K24" i="26"/>
  <c r="K22" i="26"/>
  <c r="K20" i="26"/>
  <c r="K18" i="26"/>
  <c r="K16" i="26"/>
  <c r="K12" i="26"/>
  <c r="K10" i="26"/>
  <c r="K6" i="26"/>
  <c r="J80" i="26"/>
  <c r="G13" i="24" s="1"/>
  <c r="G11" i="24"/>
  <c r="G9" i="24"/>
  <c r="J48" i="26"/>
  <c r="G7" i="24" s="1"/>
  <c r="J40" i="26"/>
  <c r="F86" i="26"/>
  <c r="E86" i="26"/>
  <c r="D86" i="26"/>
  <c r="C13" i="24" l="1"/>
  <c r="K74" i="26"/>
  <c r="C7" i="24"/>
  <c r="K64" i="26"/>
  <c r="C11" i="24"/>
  <c r="C9" i="24"/>
  <c r="F17" i="24"/>
  <c r="I88" i="26"/>
  <c r="G5" i="24"/>
  <c r="C5" i="24" s="1"/>
  <c r="J88" i="26"/>
  <c r="H41" i="25"/>
  <c r="B33" i="25" l="1"/>
  <c r="C33" i="25"/>
  <c r="D33" i="25"/>
  <c r="I33" i="25"/>
  <c r="B13" i="25"/>
  <c r="C13" i="25"/>
  <c r="D13" i="25"/>
  <c r="G13" i="25"/>
  <c r="B39" i="25"/>
  <c r="C39" i="25"/>
  <c r="D39" i="25"/>
  <c r="B37" i="25"/>
  <c r="C37" i="25"/>
  <c r="D37" i="25"/>
  <c r="G37" i="25"/>
  <c r="B35" i="25"/>
  <c r="C35" i="25"/>
  <c r="D35" i="25"/>
  <c r="G35" i="25"/>
  <c r="B31" i="25"/>
  <c r="C31" i="25"/>
  <c r="D31" i="25"/>
  <c r="G31" i="25"/>
  <c r="B29" i="25"/>
  <c r="C29" i="25"/>
  <c r="D29" i="25"/>
  <c r="G29" i="25"/>
  <c r="B25" i="25"/>
  <c r="C25" i="25"/>
  <c r="D25" i="25"/>
  <c r="G25" i="25"/>
  <c r="B23" i="25"/>
  <c r="C23" i="25"/>
  <c r="D23" i="25"/>
  <c r="G23" i="25"/>
  <c r="B21" i="25"/>
  <c r="C21" i="25"/>
  <c r="D21" i="25"/>
  <c r="G21" i="25"/>
  <c r="B19" i="25"/>
  <c r="C19" i="25"/>
  <c r="D19" i="25"/>
  <c r="G19" i="25"/>
  <c r="B17" i="25"/>
  <c r="C17" i="25"/>
  <c r="D17" i="25"/>
  <c r="G17" i="25"/>
  <c r="B15" i="25"/>
  <c r="C15" i="25"/>
  <c r="D15" i="25"/>
  <c r="G15" i="25"/>
  <c r="B11" i="25"/>
  <c r="C11" i="25"/>
  <c r="D11" i="25"/>
  <c r="G11" i="25"/>
  <c r="B9" i="25"/>
  <c r="C9" i="25"/>
  <c r="D9" i="25"/>
  <c r="G9" i="25"/>
  <c r="B7" i="25"/>
  <c r="C7" i="25"/>
  <c r="D7" i="25"/>
  <c r="G7" i="25"/>
  <c r="G5" i="25"/>
  <c r="B5" i="25"/>
  <c r="C5" i="25"/>
  <c r="D5" i="25"/>
  <c r="K80" i="26"/>
  <c r="D80" i="26"/>
  <c r="F80" i="26"/>
  <c r="E80" i="26"/>
  <c r="F48" i="26"/>
  <c r="E48" i="26"/>
  <c r="D48" i="26"/>
  <c r="F40" i="26"/>
  <c r="E40" i="26"/>
  <c r="D40" i="26"/>
  <c r="D88" i="26" l="1"/>
  <c r="I9" i="25"/>
  <c r="I19" i="25"/>
  <c r="I13" i="25"/>
  <c r="I5" i="25"/>
  <c r="I11" i="25"/>
  <c r="I31" i="25"/>
  <c r="I35" i="25"/>
  <c r="I7" i="25"/>
  <c r="I25" i="25"/>
  <c r="I29" i="25"/>
  <c r="I37" i="25"/>
  <c r="C41" i="25"/>
  <c r="I23" i="25"/>
  <c r="I21" i="25"/>
  <c r="I15" i="25"/>
  <c r="I17" i="25"/>
  <c r="E88" i="26"/>
  <c r="F88" i="26"/>
  <c r="G39" i="25"/>
  <c r="D41" i="25"/>
  <c r="B41" i="25"/>
  <c r="K48" i="26"/>
  <c r="K40" i="26"/>
  <c r="H5" i="24" l="1"/>
  <c r="G41" i="25"/>
  <c r="I39" i="25"/>
  <c r="I41" i="25" s="1"/>
  <c r="K88" i="26"/>
  <c r="E15" i="24" l="1"/>
  <c r="G17" i="24" l="1"/>
  <c r="H15" i="24"/>
  <c r="H7" i="24" l="1"/>
  <c r="H13" i="24"/>
  <c r="H9" i="24" l="1"/>
  <c r="E7" i="24"/>
  <c r="E13" i="24"/>
  <c r="E9" i="24"/>
  <c r="H11" i="24" l="1"/>
  <c r="E11" i="24" l="1"/>
  <c r="B17" i="24" l="1"/>
  <c r="C17" i="24" l="1"/>
  <c r="E17" i="24" l="1"/>
  <c r="H17" i="24"/>
  <c r="E5" i="24"/>
</calcChain>
</file>

<file path=xl/sharedStrings.xml><?xml version="1.0" encoding="utf-8"?>
<sst xmlns="http://schemas.openxmlformats.org/spreadsheetml/2006/main" count="1375" uniqueCount="615">
  <si>
    <t>Dept</t>
  </si>
  <si>
    <t>Gross</t>
  </si>
  <si>
    <t>Output Description</t>
  </si>
  <si>
    <t>#</t>
  </si>
  <si>
    <t>Response Activities</t>
  </si>
  <si>
    <t>Expended Through End of 
Reporting Period</t>
  </si>
  <si>
    <t>Appropriated 
Amount</t>
  </si>
  <si>
    <t>State GF</t>
  </si>
  <si>
    <t>Outcome Category</t>
  </si>
  <si>
    <t>Water</t>
  </si>
  <si>
    <t>Food</t>
  </si>
  <si>
    <t>Reporting Period</t>
  </si>
  <si>
    <t xml:space="preserve">Report Name    </t>
  </si>
  <si>
    <t>Spending Authority, Purpose and Description</t>
  </si>
  <si>
    <t xml:space="preserve"> Outcome to Date</t>
  </si>
  <si>
    <t xml:space="preserve">Description of Purchases or Services </t>
  </si>
  <si>
    <t>Cumulative Outputs</t>
  </si>
  <si>
    <t>MDARD</t>
  </si>
  <si>
    <t>Animal Health Programs - Companion Animal Testing and Outreach</t>
  </si>
  <si>
    <t>Water Inspections at Food Establishments. Nutrition Support and Coordination</t>
  </si>
  <si>
    <t>Facilitate testing  animals exposed to City of Flint water for lead toxicity</t>
  </si>
  <si>
    <t>Current Approps</t>
  </si>
  <si>
    <t>Encumbered/Obligated
(Gross Only)</t>
  </si>
  <si>
    <t>Obligated</t>
  </si>
  <si>
    <t>Encumbered</t>
  </si>
  <si>
    <t>Planned Outputs</t>
  </si>
  <si>
    <t>AG</t>
  </si>
  <si>
    <t>Social</t>
  </si>
  <si>
    <t>DOC</t>
  </si>
  <si>
    <t>MDE</t>
  </si>
  <si>
    <t>Physical</t>
  </si>
  <si>
    <t>DEQ</t>
  </si>
  <si>
    <t>DHHS</t>
  </si>
  <si>
    <t>AY15 Work Project</t>
  </si>
  <si>
    <t>LARA</t>
  </si>
  <si>
    <t>DMVA</t>
  </si>
  <si>
    <t>DNR</t>
  </si>
  <si>
    <t>MDOS</t>
  </si>
  <si>
    <t>MSP</t>
  </si>
  <si>
    <t>DTMB</t>
  </si>
  <si>
    <t>MDOT</t>
  </si>
  <si>
    <t>Treasury</t>
  </si>
  <si>
    <t>MGCB</t>
  </si>
  <si>
    <t>Water Bill Credits</t>
  </si>
  <si>
    <t>PA 143 of 2015</t>
  </si>
  <si>
    <t>PA 3 of 2016</t>
  </si>
  <si>
    <t>Grand Total</t>
  </si>
  <si>
    <t>Spent/
Encumbered/
Obligated</t>
  </si>
  <si>
    <t>DIFS</t>
  </si>
  <si>
    <t>PA 24 of 2016</t>
  </si>
  <si>
    <t>MDCR</t>
  </si>
  <si>
    <t>Agency/SEOC support costs</t>
  </si>
  <si>
    <t>Provide administrative support</t>
  </si>
  <si>
    <t>As needed</t>
  </si>
  <si>
    <t>Respond to citizen requests</t>
  </si>
  <si>
    <t>Fiscal Year</t>
  </si>
  <si>
    <t>% Spent / Encumbered / Obligated</t>
  </si>
  <si>
    <t xml:space="preserve">Conduct assessments to determine compliance with water requirements, conduct enforcement, complete follow up visits for non-compliance due to high lead levels, collect water samples </t>
  </si>
  <si>
    <t>Water = Safe Drinking Water</t>
  </si>
  <si>
    <t>Food =  Food and Nutrition</t>
  </si>
  <si>
    <t>Physical = Physical  Well-Being</t>
  </si>
  <si>
    <t>Social = Social Development and Well-Being</t>
  </si>
  <si>
    <t>Conduct assessments of food establishments connected to the Flint water supply</t>
  </si>
  <si>
    <t>100% of requests met</t>
  </si>
  <si>
    <t>Flint Water Emergency - Financial and Activities Tracking and Reporting Document</t>
  </si>
  <si>
    <t>Report Due Date</t>
  </si>
  <si>
    <t>Report Post Date</t>
  </si>
  <si>
    <t>Legal Services</t>
  </si>
  <si>
    <t>Comprehensive written report</t>
  </si>
  <si>
    <t>Investigation is Ongoing</t>
  </si>
  <si>
    <t>Agency Support Costs</t>
  </si>
  <si>
    <t>Agency/SEOC Support costs</t>
  </si>
  <si>
    <t>Agency/SEOC Support Costs</t>
  </si>
  <si>
    <t>Provide Labor and Administrative Support</t>
  </si>
  <si>
    <t>Fruits, vegetables, low-fat dairy</t>
  </si>
  <si>
    <t>G</t>
  </si>
  <si>
    <t>N/A</t>
  </si>
  <si>
    <t>Flint school district nurses - 9 positions</t>
  </si>
  <si>
    <t>Grant to GISD to provide Early On Services to children ages 0-3 exposed to lead.</t>
  </si>
  <si>
    <t>NA</t>
  </si>
  <si>
    <t>Water Sample Testing</t>
  </si>
  <si>
    <t>Provide Testing of Water Samples</t>
  </si>
  <si>
    <t>Provide About 38,400 Water Sample Tests</t>
  </si>
  <si>
    <t>Technical Assistance and Coordination</t>
  </si>
  <si>
    <t>Provide Technical Assistance and Coordination for Response Efforts</t>
  </si>
  <si>
    <t>Provide Assistance Through End of FY16</t>
  </si>
  <si>
    <t>Technical Assistance and Coordination for Response Efforts to City of Flint in Coordination with EPA</t>
  </si>
  <si>
    <t>Water System Needs and Plumbing Assessments</t>
  </si>
  <si>
    <t>Assist with Water System Needs and Plumbing Assessments within City of Flint Homes for Line Material Determination (ex. Lead)</t>
  </si>
  <si>
    <t>Infrastructure Integrity Study Using Outside Experts</t>
  </si>
  <si>
    <t>Complete an Infrastructure Integrity Study Using External Experts</t>
  </si>
  <si>
    <t>Complete an Infrastructure Integrity Study to Evaluate System</t>
  </si>
  <si>
    <t>Lab and Testing Costs</t>
  </si>
  <si>
    <t>Provide Additional Residential Water Sample Testing</t>
  </si>
  <si>
    <t>Assistance to the City of Flint on Corrosion Control</t>
  </si>
  <si>
    <t>Provide Assistance to the City of Flint on Corrosion Control</t>
  </si>
  <si>
    <t>Technical Expertise for Testing, Sampling, Administration, Evaluation</t>
  </si>
  <si>
    <t>Provide Technical Expertise for Testing, Sampling, Administration, Evaluation</t>
  </si>
  <si>
    <t>Assistance Will Continue</t>
  </si>
  <si>
    <t>100% of Request Met to Date for Technical Expertise in Testing, Sampling, Administration, Evaluation</t>
  </si>
  <si>
    <t>Genesee County food safety inspections</t>
  </si>
  <si>
    <t>Nutrition Education</t>
  </si>
  <si>
    <t>Provide health education and outreach initiatives</t>
  </si>
  <si>
    <t>Number of health education and outreach initiatives</t>
  </si>
  <si>
    <t>Food Bank Resources</t>
  </si>
  <si>
    <t>Deliver fresh produce, eggs or dairy products to affected locations</t>
  </si>
  <si>
    <t>Nutritional Education</t>
  </si>
  <si>
    <t>Lactation Consultant</t>
  </si>
  <si>
    <t>Provide counseling on breastfeeding</t>
  </si>
  <si>
    <t>Children's Healthcare Access Project (CHAP)</t>
  </si>
  <si>
    <t>Assist children with establishing primary care medical home</t>
  </si>
  <si>
    <t>Child and Adolescent Health Centers</t>
  </si>
  <si>
    <t>Establish CAHC satellite locations in elementary schools</t>
  </si>
  <si>
    <t>Pathways to Potential Expansion</t>
  </si>
  <si>
    <t>Crisis Counseling</t>
  </si>
  <si>
    <t>Provide psychological first aid and crisis counseling to individuals or families</t>
  </si>
  <si>
    <t>Number of individuals or families provided psychological first aid and crisis counseling</t>
  </si>
  <si>
    <t>Case Management, Care Coordination, Crisis Services, Behavioral Health and Developmental Services</t>
  </si>
  <si>
    <t>Provide Case Management, Care Coordination, Crisis Services, Behavioral Health and Developmental Services to  individuals and families</t>
  </si>
  <si>
    <t>Number of individuals or families served/treated</t>
  </si>
  <si>
    <t>Michigan Child Care Collaborative (MC3)</t>
  </si>
  <si>
    <t>Provide support to primary care providers and pediatric offices and clinical services to children and families in Genesee County</t>
  </si>
  <si>
    <t>Number of Primary Care Physician and pediatric offices supported for emotional and behavioral health services for children and families</t>
  </si>
  <si>
    <t>Purchase water resources</t>
  </si>
  <si>
    <t>Provide and distribute water filters, faucet mounts, replacement cartridges, and bottled water</t>
  </si>
  <si>
    <t>Number of water filters, faucet mounts, replacement cartridges, and bottled water distributed</t>
  </si>
  <si>
    <t>Provide and distribute water filters, faucet mounts, replacement cartridges, and bottled water distributed</t>
  </si>
  <si>
    <t>Lead Abatement</t>
  </si>
  <si>
    <t xml:space="preserve">Provide for home abatement </t>
  </si>
  <si>
    <t>Environmental Blood Lead Investigations</t>
  </si>
  <si>
    <t>Medical Team to Assess Linkages to Legionnaire's</t>
  </si>
  <si>
    <t>Conduct linkage assessments</t>
  </si>
  <si>
    <t>Number of linkage assessments conducted</t>
  </si>
  <si>
    <t>Epidemiologists services</t>
  </si>
  <si>
    <t>Conduct blood level analyses</t>
  </si>
  <si>
    <t>Nurse Case Management</t>
  </si>
  <si>
    <t>Number of children served</t>
  </si>
  <si>
    <t>Nurse Family Partnership</t>
  </si>
  <si>
    <t>Number of women served</t>
  </si>
  <si>
    <t>Plumbing inspections of Schools, Child Day Care Centers, Adult Foster Care, and Health Facilities</t>
  </si>
  <si>
    <t>Site Mapping of Plumbing Infrastructure Translation Services;  Agency/SEOC Support Costs</t>
  </si>
  <si>
    <t>Fixture replacements (Schools, daycares, adult foster care, nursing homes, dialysis centers, surgery centers)</t>
  </si>
  <si>
    <t>Supplies, Plumbing Install Contract, Agency/SEOC Support Costs</t>
  </si>
  <si>
    <t>Deliver cases of water, faucet kits and filters to affected locations</t>
  </si>
  <si>
    <t>Distribute as many supplies as possible daily</t>
  </si>
  <si>
    <t>Distributed Water Cases, Faucet Kits, Filters to affected locations</t>
  </si>
  <si>
    <t>Assist DEQ in responding to Flint Water emergency</t>
  </si>
  <si>
    <t>Provide support to DEQ in responding to Flint emergency</t>
  </si>
  <si>
    <t>Emergency Management Coordinator Conference Call Participation / Assistance at the Flint Information Center</t>
  </si>
  <si>
    <t xml:space="preserve"> </t>
  </si>
  <si>
    <t>Provide support for the Flint water emergency</t>
  </si>
  <si>
    <t>Approximately 45 hours spent supporting the Flint water emergency effort</t>
  </si>
  <si>
    <t>Operational funding for Flint Water Interagency Coordinating Committee</t>
  </si>
  <si>
    <t>Operational funds for Flint Water Interagency Coordination Committee</t>
  </si>
  <si>
    <t>Safe and successful handling of Flint Water response.  Safe delivery of water and water related items.</t>
  </si>
  <si>
    <t>TED</t>
  </si>
  <si>
    <t>Public Outreach/Communications</t>
  </si>
  <si>
    <t xml:space="preserve">Providing work experience program to place program participants into work experience jobs (managing bottled water inventory and distributing bottled water to Flint Residents).  Providing job skills training and supportive services to transition participants into long term employment with the goal toward career self-sufficiency.  </t>
  </si>
  <si>
    <t>All requested resources have been provided</t>
  </si>
  <si>
    <t>requests are completed as they come from the SEOC</t>
  </si>
  <si>
    <t>request fulfilled</t>
  </si>
  <si>
    <t>Support water distribution: snow removal, traffic control devices, &amp; staff support</t>
  </si>
  <si>
    <t>Reconnect to Detroit Water System</t>
  </si>
  <si>
    <t>City of Flint remains on the Detroit Water System</t>
  </si>
  <si>
    <t>Reimburse the City for a portion of its cost for  performing a search for a new DPW director</t>
  </si>
  <si>
    <t>Hire a qualified DPW Director</t>
  </si>
  <si>
    <t>Apply credits to residents water and sewer bills</t>
  </si>
  <si>
    <t>Agency</t>
  </si>
  <si>
    <t>Appropriated</t>
  </si>
  <si>
    <t>Spent to Date</t>
  </si>
  <si>
    <t>Encumbered/
Obligated</t>
  </si>
  <si>
    <t>Total</t>
  </si>
  <si>
    <t>Civil Rights</t>
  </si>
  <si>
    <t>Corrections</t>
  </si>
  <si>
    <t>Education</t>
  </si>
  <si>
    <t>State</t>
  </si>
  <si>
    <t>Gaming</t>
  </si>
  <si>
    <t>Category</t>
  </si>
  <si>
    <t>Encumbered/ Obligated</t>
  </si>
  <si>
    <t>Public  Act</t>
  </si>
  <si>
    <t>Spent</t>
  </si>
  <si>
    <t>AY 15 work project</t>
  </si>
  <si>
    <t>Sampling Results for Sentinel Sites &amp; Residential:
92% of Samples Below Action Level of 15 PPB
8% of Samples Above Action Level of 15 PPB</t>
  </si>
  <si>
    <t>Funding Source</t>
  </si>
  <si>
    <t>Econ Develop = Economic Development</t>
  </si>
  <si>
    <t>MEDC</t>
  </si>
  <si>
    <t>MSHDA</t>
  </si>
  <si>
    <t>Econ Develop</t>
  </si>
  <si>
    <t>Component Unit</t>
  </si>
  <si>
    <t>Flint Financial Summary by Outcome Category  - UNAUDITED</t>
  </si>
  <si>
    <t>Flint Water Appropriations</t>
  </si>
  <si>
    <t>Flint Specific Appropriation
 Spent</t>
  </si>
  <si>
    <t>Flint Specific Encumbrances / Obligations</t>
  </si>
  <si>
    <t>% of Appropriation Expended &amp; Encumbered/ Obligated</t>
  </si>
  <si>
    <t>Non-Flint Specific Appropriations Spent</t>
  </si>
  <si>
    <t>Totals</t>
  </si>
  <si>
    <t>Safe Drinking Water</t>
  </si>
  <si>
    <t>Food and Nutrition</t>
  </si>
  <si>
    <t>Physical Well-Being</t>
  </si>
  <si>
    <t>As part of the ongoing effort for full transparency, contents of this report represent the State's attempt to capture all expenditures for the Flint water crisis. 
This report will be updated every two weeks and will evolve to include more comprehensive data.</t>
  </si>
  <si>
    <t>Flint Financial Summary by Department - UNAUDITED</t>
  </si>
  <si>
    <t>PA 143 
of 2015</t>
  </si>
  <si>
    <t>PA 3 
of 2016</t>
  </si>
  <si>
    <t>PA 24 
of 2016</t>
  </si>
  <si>
    <t>Non-Flint Specific  Appropriations</t>
  </si>
  <si>
    <t xml:space="preserve">Agriculture and Rural Development </t>
  </si>
  <si>
    <t xml:space="preserve">Attorney General </t>
  </si>
  <si>
    <t xml:space="preserve">Education </t>
  </si>
  <si>
    <t xml:space="preserve">Environmental Quality </t>
  </si>
  <si>
    <t xml:space="preserve">Health and Human Services </t>
  </si>
  <si>
    <t>Insurance and Financial Services</t>
  </si>
  <si>
    <t xml:space="preserve">Licensing and Regulatory Affairs </t>
  </si>
  <si>
    <t xml:space="preserve">Military and Veterans Affairs </t>
  </si>
  <si>
    <t>Natural Resources</t>
  </si>
  <si>
    <t xml:space="preserve">Secretary of State </t>
  </si>
  <si>
    <t xml:space="preserve">State Police </t>
  </si>
  <si>
    <t xml:space="preserve">Talent and Economic Development </t>
  </si>
  <si>
    <t>Technology, Management and Budget</t>
  </si>
  <si>
    <t xml:space="preserve">Transportation </t>
  </si>
  <si>
    <t xml:space="preserve">Treasury </t>
  </si>
  <si>
    <t>Flint Financial Summary by Department and by Outcome Category  - UNAUDITED</t>
  </si>
  <si>
    <t xml:space="preserve">PA 24 
of 2016 </t>
  </si>
  <si>
    <t xml:space="preserve">Non-Flint Specific </t>
  </si>
  <si>
    <t xml:space="preserve">   Total Spent - Safe Drinking Water </t>
  </si>
  <si>
    <t>Safe Drinking Water Total</t>
  </si>
  <si>
    <t>Food and Nutrition Total</t>
  </si>
  <si>
    <t>Social Development and Well Being</t>
  </si>
  <si>
    <t>Social Development and Well-Being Total</t>
  </si>
  <si>
    <t>Physical Well Being</t>
  </si>
  <si>
    <t>Physical Well-Being Total</t>
  </si>
  <si>
    <t xml:space="preserve"> Water Bill Credits Total</t>
  </si>
  <si>
    <t>Total Spent / Encumbered / Obligated</t>
  </si>
  <si>
    <t>SEOC, Joint Information Center and Warehouse operations</t>
  </si>
  <si>
    <t>Provide recommendations as requested</t>
  </si>
  <si>
    <t>SEOC, Joint Information Center and Warehouse Operations</t>
  </si>
  <si>
    <t>Continuous operations of the SEOC, Joint Information Center and Warehouse</t>
  </si>
  <si>
    <t>Department
Total</t>
  </si>
  <si>
    <t>Department Total</t>
  </si>
  <si>
    <t xml:space="preserve">The project’s primary goals will be to: 1) develop temporary jobs that benefit the residents of Flint affected by the Flint Water Crisis by employing
workers on projects that provide emergency water, water filters, lead testing kits and replacement cartridges, 2) provide support services to the
persons placed into the temporary job, 3) provide support for temporary jobs through warehousing water and other commodities, and recycling
the bottles and filters as needed during the crisis. 
</t>
  </si>
  <si>
    <t>Consultant to complete a market study report</t>
  </si>
  <si>
    <t>The project plans to serve 400 Dislocated Workers and Long Term Unemployed (those who have been out of work more than 20 nonconsecutive weeks in the past five years) who reside in Flint.  Temporary jobs will allow an individual to be hired under this project for a period of no more than 12 months and will not exceed 2080 hours.</t>
  </si>
  <si>
    <t>Public Outreach/ Communications</t>
  </si>
  <si>
    <t>Completes tasks as assigned</t>
  </si>
  <si>
    <t>Provide children exposed to lead with the fruits/vegetables known to absorb lead</t>
  </si>
  <si>
    <t>Provide nurses in the Flint Schools to address medical concerns related to lead exposure</t>
  </si>
  <si>
    <t>Provide Early On Services to children ages 0-3 exposed to lead</t>
  </si>
  <si>
    <t>Contract amendment to add funding has been executed</t>
  </si>
  <si>
    <t>Safe and successful handling of Flint Water response.  Safe delivery of water and water related items</t>
  </si>
  <si>
    <t>Have provided overall coordination and distribution of water and filters</t>
  </si>
  <si>
    <t># of well qualified candidates</t>
  </si>
  <si>
    <t># of credits issued and total amount of credits</t>
  </si>
  <si>
    <t>Hold meetings as needed to make recommendations to the Governor</t>
  </si>
  <si>
    <t>Economic Development</t>
  </si>
  <si>
    <t>Talent &amp; Economic Development</t>
  </si>
  <si>
    <t xml:space="preserve"> Economic Development Total</t>
  </si>
  <si>
    <t>Social Development 
and Well-Being</t>
  </si>
  <si>
    <t xml:space="preserve">Total Resource Utilization 
per Appropriation </t>
  </si>
  <si>
    <t>Request for Proposal let by Flint Genesee Chamber of Commerce, vendor selected, grant paperwork being started in MEDC</t>
  </si>
  <si>
    <t>Number of homes investigated/ tested</t>
  </si>
  <si>
    <t>Component 
Unit 
Spending</t>
  </si>
  <si>
    <t>Contractor, Grantee or Vendor Name(s)</t>
  </si>
  <si>
    <t>Approximately 1,430 hours spent supporting the Flint water emergency effort</t>
  </si>
  <si>
    <t>Flood Law, PLLC</t>
  </si>
  <si>
    <t>Penske Truck / Michigan State Industries</t>
  </si>
  <si>
    <t xml:space="preserve">Genesee Intermediate School District (GISD) </t>
  </si>
  <si>
    <t>Flint Schools</t>
  </si>
  <si>
    <t>Provide additional nurses in Flint Schools</t>
  </si>
  <si>
    <t>Contract with 9 nurses</t>
  </si>
  <si>
    <t>Contracted with 9 nurses</t>
  </si>
  <si>
    <t>Provide Early On services to children in the affected area</t>
  </si>
  <si>
    <t>Hire 2 Early On consultants to provide evaluation services</t>
  </si>
  <si>
    <t>City of Flint</t>
  </si>
  <si>
    <t>Various</t>
  </si>
  <si>
    <t>Genesee County Health Department</t>
  </si>
  <si>
    <t>Food Bank of Michigan</t>
  </si>
  <si>
    <t>Greater Flint Health Coalition</t>
  </si>
  <si>
    <t>Michigan Primary Care Association</t>
  </si>
  <si>
    <t>Three CAHC satellite locations established in elementary schools</t>
  </si>
  <si>
    <t>Place additional Pathways to Potential workers in Flint schools</t>
  </si>
  <si>
    <t>Six Pathways to Potential workers hired and placed in Flint schools</t>
  </si>
  <si>
    <t>Genesee Health System</t>
  </si>
  <si>
    <t>University of Michigan</t>
  </si>
  <si>
    <t>Home Depot</t>
  </si>
  <si>
    <t>Southeastern Michigan Health Association</t>
  </si>
  <si>
    <t>ETC, Inc.</t>
  </si>
  <si>
    <t>Wayne State University</t>
  </si>
  <si>
    <t>Hurley Medical Center</t>
  </si>
  <si>
    <t>Diet Education and Exercise</t>
  </si>
  <si>
    <t>YMCA of Metropolitan Lansing</t>
  </si>
  <si>
    <t>Lead Testing Kits</t>
  </si>
  <si>
    <t>Home Depot (641P6600569): Johnson &amp; Wood (641N6600060):  Etna Supply (641P6600608); Ferguson Enterprises (N6600063)</t>
  </si>
  <si>
    <t>See attached</t>
  </si>
  <si>
    <t xml:space="preserve">Various </t>
  </si>
  <si>
    <t>Activity is on going</t>
  </si>
  <si>
    <t>MSF</t>
  </si>
  <si>
    <t>Capitol Theatre Project</t>
  </si>
  <si>
    <t>Support for Capitol Theatre renovation</t>
  </si>
  <si>
    <t>Creation of 82 jobs</t>
  </si>
  <si>
    <t>Funding allocated</t>
  </si>
  <si>
    <t>Flint Genesee Chamber of Commerce</t>
  </si>
  <si>
    <t>Grant funds provided to hire 50 local residents for installation of water filters, test and record lead levels in the water</t>
  </si>
  <si>
    <t>Orchard's Children Services</t>
  </si>
  <si>
    <t>50 individuals hired and trained to test water in Flint, in conjunction with Flint YMCA's Safe Places Program</t>
  </si>
  <si>
    <t>Individuals hired, trained, and on payroll for this purpose</t>
  </si>
  <si>
    <t>Provision of job opportunities for Flint residents as part of a larger job training and employment support effort</t>
  </si>
  <si>
    <t>Half of Funding spent hiring has begun.</t>
  </si>
  <si>
    <t>Water sample testing, install water filters</t>
  </si>
  <si>
    <t>1) Organize testing procedures for MSHDA funded developments. 
2) Deliver and install water filters and follow up to ensure filters installed correctly</t>
  </si>
  <si>
    <t>1) Approximately 220 testing kits have been analyzed for lead content</t>
  </si>
  <si>
    <t xml:space="preserve">1) Sampling results show 4.1 % of sampling pool beyond 15 PPB for lead and 0.9% tested high for copper. 
2) Reached roughly 600 voucher holders through door to door or mailers. </t>
  </si>
  <si>
    <t>Study potential infrastructure improvements</t>
  </si>
  <si>
    <t>SEOC Support</t>
  </si>
  <si>
    <t>U-Haul, Star Truck Rental, Penske, Hallwood Plaza, Bell Warehousing, Consumers Energy, DTMB Print and Graphics, Grainger, Amazon, Republic Services, UPS, Walmart, Apple, Best Buy, Cellco, Verizon</t>
  </si>
  <si>
    <t>Provide requested technology, equipment and Facilities</t>
  </si>
  <si>
    <t>Respond to resource requests to support water distribution</t>
  </si>
  <si>
    <t>As Needed</t>
  </si>
  <si>
    <t>100% of Requests Met</t>
  </si>
  <si>
    <t>Michigan Municipal League</t>
  </si>
  <si>
    <t>To provide a benchmarking study on the City's water rates</t>
  </si>
  <si>
    <t>Raftelis</t>
  </si>
  <si>
    <t>Provide water rate analysis on Flint resident's water bills</t>
  </si>
  <si>
    <t>Develop a five year water revenue and expenditure projection</t>
  </si>
  <si>
    <t>Att General</t>
  </si>
  <si>
    <t>1) Provide 500 water testing kits
  2) Ongoing outreach to Tenant Based Voucher holders</t>
  </si>
  <si>
    <t>Establish 19 sites to distribute fruits and vegetables</t>
  </si>
  <si>
    <t>Hired 2 consultants</t>
  </si>
  <si>
    <t>Daily snacks made available to approximately 8,319 students each day the school was in operation</t>
  </si>
  <si>
    <t>Participation in the SEOC, outreach to Flint and gathering information for DIFS in response to request from Governor’s office for all FW related documents</t>
  </si>
  <si>
    <t>Monitor activity to identify anything that relates to DIFS and follow-up as needed.</t>
  </si>
  <si>
    <t>Provide fruits/vegetables to children exposed to lead</t>
  </si>
  <si>
    <t>USDA Expanded Fresh Fruit/Vegetable Funding to Flint Schools</t>
  </si>
  <si>
    <t>212 Food Service Establishments for continued compliance checks</t>
  </si>
  <si>
    <t>700 children assisted with establishing primary care medical home</t>
  </si>
  <si>
    <t>Provide nurse case management to children identified with elevated blood levels</t>
  </si>
  <si>
    <t>Number of children served/accepted the offer of services</t>
  </si>
  <si>
    <t>Provide NFP specialized home visiting services to low income, first time mothers enrolled before 3rd trimester</t>
  </si>
  <si>
    <t>Temporary Staff to Support Foster Care and Child Protective Services Programs</t>
  </si>
  <si>
    <t>Kelly Services</t>
  </si>
  <si>
    <t>Increase healthy foods for the Year-round Healthy Out Of School Time (HOST) Program</t>
  </si>
  <si>
    <t>Contract has been executed allowing project to start</t>
  </si>
  <si>
    <t>Supplies for lead testing of Flint residents</t>
  </si>
  <si>
    <t>Number of residents tested</t>
  </si>
  <si>
    <t>Approximately 80% of the test kits and supplies have been used</t>
  </si>
  <si>
    <t>Provide Admin Support</t>
  </si>
  <si>
    <t>100% of Request met</t>
  </si>
  <si>
    <t>iSource Worldwide and SkyPoint Ventures - business development performance loan and grant</t>
  </si>
  <si>
    <t>iSource Worldwide and SkyPoint Ventures</t>
  </si>
  <si>
    <t>Performance based loan and grant to support venture located in Flint</t>
  </si>
  <si>
    <t>Creation of 100 jobs</t>
  </si>
  <si>
    <t>Attract New Business to Flint</t>
  </si>
  <si>
    <t>Work to attract a grocery store to Flint</t>
  </si>
  <si>
    <t>Fresh fruits &amp; vegetables to help mitigate high levels of lead</t>
  </si>
  <si>
    <t>Efforts ongoing</t>
  </si>
  <si>
    <t>A draft report for the infrastructure integrity study has been completed</t>
  </si>
  <si>
    <t>GST Michigan Works! Governing Board and State of Michigan Employees</t>
  </si>
  <si>
    <t>Complete Plumbing Assessments;
Assist With Replacement of 33 Lines</t>
  </si>
  <si>
    <t xml:space="preserve">Six Pathways to Potential workers began work on May 2, 2016.  3 workers are located in Flint Northwestern High School and 3 at Southwestern High School.  </t>
  </si>
  <si>
    <t>Michigan Public Health Institute and state staff</t>
  </si>
  <si>
    <t xml:space="preserve">Contractors have installed 1,360 of 1,360 mapped fixtures as of 5/1; 100 % completed          </t>
  </si>
  <si>
    <t>Initial Installs Completed</t>
  </si>
  <si>
    <t xml:space="preserve">Technical assistance and training to businesses affected by water crisis </t>
  </si>
  <si>
    <t xml:space="preserve">Technical assistance and training to businesses for federal, state, and local contracting </t>
  </si>
  <si>
    <t/>
  </si>
  <si>
    <t>Reimburse the City for legal costs related to Congressional testimony</t>
  </si>
  <si>
    <t>Reed Smith LLP</t>
  </si>
  <si>
    <t>Study available resources to assist in Governor's 75 point plan</t>
  </si>
  <si>
    <t>Secure Funding in order to accomplish objectives</t>
  </si>
  <si>
    <t>Organizing efforts regarding Help For Hardest Hit Funds, Multifamily Housing, Homeowner Mortgage Program</t>
  </si>
  <si>
    <t>578,482 cases, 19,091 faucet kits, 39,081 filters</t>
  </si>
  <si>
    <t>Health Educator and Clerical positions filled and started in mid-May</t>
  </si>
  <si>
    <t>Number of women who breastfeed</t>
  </si>
  <si>
    <t>Coverage of Targeted Case Management Services for Medicaid Beneficiaries who were served by the Flint water system began May 9, 2016.</t>
  </si>
  <si>
    <t>51,727 filter systems and 1,600 replacement filters provided</t>
  </si>
  <si>
    <t>127,680 cases of water, 22,000 filter systems, and 375 replacement filters provided</t>
  </si>
  <si>
    <t>186,691 filter systems and 248,390 replacement filters provided</t>
  </si>
  <si>
    <t xml:space="preserve">Provide technical expertise for environmental investigations and health education.                                                                                                                                                                                                                                              </t>
  </si>
  <si>
    <t xml:space="preserve"> Number of reports and health education products.                                                                                                                                                                                                                                                                                                       </t>
  </si>
  <si>
    <t>Double Up Food Bucks Flint Expansion Project</t>
  </si>
  <si>
    <t>Michigan Department of Agriculture and Rural Development</t>
  </si>
  <si>
    <t>Increase consumption of fresh produce by Flint residents</t>
  </si>
  <si>
    <t>Number of incentives provided for fresh produce consumption</t>
  </si>
  <si>
    <t>Medicaid coverage for children up to age 21 and pregnant women</t>
  </si>
  <si>
    <t>Provide short- and long-term health support to Flint residents served by the Flint water system</t>
  </si>
  <si>
    <t>DCDS Time Tracking</t>
  </si>
  <si>
    <t>SEOC support costs.  State &amp; Local EOC duties.  Providing security &amp; support for delivering water/water related items.</t>
  </si>
  <si>
    <t>DECF</t>
  </si>
  <si>
    <t>Reimburse DTMB from DECF</t>
  </si>
  <si>
    <t>Reimbursement from DECF</t>
  </si>
  <si>
    <t xml:space="preserve">The nurse case management work was transitioned to the Greater Flint Health Coalition/CHAP as of 5/2/16.      </t>
  </si>
  <si>
    <t>15,000 residents newly enrolled for Medicaid Coverage and an additional 15,000 currently on Medicaid enrolled to receive case management services</t>
  </si>
  <si>
    <t>Site Mapping of Plumbing Infrastructure:
12 Adult Foster Care
37 Child Day Care
36 Schools
2 Health Care Facilities
Foreign Language Translations:
203 requested
American Sign Language: 49</t>
  </si>
  <si>
    <t>Substantially Complete</t>
  </si>
  <si>
    <t>AY 13 work project</t>
  </si>
  <si>
    <t>AY13 Work Project</t>
  </si>
  <si>
    <t>332 animals with completed test results</t>
  </si>
  <si>
    <t>Of the 332 animals with complete results:
328 animals tested negative (&lt;50 ppb)
 3 animals tested exposed/probable (50-399 ppb)                                                
1 animal was retested due to confirmed toxicity at another lab ( &gt;/= 400 ppb)</t>
  </si>
  <si>
    <t>PA 268 of 2016</t>
  </si>
  <si>
    <t>Drinking water declaration of emergency legal services</t>
  </si>
  <si>
    <t>Provide administrative &amp; organizational support</t>
  </si>
  <si>
    <t># of children served</t>
  </si>
  <si>
    <t>Snacks made Available to all students each day of service</t>
  </si>
  <si>
    <t>Made 1,197 snacks to students (cumulative for four schools). See "FFVP" tab for more information</t>
  </si>
  <si>
    <t>Nutrition Assistance for Children of Flint</t>
  </si>
  <si>
    <t>Child care assistance for Flint children (0-3)</t>
  </si>
  <si>
    <t>CCDF reserve for Flint day care needs</t>
  </si>
  <si>
    <t xml:space="preserve">Re-connection to Great Lakes Water Authority System (1/2 costs for 9 months beginning  October 2015 through June 2016) </t>
  </si>
  <si>
    <t>Re-connect to Great Lakes Water Authority System</t>
  </si>
  <si>
    <t>City of Flint remained on the Great Lakes Water Authority System</t>
  </si>
  <si>
    <t>Water System Needs - KWA Back Up Pipe</t>
  </si>
  <si>
    <t>Support the Construction of a 36 Inch Back Up Pipe</t>
  </si>
  <si>
    <t>36 Inch Back Up Pipe Will Be Constructed</t>
  </si>
  <si>
    <t>Re-connection to Great Lakes Water Authority System (July 2016 - September 2016)</t>
  </si>
  <si>
    <t>Maintain Connection to Great Lakes Water Authority System July 2016 to September 2016</t>
  </si>
  <si>
    <t>Drinking Water Emergency Response Team</t>
  </si>
  <si>
    <t>Provide Technical Expertise for the Response Efforts</t>
  </si>
  <si>
    <t>Technical Expertise Will Be Provided for the Response Efforts</t>
  </si>
  <si>
    <t>Replacement of lead service lines for high risk, high hazard homes in Flint</t>
  </si>
  <si>
    <t>Support the Replacement of 5,000 Lines</t>
  </si>
  <si>
    <t>Estimated 5,000 Lines Will be Replaced</t>
  </si>
  <si>
    <t>Water system needs</t>
  </si>
  <si>
    <t>Re-connection to Great Lakes Water Authority System (October 2016 - December 2016)</t>
  </si>
  <si>
    <t>Maintain Connection to Great Lakes Water Authority System October 2016 to December 2016</t>
  </si>
  <si>
    <t>Provide Technical Expertise for Response Efforts</t>
  </si>
  <si>
    <t>Epidemiologists services and Epidemiology Administration and toxicologists</t>
  </si>
  <si>
    <t>An Interagency Agreement with the Michigan Department of Agriculture and Rural Development is in place.  Agriculture will contract with the Fair Food Network.</t>
  </si>
  <si>
    <t>Mobile Food Bank and additional food bank resources</t>
  </si>
  <si>
    <t>Nutrition Programs</t>
  </si>
  <si>
    <t>Contract with Wayne State University to assess linkage between Legionella and water</t>
  </si>
  <si>
    <t>Childhood lead poisoning prevention program (statewide)</t>
  </si>
  <si>
    <t>Community Mental Health services</t>
  </si>
  <si>
    <t>Reserve federal TANF future needs for Flint families and children</t>
  </si>
  <si>
    <t>Child and adolescent health center funding</t>
  </si>
  <si>
    <t>Interpretation services for dead, hard of hearing, and bilingual support</t>
  </si>
  <si>
    <t>Mobile Food Bank, additional food bank resources and food safety inspections</t>
  </si>
  <si>
    <t>Child/Adolescent health centers</t>
  </si>
  <si>
    <t>Lead programming for children/homes/outreach</t>
  </si>
  <si>
    <t>Nurse case management and public health assessments</t>
  </si>
  <si>
    <t>Community Education with Genesee County Health Department</t>
  </si>
  <si>
    <t>Map and install 1,360 plumbing fixtures. (2 sites (14 fixtures) are not to be replaced) At the request of DEQ we have installed 41 filters as of 7/8</t>
  </si>
  <si>
    <t>Admin Support - Estimate Agency/SEOC Support Costs</t>
  </si>
  <si>
    <t>Summer Youth program to help with aid to Flint</t>
  </si>
  <si>
    <t>Genesee Area Focus Fund</t>
  </si>
  <si>
    <t>Provide youth in Flint with employment opportunities</t>
  </si>
  <si>
    <t>School Aid</t>
  </si>
  <si>
    <t>PA 249 of 2016</t>
  </si>
  <si>
    <t>Early on funding (April - September) for all 0-4 year olds in the city; funded from GF transfer to School Aid Fund</t>
  </si>
  <si>
    <t>Genesee ISD fresh fruit/vegetables for K-5; funded from GF transfer to School Aid Fund</t>
  </si>
  <si>
    <t>School Nurses for Flint Public Schools; funded from GF transfer to School Aid Fund</t>
  </si>
  <si>
    <t>Early on services 0-3 funding; funded from GF transfer to School Aid Fund</t>
  </si>
  <si>
    <t>Grant to Genesee Intermediate School Districts to serve school aged children; funded from GF transfer to School Aid Fund</t>
  </si>
  <si>
    <t>School Social Workers for Flint Public Schools; funded from GF transfer to School Aid Fund</t>
  </si>
  <si>
    <t>Great Start Readiness; funded from GF transfer to School Aid Fund</t>
  </si>
  <si>
    <t>Water and filter cartridges</t>
  </si>
  <si>
    <t>Reimburse DHHS from DECF</t>
  </si>
  <si>
    <t>MDOT,
Quality Temporary Services</t>
  </si>
  <si>
    <t>Interviews completed, selection process ongoing, no applicant selected at this time.</t>
  </si>
  <si>
    <t>To provide relief for the residents by funding a credit on water/sewer bills (April 15-Dec 31, 2016)</t>
  </si>
  <si>
    <t>$29,020,837 sent to the City for water credits. Remaining balance will be wired after the next series of credits.</t>
  </si>
  <si>
    <t>Mission Flint program  management office (June-Dec, 2016)</t>
  </si>
  <si>
    <t>Staffing and support for Mission Flint</t>
  </si>
  <si>
    <t>Assist Flint during water crisis</t>
  </si>
  <si>
    <t>No appropriation spent to date</t>
  </si>
  <si>
    <t xml:space="preserve">Provide legal  research for testimony related to Flint water issues </t>
  </si>
  <si>
    <t>Reimburse the City for legal research</t>
  </si>
  <si>
    <t>City of Flint has been reimbursed for the legal research during congressional hearings</t>
  </si>
  <si>
    <t>Reimburse the City for assistance in the water bill relief credit program</t>
  </si>
  <si>
    <t>Great Lakes Treasury Services</t>
  </si>
  <si>
    <t>Assist Flint in providing a water bill relief credit program</t>
  </si>
  <si>
    <t>To provide water bill relief credits to the Flint residents</t>
  </si>
  <si>
    <t>Project ongoing, City is able to provide appropriate credits</t>
  </si>
  <si>
    <t>Reimburse the City for assistance in developing the software need to apply water credits</t>
  </si>
  <si>
    <t>BS&amp;A Software</t>
  </si>
  <si>
    <t>Customize Flint's water and sewer billing system</t>
  </si>
  <si>
    <t>To accommodate the water bill relief credit program</t>
  </si>
  <si>
    <t>Initial water rate analysis complete, additional work possible</t>
  </si>
  <si>
    <t>PA 268 
of 2016</t>
  </si>
  <si>
    <t>PA 249 
of 2016</t>
  </si>
  <si>
    <t>Attorney General</t>
  </si>
  <si>
    <t xml:space="preserve">Prepare/Review RFP pertaining to homeowner rehab due to lead contamination </t>
  </si>
  <si>
    <t>Review RFP for $1 million of HOME funding</t>
  </si>
  <si>
    <t>Grant funding to nonprofit agency to perform homeowner rehab</t>
  </si>
  <si>
    <t>Award announcement should be made in the month of August</t>
  </si>
  <si>
    <t>Provide outreach services Flint residents</t>
  </si>
  <si>
    <t>Provide outreach to Flint residents regarding physical well being</t>
  </si>
  <si>
    <t>Provide information on blood testing, expanded Medicaid Services, Nutrition, and other information</t>
  </si>
  <si>
    <t>To provide legal assistance with the Flint water investigation</t>
  </si>
  <si>
    <t>Dykema Gossett</t>
  </si>
  <si>
    <t>Assist Flint in providing legal counsel for parties involved in the water crisis</t>
  </si>
  <si>
    <t>To ensure that representation is properly provided</t>
  </si>
  <si>
    <t>Investigation is ongoing, additional work is expected</t>
  </si>
  <si>
    <t>To reimburse the City of Flint for administrative costs related to the water credit program</t>
  </si>
  <si>
    <t>City of Flint employees provided overtime assistance with water credit program</t>
  </si>
  <si>
    <t>To reimburse the City of Flint for assistance to ensure the accuracy and completeness of the water credit program</t>
  </si>
  <si>
    <t>YEO &amp; YEO</t>
  </si>
  <si>
    <t>Review of the accuracy and completeness of the application of the water credits</t>
  </si>
  <si>
    <t>Will add info in subsequent reports</t>
  </si>
  <si>
    <t>118 Lead Lines Have Been Identified</t>
  </si>
  <si>
    <t>Provide about 35,100 Water Sample Tests</t>
  </si>
  <si>
    <t>Great Lakes Water Authority</t>
  </si>
  <si>
    <t xml:space="preserve">72.5 staff hours participating in:  SEOC conference calls; outreach to Flint; gathering information for Governor's office. </t>
  </si>
  <si>
    <t>Participation in SEOC conference calls; attended 2 JIC outreach events in Flint; responded to 3 requests for information from the various staff at the SEOC; conducted a data call of 1169 authorized P&amp;C insurers to provide data to the SEOC; responded to 1 consumer telephone call; 1 written consumer complaint/inquiry, and 1 response to a state agency question on health insurance coverage.</t>
  </si>
  <si>
    <t>Bottled Water</t>
  </si>
  <si>
    <t>Provide water as needed</t>
  </si>
  <si>
    <t>Reimburse DOT from DECF</t>
  </si>
  <si>
    <t>Communications with non English speakers to ensure they have appropriate health information; hearing &amp; meetings related to housing problems due to water situation &amp; potential gaps in services.</t>
  </si>
  <si>
    <t>Deliver healthy lead mitigating foods to all residents in Flint regardless of income</t>
  </si>
  <si>
    <t xml:space="preserve">Funding has facilitated over a 400% increase in monthly volume </t>
  </si>
  <si>
    <t>Crisis counseling/outreach is being delivered in community outreach locations by professional and para-professional staff trained in models such as mental health first aid and psychological first aid.  Additionally, educational support is provided as needed, regarding community resources, including referrals to TCM&lt; and assistance with Medicaid applications.  These contacts are unscheduled, done in the community, are outreach in nature, and no identification of the served individual is required.  These contacts can be completely anonymous.</t>
  </si>
  <si>
    <t xml:space="preserve">Number of homes that have begun abatement process (Enrolled) </t>
  </si>
  <si>
    <t xml:space="preserve">Perform elevated blood level investigations for sources of lead-based paint in children less than age 6 and pregnant females with confirmed EBL levels and adults with confirmed EBL levels </t>
  </si>
  <si>
    <t xml:space="preserve">Number of requests for blood level analyses </t>
  </si>
  <si>
    <t xml:space="preserve">All legacy cases opened under the Genesee County Health Department have been analyzed and transitioned to CHAP for appropriate next steps.  
</t>
  </si>
  <si>
    <t>MSU Extension</t>
  </si>
  <si>
    <t>Phase 2 of the contract started on June 1, 2016.</t>
  </si>
  <si>
    <t>Genesee County ISD</t>
  </si>
  <si>
    <t>Nutrition Services 5-10 year olds</t>
  </si>
  <si>
    <t>Medicaid waiver enrollment began May 9, 2016.  There is a slight decrease in the overall waiver enrollment this month compared to last month, which is consistent with overall Medicaid caseload trends &amp; the impacts of redeterminations that are seen at the beginning of each month.</t>
  </si>
  <si>
    <t>Lump Sum Payment to Private Child welfare agencies for increased level of required care and supervision mandated by DHHS</t>
  </si>
  <si>
    <t>Multiple</t>
  </si>
  <si>
    <t>Provide special payments to PAFC by 7/30/16</t>
  </si>
  <si>
    <t>100% of payments to date</t>
  </si>
  <si>
    <t>211 Outreach Efforts</t>
  </si>
  <si>
    <t>United Way of Genesee County</t>
  </si>
  <si>
    <t>Market studies for grocery store in City of Flint.</t>
  </si>
  <si>
    <t>Market analyses that drive the strategic establishment of viable grocery store(s) in key locations within the City of Flint</t>
  </si>
  <si>
    <t>Approximately 2,410 plumbing assessments completed;
33 lines have been replaced</t>
  </si>
  <si>
    <t>Provided Technical Expertise for Testing, Sampling, Administration, Evaluation for 49,376 Hours</t>
  </si>
  <si>
    <t>Technical Expertise Was Provided Through the Emergency Declaration</t>
  </si>
  <si>
    <t>Reimbursement from the Disaster Emergency Contingency Fund</t>
  </si>
  <si>
    <t>Michigan Department of Education</t>
  </si>
  <si>
    <t>Interagency Agreement has been finalized to transfer funds from DHHS to MDE. MDE will contract with YMCA and Food Bank of Eastern Michigan to provide additional fresh fruits and vegetables at snacks in the at risk after school program in conjunction with nutrition education for the children and families.  The Food Bank will also enhance their weekend backpack program for children affected by the water crisis.</t>
  </si>
  <si>
    <t xml:space="preserve"> Activities will expand to include education and training to health care professionals and clinics, working with local breastfeeding coalitions, and providing linkages to community resources.</t>
  </si>
  <si>
    <t>Phase 1 has been completed.
Phase 2 of the contract started on June 1, 2016. Phase 1 was completed and approved on 8/11/16.</t>
  </si>
  <si>
    <t>Michigan Public Health Institute</t>
  </si>
  <si>
    <t>Adult Blood Lead Epidemiology and Surveillance (ABLES)</t>
  </si>
  <si>
    <t xml:space="preserve">MSU </t>
  </si>
  <si>
    <t>Conduct interviews with individuals with blood lead levels at or above 5 in the City of Flint. Surveillance database will be modified to reflect data collection. Ongoing epidemiologic analyses of the data will be completed</t>
  </si>
  <si>
    <t># of interviews conducted</t>
  </si>
  <si>
    <t>Brogan and Partners</t>
  </si>
  <si>
    <t>Mott's Children Health Center</t>
  </si>
  <si>
    <t>Low Income Home Emergency Assistance Program</t>
  </si>
  <si>
    <t>Improve delivery of nutrition education, expand cooking classes, implement healthy food guidelines in retail locations around the city, provide incentives to  food retailers to source food locally</t>
  </si>
  <si>
    <t>Number of classes held, outreach materials handed out, and stores enrolled in Healthy food retail program</t>
  </si>
  <si>
    <t>Parents as Teachers evidence-based home visiting program</t>
  </si>
  <si>
    <t>Provide families with training on understanding child development, perform developmental screenings for early detection of potential problems, and connect families with a network of resources</t>
  </si>
  <si>
    <t>Number of families served</t>
  </si>
  <si>
    <t>Contract starts 10/1/16</t>
  </si>
  <si>
    <t>FY17 Contract starts 10/1/16</t>
  </si>
  <si>
    <t xml:space="preserve">Continuation of 2 contractors hired in FY16.   </t>
  </si>
  <si>
    <t>FY17 Contract Starts 10/1/16</t>
  </si>
  <si>
    <t>1,808 new Medicaid enrollees and 22,368 with current coverage enrolled for case management services as of Sept 20, 2016</t>
  </si>
  <si>
    <t>Continuation of 6 pathways workers in Flint schools</t>
  </si>
  <si>
    <t>Approximately 15,000 hours spent supporting the Flint water emergency effort</t>
  </si>
  <si>
    <t>13,935 hours - Spent supporting the SEOC and the safe &amp; successful delivering of Flint Water response.</t>
  </si>
  <si>
    <t>Reimburse DEQ from DECF</t>
  </si>
  <si>
    <t>Reimburse DOC from DECF</t>
  </si>
  <si>
    <t>Reimburse LARA from DECF</t>
  </si>
  <si>
    <t xml:space="preserve">Approximately 76 employees spent 9,656 hours supporting water distribution;
Contract for temporary staffing in place to continue to meet resource requested CDL drivers.  </t>
  </si>
  <si>
    <t>Design test, produce, place and conduct advertising and tracking surveys</t>
  </si>
  <si>
    <t>Provide access to fluoride prevention measures through a school-based fluoride mouth rinse program and expansion of a fluoride varnish program for children ages 1-6</t>
  </si>
  <si>
    <t>Cumulative through September 30, 2016</t>
  </si>
  <si>
    <t>Grant Awarded to grantee and fully spent by grantee</t>
  </si>
  <si>
    <t>Over 25,300 Water Samples Have Been Analyzed, Expenditures Are Those That Have Been Billed to Date</t>
  </si>
  <si>
    <t>Provided Technical Assistance and Coordination for Response Efforts through September 2016</t>
  </si>
  <si>
    <t>Adult Foster Care (AFC) - 12 of 12; 
Child Day Care (CDC) - 37 of 37; 
Schools - 36 of 36;
 Health Care Fac. - 2 of 2; 
TOTAL Completed: 100% 
                                            Foreign language translations:  Requested 223 (56 documents into approximately 4 different languages); 181 completed and on website; 20 received, not needed/pulled from website; 18 requested/or received but not yet on website.
American Sign Language:  56 translations requested, 25 completed/on website; 14 Not Sent/Not Required; 2 pulled from website. 13 requested/or received but not yet on website.</t>
  </si>
  <si>
    <t xml:space="preserve">Completed 389 initial assessments, 
Completed 268 follow up assessments due to non-compliance or high lead levels, 
448 water samples collected, 
446 samples tested; 
2 samples pending </t>
  </si>
  <si>
    <t xml:space="preserve">Of the 446 samples tested:                
322 were non-detect (&lt;1 ppb)
73 were in the range of 1-3.99 ppb
35 were in the range of  4-16ppb
16 were &gt; 15 ppb                                                                                                                                        </t>
  </si>
  <si>
    <t>Reimburse DE from DECF</t>
  </si>
  <si>
    <t>Approximately 48745 hours spent supporting the Flint water emergency effort</t>
  </si>
  <si>
    <t>Approx 1002 hours to support Flint Water Emergency Effort</t>
  </si>
  <si>
    <t>To date, approximately 267 participants have been placed into temporary employment and 204 into subsidized employment.  
The number of hours worked is currently not available.  
Work experience jobs have been created in areas such as career counselors, truck drivers, water distribution hub managers, and water distribution workers.  Subsidized employment, work-experience positions have been created in a number of charitable and community organizations such as Mission of Hope, the Food Bank, and the Flint Housing Commission. To date, over 1.3 million cases of water, 27,000 faucet filters, 49,000 replacement filters, and 9,000 water test kits have been distributed through this project.</t>
  </si>
  <si>
    <t>MSF Board approved project.  First payment was made in August.</t>
  </si>
  <si>
    <t>4,748 meals served</t>
  </si>
  <si>
    <t>AT&amp;T;Cellco Partnership; CMP Distributors; Epoch Hospitality; Grand Traverse Pie Co of Lansing; MI Police Equip; Russell Video Services; The Regents of  U-M; West Publishing; William Whitbeck;</t>
  </si>
  <si>
    <t>Drinking water declaration of emergency reserve fund</t>
  </si>
  <si>
    <t>Internal transfer</t>
  </si>
  <si>
    <t>Note: Individual amounts may not add to totals due to rounding; Non-Flint specific includes internal transfers and work projects</t>
  </si>
  <si>
    <t>Cumulative Expenditures through 
Sept 30, 2016</t>
  </si>
  <si>
    <t>Completed 276 assessments to verify continued compliance, 0 water samples collected</t>
  </si>
  <si>
    <t>276 establishments were found in compliance</t>
  </si>
  <si>
    <t>The health educator currently attends at least 5 meetings/events per week and is responsible for the dissemination of health education materials.</t>
  </si>
  <si>
    <t>2,176,175 million pounds of food delivered</t>
  </si>
  <si>
    <t xml:space="preserve">Deliveries made to 32,324 families through Oct 2016.  </t>
  </si>
  <si>
    <t xml:space="preserve">Provide  nutrition education to 5-10 year olds  </t>
  </si>
  <si>
    <t xml:space="preserve">Number of 5-10 year olds provided with nutrition education </t>
  </si>
  <si>
    <t>Interagency Agreement has been finalized to transfer funds from DHHS to MDE. MDE is working to finalize contracts with YMCA and Food Bank of Eastern Michigan to provide additional fresh fruits and vegetables at snacks in the at risk after school program in conjunction with nutrition education for the children and families.  The Food Bank will also enhance their weekend backpack program for children affected by the water crisis.</t>
  </si>
  <si>
    <t>A health educator was hired to expand training and outreach</t>
  </si>
  <si>
    <t>There were 344 children served in Sept and 345 in Oct. Total children served from May-Oct is 2,065</t>
  </si>
  <si>
    <t xml:space="preserve">1.) Richfield (K-6th Grade), agreement between U of M and Richfield signed, renovations underway; some staff have been hired, 
2.) Kearsley High School, agreement between U of M and Kearsley in process, renovations starting  </t>
  </si>
  <si>
    <t xml:space="preserve">3. Carman-Ainsworth are currently under discussion with UM to start CAHCs. Northwestern High School had an existing center that is currently undergoing renovations and updates          </t>
  </si>
  <si>
    <t>1,516 contacts were made in Sept and 1,973 were made in Oct. 
5,060 contacts have been made in total</t>
  </si>
  <si>
    <t>60 individuals were provided targeted case management services in Sept and 72 were provided targeted case management in Oct</t>
  </si>
  <si>
    <t xml:space="preserve">42 Primary Care providers have been enrolled in MC3 in Flint.  Meetings to plan for enrollment of providers at Mott Children's Health Center and at Hurley Children's Center have been held.  Meetings continue with local stakeholders (CHAP, Greater Flint Health Coalition).  Phone consultation and group consultation to primary care providers has begun as well as telepsychiatric assessment of children.  </t>
  </si>
  <si>
    <t>Funds have been received by the University of Michigan and program is underway. MC3 has provided behavioral health consultation to 6 primary care providers as well as a telepsychiatric assessment and 2 provider group consultations as of October 31, 2016.</t>
  </si>
  <si>
    <t>19 Flint homes are currently in the lead abatement process. 37 Flint homes have been abated and cleared for re-entry.</t>
  </si>
  <si>
    <t>Public Health Service nurses are being trained by MDHHS staff in EBL Environmental Investigation (EI) Protocol.   The overall cancellation rate is approximately 30%.</t>
  </si>
  <si>
    <t>168 data requests and 14 Data Use Agreements have been processed.</t>
  </si>
  <si>
    <t xml:space="preserve">44 interviews have been completed. 17 homes referred for environmental investigation. </t>
  </si>
  <si>
    <t>Completed.
For ongoing updates please refer to line 57.</t>
  </si>
  <si>
    <t xml:space="preserve">Data on new cases sent to CHAP between 5/1/16 and 10/28/16: 114 new cases; 32 received case management; 44 closed without case management; 38 in process of obtaining consent for case management. 
In total: 439 children up to age 17 in Flint 7 zip codes with EBL;154 received case management;237 closed without case management, 48 in process of obtaining consent for case management. </t>
  </si>
  <si>
    <t>30 women currently being served</t>
  </si>
  <si>
    <t xml:space="preserve">Hurley has hired three nurses.  The first two nurses have caseloads of 16 and 14 pregnant women. A third nurse completed her training Nov. 14-18th in Denver. She will be slowing working towards building caseload capacity. There are interviews scheduled Nov 28 and Dec. 1 to fill the final position.  </t>
  </si>
  <si>
    <t>6 sites are now open with approximately 441 children being served</t>
  </si>
  <si>
    <t>As of Oct 2016 there are 4,661 Supplemental Nutrition Assistance Program (SNAP) customers enrolled in DUFB. This is a 125% increase compared to the same time period last year</t>
  </si>
  <si>
    <t xml:space="preserve">Contract started 9/1/16; Media Plan meeting with  MDHHS Communications Office;  IRB application submitted; Evaluation assessment instrument and evaluation checklist developed;  Conference call took place with Chronic Disease (MDHHS) and MSU Ext staff  on 11/2/2016 to discuss contract monitoring. </t>
  </si>
  <si>
    <t xml:space="preserve">The contract with Genesee ISD has been executed. The administrative staff are in the process of being trained on the appropriate data and screening protocols.  Further training needs to occur. New home visitors are in the process of being hired and should be on board before the end of November. </t>
  </si>
  <si>
    <t>Working with Workforce Development on putting this funding towards community ventures for TANF recipients in Genesee County</t>
  </si>
  <si>
    <t>DIT Costs Related Flint Waiver</t>
  </si>
  <si>
    <t>Flint Water Serg</t>
  </si>
  <si>
    <t>Genesee CMH</t>
  </si>
  <si>
    <t>Flint Water Flush Public Education Campaign</t>
  </si>
  <si>
    <t>Martin Waymire</t>
  </si>
  <si>
    <r>
      <rPr>
        <b/>
        <sz val="11"/>
        <rFont val="Calibri"/>
        <family val="2"/>
        <scheme val="minor"/>
      </rPr>
      <t>Completed</t>
    </r>
    <r>
      <rPr>
        <sz val="11"/>
        <rFont val="Calibri"/>
        <family val="2"/>
        <scheme val="minor"/>
      </rPr>
      <t xml:space="preserve">
Water filters, faucet mounts, replacement cartridges and bottles have been delivered and are being distributed from warehouses.  The Federal Emergency Management Agency has taken over coordination and purchasing of water resources</t>
    </r>
  </si>
  <si>
    <r>
      <t xml:space="preserve">Contractors have been hired and working with MDHHS staff.   Two new positions have been filled.   Eight (8) weekly data reports are being generated (ongoing). </t>
    </r>
    <r>
      <rPr>
        <strike/>
        <sz val="11"/>
        <rFont val="Calibri"/>
        <family val="2"/>
      </rPr>
      <t xml:space="preserve"> </t>
    </r>
    <r>
      <rPr>
        <sz val="11"/>
        <rFont val="Calibri"/>
        <family val="2"/>
      </rPr>
      <t xml:space="preserve"> Since February 1, 2016,  168 data requests, 23 information requests, and 14 Data Use Agreements have been processed.</t>
    </r>
  </si>
  <si>
    <r>
      <rPr>
        <b/>
        <sz val="11"/>
        <rFont val="Calibri"/>
        <family val="2"/>
        <scheme val="minor"/>
      </rPr>
      <t>Completed
For ongoing updates please see line 72</t>
    </r>
    <r>
      <rPr>
        <sz val="11"/>
        <rFont val="Calibri"/>
        <family val="2"/>
        <scheme val="minor"/>
      </rPr>
      <t xml:space="preserve">
The Cumulative Output number is a reports or health education materials that Toxicology and Response provided technical expertise for either health education or toxicology.  Contract has been executed and staff have been hired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</si>
</sst>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_);[Red]\(&quot;$&quot;#,##0\)"/>
    <numFmt numFmtId="44" formatCode="_(&quot;$&quot;* #,##0.00_);_(&quot;$&quot;* \(#,##0.00\);_(&quot;$&quot;* &quot;-&quot;??_);_(@_)"/>
    <numFmt numFmtId="43" formatCode="_(* #,##0.00_);_(* \(#,##0.00\);_(* &quot;-&quot;??_);_(@_)"/>
    <numFmt numFmtId="164" formatCode="_(&quot;$&quot;* #,##0.0_);_(&quot;$&quot;* \(#,##0.0\);_(&quot;$&quot;* &quot;-&quot;??_);_(@_)"/>
    <numFmt numFmtId="165" formatCode="&quot;$&quot;#,##0.0_);[Red]\(&quot;$&quot;#,##0.0\)"/>
    <numFmt numFmtId="166" formatCode="#.00"/>
    <numFmt numFmtId="167" formatCode="#,##0."/>
    <numFmt numFmtId="168" formatCode="&quot;$&quot;#."/>
    <numFmt numFmtId="169" formatCode="[$-409]d\-mmm\-yy;@"/>
    <numFmt numFmtId="170" formatCode="&quot;$&quot;#,##0;[Red]&quot;$&quot;#,##0"/>
    <numFmt numFmtId="171" formatCode="0.0%"/>
    <numFmt numFmtId="172" formatCode="&quot;$&quot;#,##0.0;[Red]&quot;$&quot;#,##0.0"/>
    <numFmt numFmtId="173" formatCode="&quot;$&quot;#,##0"/>
    <numFmt numFmtId="174" formatCode="&quot;$&quot;#,##0.00;[Red]&quot;$&quot;#,##0.00"/>
    <numFmt numFmtId="175" formatCode="&quot;$&quot;#,##0.00"/>
  </numFmts>
  <fonts count="29">
    <font>
      <sz val="11"/>
      <color theme="1"/>
      <name val="Calibri"/>
      <family val="2"/>
      <scheme val="minor"/>
    </font>
    <font>
      <sz val="11"/>
      <color theme="1"/>
      <name val="Calibri"/>
      <family val="2"/>
      <scheme val="minor"/>
    </font>
    <font>
      <b/>
      <sz val="12"/>
      <color theme="1"/>
      <name val="Calibri"/>
      <family val="2"/>
      <scheme val="minor"/>
    </font>
    <font>
      <sz val="10"/>
      <name val="Arial"/>
      <family val="2"/>
    </font>
    <font>
      <sz val="1"/>
      <color indexed="8"/>
      <name val="Courier"/>
      <family val="3"/>
    </font>
    <font>
      <sz val="12"/>
      <name val="Arial"/>
      <family val="2"/>
    </font>
    <font>
      <sz val="12"/>
      <color indexed="9"/>
      <name val="NewCenturySchlbk"/>
      <family val="1"/>
    </font>
    <font>
      <b/>
      <sz val="12"/>
      <color theme="0"/>
      <name val="Calibri"/>
      <family val="2"/>
      <scheme val="minor"/>
    </font>
    <font>
      <sz val="12"/>
      <color rgb="FF006100"/>
      <name val="Calibri"/>
      <family val="2"/>
      <scheme val="minor"/>
    </font>
    <font>
      <sz val="12"/>
      <color rgb="FF9C6500"/>
      <name val="Calibri"/>
      <family val="2"/>
      <scheme val="minor"/>
    </font>
    <font>
      <sz val="11"/>
      <name val="Calibri"/>
      <family val="2"/>
      <scheme val="minor"/>
    </font>
    <font>
      <sz val="12"/>
      <color theme="1"/>
      <name val="Calibri"/>
      <family val="2"/>
      <scheme val="minor"/>
    </font>
    <font>
      <sz val="10"/>
      <name val="Calibri"/>
      <family val="2"/>
      <scheme val="minor"/>
    </font>
    <font>
      <b/>
      <sz val="10"/>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b/>
      <sz val="12"/>
      <color theme="4" tint="0.79998168889431442"/>
      <name val="Calibri"/>
      <family val="2"/>
      <scheme val="minor"/>
    </font>
    <font>
      <sz val="9"/>
      <name val="Calibri"/>
      <family val="2"/>
      <scheme val="minor"/>
    </font>
    <font>
      <sz val="11"/>
      <color theme="1"/>
      <name val="Century Schoolbook"/>
      <family val="2"/>
    </font>
    <font>
      <sz val="10"/>
      <color theme="1"/>
      <name val="Arial"/>
      <family val="2"/>
    </font>
    <font>
      <sz val="11"/>
      <color theme="1"/>
      <name val="Agency FB"/>
      <family val="2"/>
    </font>
    <font>
      <b/>
      <sz val="11"/>
      <color rgb="FFFA7D00"/>
      <name val="Agency FB"/>
      <family val="2"/>
    </font>
    <font>
      <sz val="11"/>
      <color rgb="FF3F3F76"/>
      <name val="Agency FB"/>
      <family val="2"/>
    </font>
    <font>
      <sz val="11"/>
      <name val="Calibri"/>
      <family val="2"/>
    </font>
    <font>
      <strike/>
      <sz val="11"/>
      <name val="Calibri"/>
      <family val="2"/>
    </font>
    <font>
      <b/>
      <sz val="11"/>
      <name val="Calibri"/>
      <family val="2"/>
      <scheme val="minor"/>
    </font>
    <font>
      <sz val="12"/>
      <name val="Calibri"/>
      <family val="2"/>
      <scheme val="minor"/>
    </font>
    <font>
      <b/>
      <sz val="12"/>
      <name val="Calibri"/>
      <family val="2"/>
      <scheme val="minor"/>
    </font>
  </fonts>
  <fills count="13">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C6EFCE"/>
      </patternFill>
    </fill>
    <fill>
      <patternFill patternType="solid">
        <fgColor rgb="FFFFEB9C"/>
      </patternFill>
    </fill>
    <fill>
      <patternFill patternType="solid">
        <fgColor rgb="FFA5A5A5"/>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CC99"/>
      </patternFill>
    </fill>
    <fill>
      <patternFill patternType="solid">
        <fgColor rgb="FFF2F2F2"/>
      </patternFill>
    </fill>
    <fill>
      <patternFill patternType="solid">
        <fgColor theme="6" tint="0.79998168889431442"/>
        <bgColor theme="6" tint="0.79998168889431442"/>
      </patternFill>
    </fill>
    <fill>
      <patternFill patternType="solid">
        <fgColor them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indexed="64"/>
      </left>
      <right style="thin">
        <color indexed="8"/>
      </right>
      <top style="thin">
        <color indexed="64"/>
      </top>
      <bottom style="thin">
        <color indexed="64"/>
      </bottom>
      <diagonal/>
    </border>
  </borders>
  <cellStyleXfs count="29">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167" fontId="4" fillId="0" borderId="0">
      <protection locked="0"/>
    </xf>
    <xf numFmtId="168" fontId="4" fillId="0" borderId="0">
      <protection locked="0"/>
    </xf>
    <xf numFmtId="0" fontId="4" fillId="0" borderId="0">
      <protection locked="0"/>
    </xf>
    <xf numFmtId="166" fontId="4" fillId="0" borderId="0">
      <protection locked="0"/>
    </xf>
    <xf numFmtId="0" fontId="4" fillId="0" borderId="0">
      <protection locked="0"/>
    </xf>
    <xf numFmtId="0" fontId="4" fillId="0" borderId="0">
      <protection locked="0"/>
    </xf>
    <xf numFmtId="0" fontId="6" fillId="0" borderId="0"/>
    <xf numFmtId="0" fontId="4" fillId="0" borderId="8">
      <protection locked="0"/>
    </xf>
    <xf numFmtId="0" fontId="5" fillId="0" borderId="0"/>
    <xf numFmtId="43" fontId="3" fillId="0" borderId="0" applyFont="0" applyFill="0" applyBorder="0" applyAlignment="0" applyProtection="0"/>
    <xf numFmtId="0" fontId="5" fillId="0" borderId="0"/>
    <xf numFmtId="0" fontId="7" fillId="6" borderId="7" applyNumberFormat="0" applyAlignment="0" applyProtection="0"/>
    <xf numFmtId="0" fontId="8" fillId="4" borderId="0" applyNumberFormat="0" applyBorder="0" applyAlignment="0" applyProtection="0"/>
    <xf numFmtId="0" fontId="9" fillId="5" borderId="0" applyNumberFormat="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9" fillId="0" borderId="0"/>
    <xf numFmtId="0" fontId="21" fillId="11" borderId="0" applyNumberFormat="0" applyBorder="0" applyAlignment="0" applyProtection="0"/>
    <xf numFmtId="0" fontId="22" fillId="10" borderId="21" applyNumberFormat="0" applyAlignment="0" applyProtection="0"/>
    <xf numFmtId="0" fontId="23" fillId="9" borderId="21" applyNumberFormat="0" applyAlignment="0" applyProtection="0"/>
    <xf numFmtId="0" fontId="5" fillId="0" borderId="0"/>
    <xf numFmtId="0" fontId="20" fillId="0" borderId="0"/>
  </cellStyleXfs>
  <cellXfs count="210">
    <xf numFmtId="0" fontId="0" fillId="0" borderId="0" xfId="0"/>
    <xf numFmtId="0" fontId="0" fillId="0" borderId="0" xfId="0" applyAlignment="1">
      <alignment horizontal="center"/>
    </xf>
    <xf numFmtId="0" fontId="0" fillId="0" borderId="0" xfId="0"/>
    <xf numFmtId="6" fontId="12" fillId="0" borderId="1" xfId="0" applyNumberFormat="1" applyFont="1" applyFill="1" applyBorder="1" applyAlignment="1">
      <alignment vertical="center"/>
    </xf>
    <xf numFmtId="6" fontId="13" fillId="0" borderId="1" xfId="0" applyNumberFormat="1" applyFont="1" applyFill="1" applyBorder="1" applyAlignment="1">
      <alignment horizontal="right" vertical="center"/>
    </xf>
    <xf numFmtId="0" fontId="7" fillId="7" borderId="0" xfId="0" applyFont="1" applyFill="1" applyBorder="1" applyAlignment="1">
      <alignment horizontal="center" wrapText="1"/>
    </xf>
    <xf numFmtId="0" fontId="7" fillId="7" borderId="0" xfId="0" applyFont="1" applyFill="1" applyBorder="1" applyAlignment="1">
      <alignment horizontal="center" wrapText="1" shrinkToFit="1"/>
    </xf>
    <xf numFmtId="0" fontId="7" fillId="7" borderId="16" xfId="0" applyFont="1" applyFill="1" applyBorder="1" applyAlignment="1">
      <alignment horizontal="center" wrapText="1"/>
    </xf>
    <xf numFmtId="0" fontId="11" fillId="8" borderId="15" xfId="0" applyFont="1" applyFill="1" applyBorder="1"/>
    <xf numFmtId="0" fontId="11" fillId="8" borderId="0" xfId="0" applyFont="1" applyFill="1" applyBorder="1" applyAlignment="1">
      <alignment horizontal="center"/>
    </xf>
    <xf numFmtId="0" fontId="11" fillId="8" borderId="16" xfId="0" applyFont="1" applyFill="1" applyBorder="1" applyAlignment="1">
      <alignment horizontal="center"/>
    </xf>
    <xf numFmtId="0" fontId="7" fillId="7" borderId="15" xfId="0" applyFont="1" applyFill="1" applyBorder="1" applyAlignment="1">
      <alignment vertical="center"/>
    </xf>
    <xf numFmtId="170" fontId="7" fillId="7" borderId="0" xfId="0" applyNumberFormat="1" applyFont="1" applyFill="1" applyBorder="1" applyAlignment="1">
      <alignment horizontal="center" vertical="center"/>
    </xf>
    <xf numFmtId="171" fontId="7" fillId="7" borderId="0" xfId="2" applyNumberFormat="1" applyFont="1" applyFill="1" applyBorder="1" applyAlignment="1">
      <alignment horizontal="center" vertical="center"/>
    </xf>
    <xf numFmtId="170" fontId="7" fillId="7" borderId="16" xfId="0" applyNumberFormat="1" applyFont="1" applyFill="1" applyBorder="1" applyAlignment="1">
      <alignment horizontal="center" vertical="center"/>
    </xf>
    <xf numFmtId="0" fontId="0" fillId="0" borderId="0" xfId="0" applyAlignment="1">
      <alignment vertical="center"/>
    </xf>
    <xf numFmtId="170" fontId="2" fillId="8" borderId="0" xfId="0" applyNumberFormat="1" applyFont="1" applyFill="1" applyBorder="1" applyAlignment="1">
      <alignment horizontal="center" vertical="center"/>
    </xf>
    <xf numFmtId="171" fontId="11" fillId="8" borderId="0" xfId="2" applyNumberFormat="1" applyFont="1" applyFill="1" applyBorder="1" applyAlignment="1">
      <alignment horizontal="center" vertical="center"/>
    </xf>
    <xf numFmtId="170" fontId="11" fillId="8" borderId="0" xfId="0" applyNumberFormat="1" applyFont="1" applyFill="1" applyBorder="1" applyAlignment="1">
      <alignment horizontal="center" vertical="center"/>
    </xf>
    <xf numFmtId="170" fontId="11" fillId="8" borderId="16" xfId="0" applyNumberFormat="1" applyFont="1" applyFill="1" applyBorder="1" applyAlignment="1">
      <alignment horizontal="center" vertical="center"/>
    </xf>
    <xf numFmtId="171" fontId="2" fillId="8" borderId="0" xfId="2" applyNumberFormat="1" applyFont="1" applyFill="1" applyBorder="1" applyAlignment="1">
      <alignment horizontal="center" vertical="center"/>
    </xf>
    <xf numFmtId="170" fontId="2" fillId="8" borderId="16" xfId="0" applyNumberFormat="1" applyFont="1" applyFill="1" applyBorder="1" applyAlignment="1">
      <alignment horizontal="center" vertical="center"/>
    </xf>
    <xf numFmtId="0" fontId="0" fillId="8" borderId="17" xfId="0" applyFill="1" applyBorder="1"/>
    <xf numFmtId="0" fontId="0" fillId="8" borderId="18" xfId="0" applyFill="1" applyBorder="1" applyAlignment="1">
      <alignment horizontal="center"/>
    </xf>
    <xf numFmtId="171" fontId="0" fillId="8" borderId="18" xfId="2" applyNumberFormat="1" applyFont="1" applyFill="1" applyBorder="1" applyAlignment="1">
      <alignment horizontal="center"/>
    </xf>
    <xf numFmtId="0" fontId="0" fillId="8" borderId="19" xfId="0" applyFill="1" applyBorder="1" applyAlignment="1">
      <alignment horizontal="center"/>
    </xf>
    <xf numFmtId="0" fontId="18" fillId="0" borderId="0" xfId="0" applyFont="1"/>
    <xf numFmtId="172" fontId="0" fillId="0" borderId="0" xfId="0" applyNumberFormat="1" applyAlignment="1">
      <alignment horizontal="center"/>
    </xf>
    <xf numFmtId="164" fontId="0" fillId="0" borderId="0" xfId="1" applyNumberFormat="1" applyFont="1"/>
    <xf numFmtId="0" fontId="10" fillId="0" borderId="0" xfId="0" applyFont="1"/>
    <xf numFmtId="0" fontId="14" fillId="7" borderId="0" xfId="0" applyFont="1" applyFill="1" applyBorder="1" applyAlignment="1">
      <alignment horizontal="center" wrapText="1"/>
    </xf>
    <xf numFmtId="0" fontId="14" fillId="7" borderId="16" xfId="0" applyFont="1" applyFill="1" applyBorder="1" applyAlignment="1">
      <alignment horizontal="center" wrapText="1"/>
    </xf>
    <xf numFmtId="0" fontId="0" fillId="8" borderId="0" xfId="0" applyFill="1" applyBorder="1"/>
    <xf numFmtId="0" fontId="0" fillId="8" borderId="16" xfId="0" applyFill="1" applyBorder="1" applyAlignment="1">
      <alignment wrapText="1"/>
    </xf>
    <xf numFmtId="0" fontId="7" fillId="7" borderId="15" xfId="0" applyFont="1" applyFill="1" applyBorder="1"/>
    <xf numFmtId="173" fontId="15" fillId="7" borderId="16" xfId="0" applyNumberFormat="1" applyFont="1" applyFill="1" applyBorder="1" applyAlignment="1">
      <alignment horizontal="center" vertical="center" wrapText="1"/>
    </xf>
    <xf numFmtId="173" fontId="15" fillId="8" borderId="0" xfId="0" applyNumberFormat="1" applyFont="1" applyFill="1" applyBorder="1" applyAlignment="1">
      <alignment horizontal="center" vertical="center"/>
    </xf>
    <xf numFmtId="173" fontId="15" fillId="8" borderId="16" xfId="0" applyNumberFormat="1" applyFont="1" applyFill="1" applyBorder="1" applyAlignment="1">
      <alignment horizontal="center" vertical="center" wrapText="1"/>
    </xf>
    <xf numFmtId="0" fontId="0" fillId="3" borderId="0" xfId="0" applyFill="1"/>
    <xf numFmtId="173" fontId="15" fillId="8" borderId="16" xfId="0" applyNumberFormat="1" applyFont="1" applyFill="1" applyBorder="1" applyAlignment="1">
      <alignment horizontal="center" vertical="center"/>
    </xf>
    <xf numFmtId="0" fontId="7" fillId="7" borderId="17" xfId="0" applyFont="1" applyFill="1" applyBorder="1"/>
    <xf numFmtId="173" fontId="14" fillId="7" borderId="18" xfId="0" applyNumberFormat="1" applyFont="1" applyFill="1" applyBorder="1" applyAlignment="1">
      <alignment horizontal="center" vertical="center"/>
    </xf>
    <xf numFmtId="173" fontId="14" fillId="7" borderId="19" xfId="0" applyNumberFormat="1" applyFont="1" applyFill="1" applyBorder="1" applyAlignment="1">
      <alignment horizontal="center" vertical="center"/>
    </xf>
    <xf numFmtId="0" fontId="7" fillId="7" borderId="18" xfId="0" applyFont="1" applyFill="1" applyBorder="1"/>
    <xf numFmtId="0" fontId="14" fillId="7" borderId="18" xfId="0" applyFont="1" applyFill="1" applyBorder="1"/>
    <xf numFmtId="0" fontId="14" fillId="7" borderId="18" xfId="0" applyFont="1" applyFill="1" applyBorder="1" applyAlignment="1">
      <alignment horizontal="center" wrapText="1"/>
    </xf>
    <xf numFmtId="0" fontId="14" fillId="7" borderId="19" xfId="0" applyFont="1" applyFill="1" applyBorder="1" applyAlignment="1">
      <alignment horizontal="center" wrapText="1"/>
    </xf>
    <xf numFmtId="0" fontId="7" fillId="8" borderId="15" xfId="0" applyFont="1" applyFill="1" applyBorder="1"/>
    <xf numFmtId="0" fontId="7" fillId="8" borderId="0" xfId="0" applyFont="1" applyFill="1" applyBorder="1"/>
    <xf numFmtId="0" fontId="7" fillId="8" borderId="0" xfId="0" applyFont="1" applyFill="1" applyBorder="1" applyAlignment="1">
      <alignment horizontal="center"/>
    </xf>
    <xf numFmtId="0" fontId="7" fillId="8" borderId="16" xfId="0" applyFont="1" applyFill="1" applyBorder="1" applyAlignment="1">
      <alignment horizontal="center"/>
    </xf>
    <xf numFmtId="0" fontId="7" fillId="7" borderId="0" xfId="0" applyFont="1" applyFill="1" applyBorder="1"/>
    <xf numFmtId="0" fontId="14" fillId="7" borderId="0" xfId="0" applyFont="1" applyFill="1" applyBorder="1"/>
    <xf numFmtId="6" fontId="14" fillId="7" borderId="0" xfId="0" applyNumberFormat="1" applyFont="1" applyFill="1" applyBorder="1" applyAlignment="1">
      <alignment horizontal="center"/>
    </xf>
    <xf numFmtId="6" fontId="14" fillId="7" borderId="16" xfId="0" applyNumberFormat="1" applyFont="1" applyFill="1" applyBorder="1" applyAlignment="1">
      <alignment horizontal="center"/>
    </xf>
    <xf numFmtId="0" fontId="14" fillId="8" borderId="15" xfId="0" applyFont="1" applyFill="1" applyBorder="1"/>
    <xf numFmtId="0" fontId="14" fillId="8" borderId="0" xfId="0" applyFont="1" applyFill="1" applyBorder="1"/>
    <xf numFmtId="6" fontId="14" fillId="8" borderId="0" xfId="0" applyNumberFormat="1" applyFont="1" applyFill="1" applyBorder="1" applyAlignment="1">
      <alignment horizontal="center"/>
    </xf>
    <xf numFmtId="6" fontId="14" fillId="8" borderId="16" xfId="0" applyNumberFormat="1" applyFont="1" applyFill="1" applyBorder="1" applyAlignment="1">
      <alignment horizontal="center"/>
    </xf>
    <xf numFmtId="0" fontId="0" fillId="8" borderId="15" xfId="0" applyFill="1" applyBorder="1"/>
    <xf numFmtId="6" fontId="15" fillId="7" borderId="0" xfId="0" applyNumberFormat="1" applyFont="1" applyFill="1" applyBorder="1" applyAlignment="1">
      <alignment horizontal="center"/>
    </xf>
    <xf numFmtId="6" fontId="15" fillId="7" borderId="16" xfId="0" applyNumberFormat="1" applyFont="1" applyFill="1" applyBorder="1" applyAlignment="1">
      <alignment horizontal="center"/>
    </xf>
    <xf numFmtId="6" fontId="15" fillId="8" borderId="0" xfId="0" applyNumberFormat="1" applyFont="1" applyFill="1" applyBorder="1" applyAlignment="1">
      <alignment horizontal="center"/>
    </xf>
    <xf numFmtId="6" fontId="15" fillId="8" borderId="16" xfId="0" applyNumberFormat="1" applyFont="1" applyFill="1" applyBorder="1" applyAlignment="1">
      <alignment horizontal="center"/>
    </xf>
    <xf numFmtId="0" fontId="15" fillId="8" borderId="0" xfId="0" applyFont="1" applyFill="1" applyBorder="1"/>
    <xf numFmtId="6" fontId="15" fillId="8" borderId="0" xfId="0" applyNumberFormat="1" applyFont="1" applyFill="1" applyBorder="1"/>
    <xf numFmtId="0" fontId="7" fillId="8" borderId="17" xfId="0" applyFont="1" applyFill="1" applyBorder="1"/>
    <xf numFmtId="0" fontId="0" fillId="7" borderId="18" xfId="0" applyFill="1" applyBorder="1"/>
    <xf numFmtId="6" fontId="15" fillId="7" borderId="18" xfId="0" applyNumberFormat="1" applyFont="1" applyFill="1" applyBorder="1" applyAlignment="1">
      <alignment horizontal="center"/>
    </xf>
    <xf numFmtId="6" fontId="15" fillId="7" borderId="19" xfId="0" applyNumberFormat="1" applyFont="1" applyFill="1" applyBorder="1" applyAlignment="1">
      <alignment horizontal="center"/>
    </xf>
    <xf numFmtId="6" fontId="15" fillId="8" borderId="16" xfId="0" applyNumberFormat="1" applyFont="1" applyFill="1" applyBorder="1"/>
    <xf numFmtId="0" fontId="0" fillId="8" borderId="18" xfId="0" applyFill="1" applyBorder="1"/>
    <xf numFmtId="0" fontId="7" fillId="8" borderId="18" xfId="0" applyFont="1" applyFill="1" applyBorder="1"/>
    <xf numFmtId="165" fontId="0" fillId="8" borderId="18" xfId="0" applyNumberFormat="1" applyFill="1" applyBorder="1"/>
    <xf numFmtId="165" fontId="0" fillId="8" borderId="19" xfId="0" applyNumberFormat="1" applyFill="1" applyBorder="1"/>
    <xf numFmtId="0" fontId="0" fillId="0" borderId="0" xfId="0"/>
    <xf numFmtId="0" fontId="0" fillId="0" borderId="0" xfId="0" applyBorder="1" applyAlignment="1">
      <alignment vertical="center"/>
    </xf>
    <xf numFmtId="0" fontId="7" fillId="7" borderId="15" xfId="0" applyFont="1" applyFill="1" applyBorder="1" applyAlignment="1">
      <alignment vertical="center" wrapText="1"/>
    </xf>
    <xf numFmtId="0" fontId="11" fillId="8" borderId="15" xfId="0" applyFont="1" applyFill="1" applyBorder="1" applyAlignment="1">
      <alignment vertical="center" wrapText="1"/>
    </xf>
    <xf numFmtId="0" fontId="10" fillId="0" borderId="0" xfId="0" applyFont="1" applyAlignment="1">
      <alignment wrapText="1"/>
    </xf>
    <xf numFmtId="0" fontId="15" fillId="7" borderId="15" xfId="0" applyFont="1" applyFill="1" applyBorder="1" applyAlignment="1">
      <alignment wrapText="1"/>
    </xf>
    <xf numFmtId="0" fontId="10" fillId="8" borderId="15" xfId="0" applyFont="1" applyFill="1" applyBorder="1" applyAlignment="1">
      <alignment wrapText="1"/>
    </xf>
    <xf numFmtId="173" fontId="15" fillId="7" borderId="0" xfId="0" applyNumberFormat="1" applyFont="1" applyFill="1" applyBorder="1" applyAlignment="1">
      <alignment horizontal="center" vertical="center"/>
    </xf>
    <xf numFmtId="0" fontId="10" fillId="8" borderId="15" xfId="0" applyFont="1" applyFill="1" applyBorder="1" applyAlignment="1">
      <alignment vertical="center" wrapText="1"/>
    </xf>
    <xf numFmtId="0" fontId="0" fillId="3" borderId="0" xfId="0" applyFill="1" applyAlignment="1">
      <alignment vertical="center"/>
    </xf>
    <xf numFmtId="0" fontId="7" fillId="7" borderId="17" xfId="0" applyFont="1" applyFill="1" applyBorder="1" applyAlignment="1">
      <alignment vertical="center" wrapText="1"/>
    </xf>
    <xf numFmtId="0" fontId="0" fillId="0" borderId="0" xfId="0"/>
    <xf numFmtId="170" fontId="17" fillId="8" borderId="16"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24" fillId="3" borderId="20" xfId="0" applyNumberFormat="1"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3" borderId="1" xfId="0" applyFont="1" applyFill="1" applyBorder="1" applyAlignment="1">
      <alignment vertical="center" wrapText="1"/>
    </xf>
    <xf numFmtId="6" fontId="10" fillId="0" borderId="1" xfId="1" applyNumberFormat="1" applyFont="1" applyFill="1" applyBorder="1" applyAlignment="1">
      <alignment horizontal="center" vertic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6" fontId="10" fillId="3" borderId="1" xfId="0" applyNumberFormat="1" applyFont="1" applyFill="1" applyBorder="1" applyAlignment="1">
      <alignment horizontal="center" vertical="center" wrapText="1"/>
    </xf>
    <xf numFmtId="6" fontId="10" fillId="3" borderId="1" xfId="1" applyNumberFormat="1" applyFont="1" applyFill="1" applyBorder="1" applyAlignment="1">
      <alignment horizontal="center" vertical="center"/>
    </xf>
    <xf numFmtId="6" fontId="10" fillId="3" borderId="1" xfId="1" applyNumberFormat="1" applyFont="1" applyFill="1" applyBorder="1" applyAlignment="1">
      <alignment horizontal="center" vertical="center" wrapText="1"/>
    </xf>
    <xf numFmtId="9" fontId="10" fillId="3" borderId="1" xfId="2" applyFont="1" applyFill="1" applyBorder="1" applyAlignment="1">
      <alignment horizontal="center" vertical="center" wrapText="1"/>
    </xf>
    <xf numFmtId="0" fontId="16" fillId="7" borderId="15" xfId="0" applyFont="1" applyFill="1" applyBorder="1" applyAlignment="1">
      <alignment wrapText="1"/>
    </xf>
    <xf numFmtId="0" fontId="10" fillId="3" borderId="1" xfId="3" applyFont="1" applyFill="1" applyBorder="1" applyAlignment="1">
      <alignment vertical="center" wrapText="1"/>
    </xf>
    <xf numFmtId="0" fontId="10" fillId="3" borderId="1" xfId="19" applyFont="1" applyFill="1" applyBorder="1" applyAlignment="1">
      <alignment vertical="center" wrapText="1"/>
    </xf>
    <xf numFmtId="170" fontId="7" fillId="8" borderId="0" xfId="0" applyNumberFormat="1" applyFont="1" applyFill="1" applyBorder="1" applyAlignment="1">
      <alignment horizontal="center" vertical="center"/>
    </xf>
    <xf numFmtId="173" fontId="7" fillId="7" borderId="0" xfId="0" applyNumberFormat="1" applyFont="1" applyFill="1" applyBorder="1" applyAlignment="1">
      <alignment horizontal="center" vertical="center"/>
    </xf>
    <xf numFmtId="174" fontId="7" fillId="7" borderId="0"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6" fontId="10" fillId="0" borderId="1" xfId="0" applyNumberFormat="1" applyFont="1" applyFill="1" applyBorder="1" applyAlignment="1">
      <alignment horizontal="center" vertical="center" wrapText="1"/>
    </xf>
    <xf numFmtId="6" fontId="10" fillId="0" borderId="1" xfId="1" applyNumberFormat="1" applyFont="1" applyFill="1" applyBorder="1" applyAlignment="1">
      <alignment horizontal="center" vertical="center" wrapText="1"/>
    </xf>
    <xf numFmtId="0" fontId="10" fillId="3" borderId="0" xfId="0" applyFont="1" applyFill="1" applyBorder="1"/>
    <xf numFmtId="0" fontId="10" fillId="0" borderId="0" xfId="0" applyFont="1" applyFill="1" applyBorder="1"/>
    <xf numFmtId="0" fontId="10" fillId="0" borderId="9" xfId="0" applyFont="1" applyFill="1" applyBorder="1" applyAlignment="1">
      <alignment horizontal="center" vertical="center" wrapText="1"/>
    </xf>
    <xf numFmtId="0" fontId="10" fillId="0" borderId="0" xfId="0" applyFont="1" applyFill="1"/>
    <xf numFmtId="0" fontId="24" fillId="0" borderId="1" xfId="0" applyNumberFormat="1" applyFont="1" applyFill="1" applyBorder="1" applyAlignment="1">
      <alignment horizontal="center" vertical="center" wrapText="1"/>
    </xf>
    <xf numFmtId="0" fontId="24" fillId="3" borderId="1" xfId="0" applyNumberFormat="1" applyFont="1" applyFill="1" applyBorder="1" applyAlignment="1">
      <alignment horizontal="center" vertical="center" wrapText="1"/>
    </xf>
    <xf numFmtId="175" fontId="10" fillId="0" borderId="1" xfId="0" applyNumberFormat="1" applyFont="1" applyFill="1" applyBorder="1" applyAlignment="1">
      <alignment horizontal="center" vertical="center"/>
    </xf>
    <xf numFmtId="0" fontId="26" fillId="0" borderId="0" xfId="0" applyFont="1" applyAlignment="1">
      <alignment vertical="center"/>
    </xf>
    <xf numFmtId="0" fontId="10" fillId="0" borderId="0" xfId="0" applyFont="1" applyBorder="1" applyAlignment="1"/>
    <xf numFmtId="164" fontId="10" fillId="0" borderId="0" xfId="1" applyNumberFormat="1" applyFont="1" applyBorder="1" applyAlignment="1">
      <alignment horizontal="center" vertical="center"/>
    </xf>
    <xf numFmtId="0" fontId="10" fillId="0" borderId="0" xfId="0" applyFont="1" applyAlignment="1">
      <alignment horizontal="center"/>
    </xf>
    <xf numFmtId="0" fontId="10" fillId="0" borderId="0" xfId="0" applyFont="1" applyBorder="1"/>
    <xf numFmtId="0" fontId="27" fillId="0" borderId="0" xfId="0" applyFont="1" applyBorder="1" applyAlignment="1">
      <alignment horizontal="left" vertical="center"/>
    </xf>
    <xf numFmtId="164" fontId="10" fillId="0" borderId="0" xfId="1" applyNumberFormat="1" applyFont="1" applyBorder="1" applyAlignment="1"/>
    <xf numFmtId="164" fontId="10" fillId="0" borderId="0" xfId="1" applyNumberFormat="1" applyFont="1" applyBorder="1" applyAlignment="1">
      <alignment horizontal="left"/>
    </xf>
    <xf numFmtId="169" fontId="10" fillId="0" borderId="0" xfId="0" applyNumberFormat="1" applyFont="1" applyFill="1" applyBorder="1" applyAlignment="1">
      <alignment horizontal="left" vertical="top"/>
    </xf>
    <xf numFmtId="0" fontId="28" fillId="0" borderId="0" xfId="0" applyFont="1" applyBorder="1" applyAlignment="1">
      <alignment vertical="center"/>
    </xf>
    <xf numFmtId="0" fontId="10" fillId="0" borderId="0" xfId="0" applyFont="1" applyBorder="1" applyAlignment="1">
      <alignment horizontal="left" vertical="center"/>
    </xf>
    <xf numFmtId="0" fontId="10" fillId="0" borderId="0" xfId="0" applyFont="1" applyFill="1" applyBorder="1" applyAlignment="1">
      <alignment horizontal="center" vertical="center"/>
    </xf>
    <xf numFmtId="0" fontId="10" fillId="0" borderId="0" xfId="0" applyFont="1" applyFill="1" applyBorder="1" applyAlignment="1">
      <alignment vertical="top"/>
    </xf>
    <xf numFmtId="0" fontId="12" fillId="0" borderId="0" xfId="0" applyFont="1" applyFill="1" applyBorder="1" applyAlignment="1">
      <alignment vertical="top"/>
    </xf>
    <xf numFmtId="0" fontId="13" fillId="0" borderId="2" xfId="0" applyFont="1" applyFill="1" applyBorder="1" applyAlignment="1">
      <alignment horizontal="left" vertical="top"/>
    </xf>
    <xf numFmtId="0" fontId="12" fillId="0" borderId="2" xfId="0" applyFont="1" applyFill="1" applyBorder="1" applyAlignment="1">
      <alignment horizontal="left" vertical="top" wrapText="1"/>
    </xf>
    <xf numFmtId="0" fontId="28" fillId="0" borderId="0" xfId="0" applyFont="1" applyBorder="1" applyAlignment="1">
      <alignment horizontal="center" vertical="center" wrapText="1"/>
    </xf>
    <xf numFmtId="0" fontId="26" fillId="2" borderId="3" xfId="0" applyFont="1" applyFill="1" applyBorder="1" applyAlignment="1">
      <alignment vertical="center" wrapText="1"/>
    </xf>
    <xf numFmtId="0" fontId="26" fillId="2" borderId="4" xfId="0" applyFont="1" applyFill="1" applyBorder="1" applyAlignment="1">
      <alignment vertical="center"/>
    </xf>
    <xf numFmtId="14" fontId="26" fillId="2" borderId="1" xfId="1" applyNumberFormat="1" applyFont="1" applyFill="1" applyBorder="1" applyAlignment="1">
      <alignment horizontal="center" vertical="center" wrapText="1"/>
    </xf>
    <xf numFmtId="0" fontId="10" fillId="0" borderId="0" xfId="0" applyFont="1" applyBorder="1" applyAlignment="1">
      <alignment vertical="center"/>
    </xf>
    <xf numFmtId="0" fontId="10"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165" fontId="26" fillId="2" borderId="6" xfId="0" applyNumberFormat="1" applyFont="1" applyFill="1" applyBorder="1" applyAlignment="1">
      <alignment horizontal="center" vertical="center" wrapText="1"/>
    </xf>
    <xf numFmtId="164" fontId="26" fillId="2" borderId="1" xfId="1" applyNumberFormat="1" applyFont="1" applyFill="1" applyBorder="1" applyAlignment="1">
      <alignment horizontal="center" vertical="center" wrapText="1"/>
    </xf>
    <xf numFmtId="164" fontId="26" fillId="2" borderId="6" xfId="1" applyNumberFormat="1" applyFont="1" applyFill="1" applyBorder="1" applyAlignment="1">
      <alignment horizontal="center" vertical="center" wrapText="1"/>
    </xf>
    <xf numFmtId="9" fontId="26" fillId="2" borderId="1" xfId="2" applyFont="1" applyFill="1" applyBorder="1" applyAlignment="1">
      <alignment horizontal="center" vertical="center" wrapText="1"/>
    </xf>
    <xf numFmtId="0" fontId="10" fillId="0" borderId="0" xfId="0" applyFont="1" applyBorder="1" applyAlignment="1">
      <alignment horizontal="center" wrapText="1"/>
    </xf>
    <xf numFmtId="0" fontId="10" fillId="3" borderId="1" xfId="0" quotePrefix="1" applyFont="1" applyFill="1" applyBorder="1" applyAlignment="1">
      <alignment horizontal="center" vertical="center" wrapText="1"/>
    </xf>
    <xf numFmtId="0" fontId="10" fillId="0" borderId="1" xfId="0" applyFont="1" applyFill="1" applyBorder="1" applyAlignment="1">
      <alignment vertical="center" wrapText="1"/>
    </xf>
    <xf numFmtId="0" fontId="24" fillId="3" borderId="1" xfId="0" applyFont="1" applyFill="1" applyBorder="1" applyAlignment="1">
      <alignment horizontal="left" vertical="center" wrapText="1"/>
    </xf>
    <xf numFmtId="6" fontId="10" fillId="3" borderId="6" xfId="0" applyNumberFormat="1" applyFont="1" applyFill="1" applyBorder="1" applyAlignment="1">
      <alignment horizontal="center" vertical="center" wrapText="1"/>
    </xf>
    <xf numFmtId="6" fontId="10" fillId="3" borderId="6" xfId="1" applyNumberFormat="1" applyFont="1" applyFill="1" applyBorder="1" applyAlignment="1">
      <alignment horizontal="center" vertical="center" wrapText="1"/>
    </xf>
    <xf numFmtId="0" fontId="24" fillId="12" borderId="1" xfId="0" applyFont="1" applyFill="1" applyBorder="1" applyAlignment="1">
      <alignment horizontal="left" vertical="center" wrapText="1"/>
    </xf>
    <xf numFmtId="6" fontId="10" fillId="12" borderId="1" xfId="1" applyNumberFormat="1" applyFont="1" applyFill="1" applyBorder="1" applyAlignment="1">
      <alignment horizontal="center" vertical="center"/>
    </xf>
    <xf numFmtId="6" fontId="10" fillId="3" borderId="1" xfId="0" applyNumberFormat="1" applyFont="1" applyFill="1" applyBorder="1" applyAlignment="1">
      <alignment horizontal="center" vertical="center"/>
    </xf>
    <xf numFmtId="0" fontId="24" fillId="3" borderId="1" xfId="0" applyFont="1" applyFill="1" applyBorder="1" applyAlignment="1">
      <alignment vertical="center" wrapText="1"/>
    </xf>
    <xf numFmtId="3" fontId="10" fillId="3" borderId="5" xfId="0" applyNumberFormat="1"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24" fillId="3" borderId="22" xfId="0" applyNumberFormat="1" applyFont="1" applyFill="1" applyBorder="1" applyAlignment="1">
      <alignment horizontal="center" vertical="center" wrapText="1"/>
    </xf>
    <xf numFmtId="6" fontId="10" fillId="0" borderId="0" xfId="0" applyNumberFormat="1" applyFont="1" applyFill="1" applyAlignment="1">
      <alignment horizontal="center" vertical="center"/>
    </xf>
    <xf numFmtId="0" fontId="24" fillId="3" borderId="1" xfId="0" applyFont="1" applyFill="1" applyBorder="1" applyAlignment="1">
      <alignment horizontal="center" vertical="center" wrapText="1"/>
    </xf>
    <xf numFmtId="171" fontId="10" fillId="3" borderId="1" xfId="2"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top" wrapText="1"/>
    </xf>
    <xf numFmtId="6" fontId="26" fillId="0" borderId="1" xfId="0" applyNumberFormat="1" applyFont="1" applyFill="1" applyBorder="1" applyAlignment="1">
      <alignment horizontal="center" vertical="center" wrapText="1"/>
    </xf>
    <xf numFmtId="0" fontId="10" fillId="0" borderId="0" xfId="0" applyFont="1" applyFill="1" applyBorder="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6" fontId="10" fillId="0" borderId="1" xfId="1" applyNumberFormat="1" applyFont="1" applyBorder="1" applyAlignment="1">
      <alignment horizontal="center" vertical="center" wrapText="1"/>
    </xf>
    <xf numFmtId="49" fontId="10" fillId="3" borderId="1" xfId="0" applyNumberFormat="1" applyFont="1" applyFill="1" applyBorder="1" applyAlignment="1">
      <alignment horizontal="center" vertical="center" wrapText="1"/>
    </xf>
    <xf numFmtId="6" fontId="10" fillId="3" borderId="1" xfId="1" applyNumberFormat="1" applyFont="1" applyFill="1" applyBorder="1" applyAlignment="1">
      <alignment vertical="center"/>
    </xf>
    <xf numFmtId="0" fontId="10" fillId="0" borderId="1" xfId="0" applyFont="1" applyBorder="1" applyAlignment="1">
      <alignment horizontal="left" vertical="center" wrapText="1"/>
    </xf>
    <xf numFmtId="6" fontId="10" fillId="0" borderId="1" xfId="0" applyNumberFormat="1" applyFont="1" applyBorder="1" applyAlignment="1">
      <alignment horizontal="center" vertical="center" wrapText="1"/>
    </xf>
    <xf numFmtId="0" fontId="10" fillId="0" borderId="1" xfId="0" applyFont="1" applyFill="1" applyBorder="1" applyAlignment="1">
      <alignment horizontal="center" wrapText="1"/>
    </xf>
    <xf numFmtId="6" fontId="10" fillId="0" borderId="1" xfId="1" applyNumberFormat="1" applyFont="1" applyFill="1" applyBorder="1" applyAlignment="1">
      <alignment vertical="center"/>
    </xf>
    <xf numFmtId="6" fontId="26" fillId="0" borderId="0" xfId="0" applyNumberFormat="1" applyFont="1" applyFill="1" applyBorder="1" applyAlignment="1">
      <alignment horizontal="center" vertical="center"/>
    </xf>
    <xf numFmtId="6" fontId="26" fillId="0" borderId="1" xfId="0" applyNumberFormat="1" applyFont="1" applyFill="1" applyBorder="1" applyAlignment="1">
      <alignment horizontal="center" vertical="center"/>
    </xf>
    <xf numFmtId="0" fontId="10" fillId="0" borderId="0" xfId="0" applyFont="1" applyFill="1" applyAlignment="1">
      <alignment horizontal="center"/>
    </xf>
    <xf numFmtId="6" fontId="10" fillId="0" borderId="0" xfId="0" applyNumberFormat="1" applyFont="1" applyBorder="1"/>
    <xf numFmtId="0" fontId="13" fillId="0" borderId="1" xfId="0" applyFont="1" applyFill="1" applyBorder="1" applyAlignment="1">
      <alignment horizontal="left"/>
    </xf>
    <xf numFmtId="0" fontId="13" fillId="0" borderId="1" xfId="0" applyFont="1" applyFill="1" applyBorder="1" applyAlignment="1">
      <alignment horizontal="center" wrapText="1"/>
    </xf>
    <xf numFmtId="0" fontId="13" fillId="0" borderId="1" xfId="0" applyFont="1" applyFill="1" applyBorder="1" applyAlignment="1">
      <alignment horizontal="center"/>
    </xf>
    <xf numFmtId="0" fontId="13" fillId="0" borderId="1" xfId="0" applyFont="1" applyFill="1" applyBorder="1" applyAlignment="1">
      <alignment horizontal="right" wrapText="1"/>
    </xf>
    <xf numFmtId="0" fontId="12" fillId="0" borderId="1" xfId="0" applyFont="1" applyFill="1" applyBorder="1" applyAlignment="1">
      <alignment horizontal="left" vertical="center"/>
    </xf>
    <xf numFmtId="0" fontId="12" fillId="0" borderId="10" xfId="0" applyFont="1" applyFill="1" applyBorder="1" applyAlignment="1">
      <alignment horizontal="left" vertical="center"/>
    </xf>
    <xf numFmtId="0" fontId="13" fillId="0" borderId="1" xfId="0" applyFont="1" applyFill="1" applyBorder="1" applyAlignment="1">
      <alignment horizontal="center" vertical="center"/>
    </xf>
    <xf numFmtId="6" fontId="13" fillId="0" borderId="1" xfId="0" applyNumberFormat="1" applyFont="1" applyFill="1" applyBorder="1" applyAlignment="1">
      <alignment vertical="center"/>
    </xf>
    <xf numFmtId="0" fontId="12" fillId="0" borderId="0" xfId="0" applyFont="1"/>
    <xf numFmtId="0" fontId="13" fillId="0" borderId="3" xfId="0" applyFont="1" applyBorder="1" applyAlignment="1"/>
    <xf numFmtId="0" fontId="13" fillId="0" borderId="1" xfId="0" applyFont="1" applyFill="1" applyBorder="1" applyAlignment="1">
      <alignment horizontal="right"/>
    </xf>
    <xf numFmtId="0" fontId="12" fillId="0" borderId="3" xfId="0" applyFont="1" applyBorder="1" applyAlignment="1"/>
    <xf numFmtId="0" fontId="12" fillId="0" borderId="3" xfId="0" applyFont="1" applyBorder="1" applyAlignment="1">
      <alignment vertical="center"/>
    </xf>
    <xf numFmtId="0" fontId="13" fillId="0" borderId="3" xfId="0" applyFont="1" applyBorder="1" applyAlignment="1">
      <alignment vertical="center"/>
    </xf>
    <xf numFmtId="0" fontId="13" fillId="0" borderId="11" xfId="0" applyFont="1" applyBorder="1" applyAlignment="1">
      <alignment vertical="center"/>
    </xf>
    <xf numFmtId="165" fontId="13" fillId="0" borderId="11" xfId="0" applyNumberFormat="1" applyFont="1" applyFill="1" applyBorder="1" applyAlignment="1">
      <alignment horizontal="right" vertical="center"/>
    </xf>
    <xf numFmtId="6" fontId="10" fillId="0" borderId="0" xfId="0" applyNumberFormat="1" applyFont="1"/>
    <xf numFmtId="0" fontId="0" fillId="0" borderId="0" xfId="0" applyAlignment="1">
      <alignment horizontal="left" vertical="center" wrapText="1"/>
    </xf>
    <xf numFmtId="0" fontId="16" fillId="7" borderId="12" xfId="0" applyFont="1" applyFill="1" applyBorder="1" applyAlignment="1">
      <alignment horizontal="center" vertical="top"/>
    </xf>
    <xf numFmtId="0" fontId="16" fillId="7" borderId="13" xfId="0" applyFont="1" applyFill="1" applyBorder="1" applyAlignment="1">
      <alignment horizontal="center" vertical="top"/>
    </xf>
    <xf numFmtId="0" fontId="16" fillId="7" borderId="14" xfId="0" applyFont="1" applyFill="1" applyBorder="1" applyAlignment="1">
      <alignment horizontal="center" vertical="top"/>
    </xf>
    <xf numFmtId="0" fontId="16" fillId="7" borderId="12" xfId="0" applyFont="1" applyFill="1" applyBorder="1" applyAlignment="1">
      <alignment horizontal="center"/>
    </xf>
    <xf numFmtId="0" fontId="16" fillId="7" borderId="13" xfId="0" applyFont="1" applyFill="1" applyBorder="1" applyAlignment="1">
      <alignment horizontal="center"/>
    </xf>
    <xf numFmtId="0" fontId="16" fillId="7" borderId="14" xfId="0" applyFont="1" applyFill="1" applyBorder="1" applyAlignment="1">
      <alignment horizontal="center"/>
    </xf>
    <xf numFmtId="14" fontId="26" fillId="2" borderId="1" xfId="1" applyNumberFormat="1" applyFont="1" applyFill="1" applyBorder="1" applyAlignment="1">
      <alignment horizontal="center" vertical="center" wrapText="1"/>
    </xf>
    <xf numFmtId="164" fontId="26" fillId="2" borderId="1" xfId="1" applyNumberFormat="1" applyFont="1" applyFill="1" applyBorder="1" applyAlignment="1">
      <alignment horizontal="center" vertical="center" wrapText="1"/>
    </xf>
    <xf numFmtId="0" fontId="26" fillId="2" borderId="3"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5" xfId="0" applyFont="1" applyFill="1" applyBorder="1" applyAlignment="1">
      <alignment horizontal="center" vertical="center"/>
    </xf>
    <xf numFmtId="165" fontId="26" fillId="2" borderId="3" xfId="0" applyNumberFormat="1" applyFont="1" applyFill="1" applyBorder="1" applyAlignment="1">
      <alignment horizontal="center" vertical="center" wrapText="1"/>
    </xf>
    <xf numFmtId="165" fontId="26" fillId="2" borderId="5" xfId="0" applyNumberFormat="1" applyFont="1" applyFill="1" applyBorder="1" applyAlignment="1">
      <alignment horizontal="center" vertical="center" wrapText="1"/>
    </xf>
  </cellXfs>
  <cellStyles count="29">
    <cellStyle name="20% - Accent3 2" xfId="24"/>
    <cellStyle name="Calculation 2" xfId="25"/>
    <cellStyle name="Check Cell 2" xfId="16"/>
    <cellStyle name="Comma 2" xfId="14"/>
    <cellStyle name="Comma 3" xfId="4"/>
    <cellStyle name="Comma0" xfId="5"/>
    <cellStyle name="Currency" xfId="1" builtinId="4"/>
    <cellStyle name="Currency 2" xfId="21"/>
    <cellStyle name="Currency 3" xfId="22"/>
    <cellStyle name="Currency0" xfId="6"/>
    <cellStyle name="Date" xfId="7"/>
    <cellStyle name="Fixed" xfId="8"/>
    <cellStyle name="Good 2" xfId="17"/>
    <cellStyle name="Heading 1 2" xfId="9"/>
    <cellStyle name="Heading 2 2" xfId="10"/>
    <cellStyle name="Input 2" xfId="26"/>
    <cellStyle name="Neutral 2" xfId="18"/>
    <cellStyle name="Normal" xfId="0" builtinId="0"/>
    <cellStyle name="Normal 2" xfId="13"/>
    <cellStyle name="Normal 2 2" xfId="19"/>
    <cellStyle name="Normal 2 3" xfId="27"/>
    <cellStyle name="Normal 2 4" xfId="28"/>
    <cellStyle name="Normal 3" xfId="3"/>
    <cellStyle name="Normal 4" xfId="23"/>
    <cellStyle name="Normal 5" xfId="15"/>
    <cellStyle name="Percent" xfId="2" builtinId="5"/>
    <cellStyle name="Percent 2" xfId="20"/>
    <cellStyle name="summary spreadsheet" xfId="11"/>
    <cellStyle name="Total 2" xfId="1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0</xdr:rowOff>
    </xdr:from>
    <xdr:ext cx="3702938" cy="806952"/>
    <xdr:sp macro="" textlink="">
      <xdr:nvSpPr>
        <xdr:cNvPr id="2" name="Rectangle 1"/>
        <xdr:cNvSpPr/>
      </xdr:nvSpPr>
      <xdr:spPr>
        <a:xfrm>
          <a:off x="13559981" y="0"/>
          <a:ext cx="3702938" cy="806952"/>
        </a:xfrm>
        <a:prstGeom prst="rect">
          <a:avLst/>
        </a:prstGeom>
        <a:noFill/>
      </xdr:spPr>
      <xdr:txBody>
        <a:bodyPr wrap="none" lIns="91440" tIns="45720" rIns="91440" bIns="45720">
          <a:noAutofit/>
        </a:bodyPr>
        <a:lstStyle/>
        <a:p>
          <a:pPr algn="ctr"/>
          <a:endParaRPr lang="en-US"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7</xdr:col>
      <xdr:colOff>0</xdr:colOff>
      <xdr:row>0</xdr:row>
      <xdr:rowOff>0</xdr:rowOff>
    </xdr:from>
    <xdr:ext cx="3702938" cy="806952"/>
    <xdr:sp macro="" textlink="">
      <xdr:nvSpPr>
        <xdr:cNvPr id="3" name="Rectangle 2"/>
        <xdr:cNvSpPr/>
      </xdr:nvSpPr>
      <xdr:spPr>
        <a:xfrm>
          <a:off x="27466481" y="0"/>
          <a:ext cx="3702938" cy="806952"/>
        </a:xfrm>
        <a:prstGeom prst="rect">
          <a:avLst/>
        </a:prstGeom>
        <a:noFill/>
      </xdr:spPr>
      <xdr:txBody>
        <a:bodyPr wrap="none" lIns="91440" tIns="45720" rIns="91440" bIns="45720">
          <a:noAutofit/>
        </a:bodyPr>
        <a:lstStyle/>
        <a:p>
          <a:pPr algn="ctr"/>
          <a:r>
            <a:rPr lang="en-US"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UNAUDITED</a:t>
          </a:r>
        </a:p>
      </xdr:txBody>
    </xdr:sp>
    <xdr:clientData/>
  </xdr:oneCellAnchor>
  <xdr:oneCellAnchor>
    <xdr:from>
      <xdr:col>6</xdr:col>
      <xdr:colOff>0</xdr:colOff>
      <xdr:row>0</xdr:row>
      <xdr:rowOff>0</xdr:rowOff>
    </xdr:from>
    <xdr:ext cx="3702938" cy="806952"/>
    <xdr:sp macro="" textlink="">
      <xdr:nvSpPr>
        <xdr:cNvPr id="4" name="Rectangle 3"/>
        <xdr:cNvSpPr/>
      </xdr:nvSpPr>
      <xdr:spPr>
        <a:xfrm>
          <a:off x="5133975" y="0"/>
          <a:ext cx="3702938" cy="806952"/>
        </a:xfrm>
        <a:prstGeom prst="rect">
          <a:avLst/>
        </a:prstGeom>
        <a:noFill/>
      </xdr:spPr>
      <xdr:txBody>
        <a:bodyPr wrap="none" lIns="91440" tIns="45720" rIns="91440" bIns="45720">
          <a:noAutofit/>
        </a:bodyPr>
        <a:lstStyle/>
        <a:p>
          <a:pPr algn="ctr"/>
          <a:endParaRPr lang="en-US"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7</xdr:col>
      <xdr:colOff>0</xdr:colOff>
      <xdr:row>0</xdr:row>
      <xdr:rowOff>0</xdr:rowOff>
    </xdr:from>
    <xdr:ext cx="3702938" cy="806952"/>
    <xdr:sp macro="" textlink="">
      <xdr:nvSpPr>
        <xdr:cNvPr id="5" name="Rectangle 4"/>
        <xdr:cNvSpPr/>
      </xdr:nvSpPr>
      <xdr:spPr>
        <a:xfrm>
          <a:off x="13902881" y="0"/>
          <a:ext cx="3702938" cy="806952"/>
        </a:xfrm>
        <a:prstGeom prst="rect">
          <a:avLst/>
        </a:prstGeom>
        <a:noFill/>
      </xdr:spPr>
      <xdr:txBody>
        <a:bodyPr wrap="none" lIns="91440" tIns="45720" rIns="91440" bIns="45720">
          <a:noAutofit/>
        </a:bodyPr>
        <a:lstStyle/>
        <a:p>
          <a:pPr algn="ctr"/>
          <a:r>
            <a:rPr lang="en-US"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UNAUDITED</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Library\Flint%20Tracking\April%2029,%202016%20Reports\SBO%20Flint%20Tracking%20Doc%20042816_DMV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Library\Flint%20Tracking\Nov%2028,%202016%20Reports\Reports\SBO%20Flint%20Tracking%20Doc%20112816_DM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int Water Exp &amp; Act Track"/>
      <sheetName val="pivot"/>
      <sheetName val="drop down boxe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int Water Exp &amp; Act Track"/>
      <sheetName val="pivot"/>
      <sheetName val="drop down boxes"/>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abSelected="1" workbookViewId="0"/>
  </sheetViews>
  <sheetFormatPr defaultRowHeight="15"/>
  <cols>
    <col min="1" max="1" width="21.28515625" style="2" customWidth="1"/>
    <col min="2" max="2" width="16" style="1" customWidth="1"/>
    <col min="3" max="4" width="21.42578125" style="1" customWidth="1"/>
    <col min="5" max="5" width="16.5703125" style="1" customWidth="1"/>
    <col min="6" max="6" width="21.42578125" style="1" customWidth="1"/>
    <col min="7" max="7" width="15.28515625" style="1" customWidth="1"/>
    <col min="8" max="8" width="16.28515625" style="2" customWidth="1"/>
    <col min="9" max="16384" width="9.140625" style="2"/>
  </cols>
  <sheetData>
    <row r="1" spans="1:9" ht="15.75" thickBot="1"/>
    <row r="2" spans="1:9" ht="18.75">
      <c r="A2" s="197" t="s">
        <v>189</v>
      </c>
      <c r="B2" s="198"/>
      <c r="C2" s="198"/>
      <c r="D2" s="198"/>
      <c r="E2" s="198"/>
      <c r="F2" s="198"/>
      <c r="G2" s="198"/>
      <c r="H2" s="199"/>
    </row>
    <row r="3" spans="1:9" ht="79.5">
      <c r="A3" s="102" t="s">
        <v>577</v>
      </c>
      <c r="B3" s="5" t="s">
        <v>190</v>
      </c>
      <c r="C3" s="6" t="s">
        <v>191</v>
      </c>
      <c r="D3" s="6" t="s">
        <v>192</v>
      </c>
      <c r="E3" s="6" t="s">
        <v>193</v>
      </c>
      <c r="F3" s="5" t="s">
        <v>194</v>
      </c>
      <c r="G3" s="5" t="s">
        <v>259</v>
      </c>
      <c r="H3" s="7" t="s">
        <v>231</v>
      </c>
    </row>
    <row r="4" spans="1:9" ht="15.75">
      <c r="A4" s="8"/>
      <c r="B4" s="9"/>
      <c r="C4" s="9"/>
      <c r="D4" s="9"/>
      <c r="E4" s="9"/>
      <c r="F4" s="9"/>
      <c r="G4" s="9"/>
      <c r="H4" s="10"/>
    </row>
    <row r="5" spans="1:9" s="15" customFormat="1" ht="15.75">
      <c r="A5" s="77" t="s">
        <v>196</v>
      </c>
      <c r="B5" s="12">
        <f>+'Flint Water Exp &amp; Act Track'!I198</f>
        <v>88279400</v>
      </c>
      <c r="C5" s="106">
        <f>+'Flint Water Exp &amp; Act Track'!J198-F5-G5</f>
        <v>27368985.609999999</v>
      </c>
      <c r="D5" s="12">
        <f>+'Flint Water Exp &amp; Act Track'!K198</f>
        <v>29754268.719999999</v>
      </c>
      <c r="E5" s="13">
        <f>(+C5+D5)/B5</f>
        <v>0.64707343196714062</v>
      </c>
      <c r="F5" s="12">
        <f>+'spend by department and outcome'!I40</f>
        <v>15256957</v>
      </c>
      <c r="G5" s="12">
        <f>+'spend by department and outcome'!J40</f>
        <v>39415</v>
      </c>
      <c r="H5" s="14">
        <f>+F5+D5+C5+G5</f>
        <v>72419626.329999998</v>
      </c>
    </row>
    <row r="6" spans="1:9" s="15" customFormat="1" ht="15.75">
      <c r="A6" s="78"/>
      <c r="B6" s="16"/>
      <c r="C6" s="105"/>
      <c r="D6" s="16"/>
      <c r="E6" s="17"/>
      <c r="F6" s="18"/>
      <c r="G6" s="18"/>
      <c r="H6" s="19"/>
    </row>
    <row r="7" spans="1:9" s="15" customFormat="1" ht="15.75">
      <c r="A7" s="77" t="s">
        <v>197</v>
      </c>
      <c r="B7" s="12">
        <f>+'Flint Water Exp &amp; Act Track'!I195</f>
        <v>19654800</v>
      </c>
      <c r="C7" s="107">
        <f>+'Flint Water Exp &amp; Act Track'!J195-F7-G7</f>
        <v>1498437.56</v>
      </c>
      <c r="D7" s="12">
        <f>+'Flint Water Exp &amp; Act Track'!K195</f>
        <v>3021427.22</v>
      </c>
      <c r="E7" s="13">
        <f>(+C7+D7)/B7</f>
        <v>0.22996238984879014</v>
      </c>
      <c r="F7" s="12">
        <f>+'spend by department and outcome'!I48</f>
        <v>100289</v>
      </c>
      <c r="G7" s="12">
        <f>+'spend by department and outcome'!J48</f>
        <v>0</v>
      </c>
      <c r="H7" s="14">
        <f>+F7+D7+C7+G7</f>
        <v>4620153.78</v>
      </c>
    </row>
    <row r="8" spans="1:9" s="15" customFormat="1" ht="15.75">
      <c r="A8" s="78"/>
      <c r="B8" s="16"/>
      <c r="C8" s="105"/>
      <c r="D8" s="16"/>
      <c r="E8" s="20"/>
      <c r="F8" s="16"/>
      <c r="G8" s="16"/>
      <c r="H8" s="21"/>
    </row>
    <row r="9" spans="1:9" s="15" customFormat="1" ht="31.5">
      <c r="A9" s="77" t="s">
        <v>255</v>
      </c>
      <c r="B9" s="12">
        <f>+'Flint Water Exp &amp; Act Track'!I197</f>
        <v>66937700</v>
      </c>
      <c r="C9" s="107">
        <f>+'Flint Water Exp &amp; Act Track'!J197-F9-G9</f>
        <v>4614723.3294375008</v>
      </c>
      <c r="D9" s="12">
        <f>+'Flint Water Exp &amp; Act Track'!K197</f>
        <v>21368221.689999998</v>
      </c>
      <c r="E9" s="13">
        <f>(+C9+D9)/B9</f>
        <v>0.38816608606865038</v>
      </c>
      <c r="F9" s="12">
        <f>+'spend by department and outcome'!I64</f>
        <v>2696217</v>
      </c>
      <c r="G9" s="12">
        <f>+'spend by department and outcome'!J64</f>
        <v>0</v>
      </c>
      <c r="H9" s="14">
        <f>+F9+D9+C9+G9</f>
        <v>28679162.019437499</v>
      </c>
    </row>
    <row r="10" spans="1:9" s="15" customFormat="1" ht="15.75">
      <c r="A10" s="78"/>
      <c r="B10" s="16"/>
      <c r="C10" s="105"/>
      <c r="D10" s="16"/>
      <c r="E10" s="20"/>
      <c r="F10" s="16"/>
      <c r="G10" s="16"/>
      <c r="H10" s="87"/>
    </row>
    <row r="11" spans="1:9" s="15" customFormat="1" ht="15.75">
      <c r="A11" s="77" t="s">
        <v>198</v>
      </c>
      <c r="B11" s="12">
        <f>+'Flint Water Exp &amp; Act Track'!I196</f>
        <v>16478100</v>
      </c>
      <c r="C11" s="107">
        <f>+'Flint Water Exp &amp; Act Track'!J196-F11-G11</f>
        <v>3111547.9600000009</v>
      </c>
      <c r="D11" s="12">
        <f>+'Flint Water Exp &amp; Act Track'!K196</f>
        <v>6085724.3100000005</v>
      </c>
      <c r="E11" s="13">
        <f>(+C11+D11)/B11</f>
        <v>0.55815125955055511</v>
      </c>
      <c r="F11" s="12">
        <f>+'spend by department and outcome'!I74</f>
        <v>6410352</v>
      </c>
      <c r="G11" s="12">
        <f>+'spend by department and outcome'!J74</f>
        <v>249</v>
      </c>
      <c r="H11" s="14">
        <f>+F11+D11+C11+G11</f>
        <v>15607873.270000001</v>
      </c>
    </row>
    <row r="12" spans="1:9" s="15" customFormat="1" ht="15.75">
      <c r="A12" s="78"/>
      <c r="B12" s="16"/>
      <c r="C12" s="105"/>
      <c r="D12" s="16"/>
      <c r="E12" s="20"/>
      <c r="F12" s="16"/>
      <c r="G12" s="16"/>
      <c r="H12" s="87"/>
    </row>
    <row r="13" spans="1:9" s="15" customFormat="1" ht="15.75">
      <c r="A13" s="77" t="s">
        <v>43</v>
      </c>
      <c r="B13" s="12">
        <f>+'Flint Water Exp &amp; Act Track'!I199</f>
        <v>42750000</v>
      </c>
      <c r="C13" s="12">
        <f>+'Flint Water Exp &amp; Act Track'!J199-F13-G13</f>
        <v>31080157</v>
      </c>
      <c r="D13" s="12">
        <f>+'Flint Water Exp &amp; Act Track'!K199</f>
        <v>0</v>
      </c>
      <c r="E13" s="13">
        <f>(+C13+D13)/B13</f>
        <v>0.72702121637426897</v>
      </c>
      <c r="F13" s="12">
        <f>+'spend by department and outcome'!I80</f>
        <v>0</v>
      </c>
      <c r="G13" s="12">
        <f>+'spend by department and outcome'!J80</f>
        <v>0</v>
      </c>
      <c r="H13" s="14">
        <f>+F13+D13+C13+G13</f>
        <v>31080157</v>
      </c>
    </row>
    <row r="14" spans="1:9" s="15" customFormat="1" ht="15.75">
      <c r="A14" s="78"/>
      <c r="B14" s="16"/>
      <c r="C14" s="105"/>
      <c r="D14" s="16"/>
      <c r="E14" s="20"/>
      <c r="F14" s="16"/>
      <c r="G14" s="16"/>
      <c r="H14" s="87"/>
      <c r="I14" s="76"/>
    </row>
    <row r="15" spans="1:9" s="15" customFormat="1" ht="31.5">
      <c r="A15" s="77" t="s">
        <v>252</v>
      </c>
      <c r="B15" s="12">
        <f>+'Flint Water Exp &amp; Act Track'!I194</f>
        <v>0</v>
      </c>
      <c r="C15" s="12">
        <v>0</v>
      </c>
      <c r="D15" s="12">
        <v>0</v>
      </c>
      <c r="E15" s="13" t="str">
        <f>IF(B15=0,"n/a",(+C15+D15)/B15)</f>
        <v>n/a</v>
      </c>
      <c r="F15" s="12">
        <f>+'spend by department and outcome'!I84</f>
        <v>13127544</v>
      </c>
      <c r="G15" s="12">
        <f>+'spend by department and outcome'!J86</f>
        <v>4489536</v>
      </c>
      <c r="H15" s="14">
        <f>+F15+D15+C15+G15</f>
        <v>17617080</v>
      </c>
    </row>
    <row r="16" spans="1:9" s="15" customFormat="1" ht="15.75">
      <c r="A16" s="78"/>
      <c r="B16" s="16"/>
      <c r="C16" s="105"/>
      <c r="D16" s="16"/>
      <c r="E16" s="20"/>
      <c r="F16" s="16"/>
      <c r="G16" s="16"/>
      <c r="H16" s="87"/>
    </row>
    <row r="17" spans="1:8" s="15" customFormat="1" ht="15.75">
      <c r="A17" s="11" t="s">
        <v>195</v>
      </c>
      <c r="B17" s="12">
        <f>SUM(B5:B16)</f>
        <v>234100000</v>
      </c>
      <c r="C17" s="12">
        <f t="shared" ref="C17:F17" si="0">SUM(C5:C16)</f>
        <v>67673851.459437504</v>
      </c>
      <c r="D17" s="12">
        <f>SUM(D5:D16)</f>
        <v>60229641.939999998</v>
      </c>
      <c r="E17" s="13">
        <f>(+C17+D17)/B17</f>
        <v>0.54636263733206969</v>
      </c>
      <c r="F17" s="12">
        <f t="shared" si="0"/>
        <v>37591359</v>
      </c>
      <c r="G17" s="12">
        <f>SUM(G5:G16)</f>
        <v>4529200</v>
      </c>
      <c r="H17" s="14">
        <f>SUM(H5:H16)</f>
        <v>170024052.39943749</v>
      </c>
    </row>
    <row r="18" spans="1:8" ht="15.75" thickBot="1">
      <c r="A18" s="22"/>
      <c r="B18" s="23"/>
      <c r="C18" s="23"/>
      <c r="D18" s="23"/>
      <c r="E18" s="24"/>
      <c r="F18" s="23"/>
      <c r="G18" s="23"/>
      <c r="H18" s="25"/>
    </row>
    <row r="20" spans="1:8">
      <c r="A20" s="196" t="s">
        <v>199</v>
      </c>
      <c r="B20" s="196"/>
      <c r="C20" s="196"/>
      <c r="D20" s="196"/>
      <c r="E20" s="196"/>
      <c r="F20" s="196"/>
      <c r="G20" s="196"/>
      <c r="H20" s="196"/>
    </row>
    <row r="21" spans="1:8">
      <c r="A21" s="26" t="s">
        <v>576</v>
      </c>
    </row>
    <row r="22" spans="1:8">
      <c r="C22" s="27"/>
      <c r="D22" s="27"/>
      <c r="E22" s="27"/>
      <c r="F22" s="27"/>
      <c r="G22" s="27"/>
    </row>
    <row r="29" spans="1:8">
      <c r="A29" s="28"/>
    </row>
    <row r="30" spans="1:8">
      <c r="A30" s="28"/>
    </row>
    <row r="31" spans="1:8">
      <c r="A31" s="28"/>
    </row>
    <row r="32" spans="1:8">
      <c r="A32" s="28"/>
    </row>
    <row r="33" spans="1:7">
      <c r="A33" s="28"/>
    </row>
    <row r="34" spans="1:7">
      <c r="A34" s="28"/>
      <c r="B34" s="2"/>
      <c r="C34" s="2"/>
      <c r="D34" s="2"/>
      <c r="E34" s="2"/>
      <c r="F34" s="2"/>
      <c r="G34" s="86"/>
    </row>
  </sheetData>
  <mergeCells count="2">
    <mergeCell ref="A20:H20"/>
    <mergeCell ref="A2:H2"/>
  </mergeCells>
  <printOptions horizontalCentered="1"/>
  <pageMargins left="0" right="0" top="0.75" bottom="0.75" header="0.3" footer="0.3"/>
  <pageSetup scale="90" orientation="landscape" r:id="rId1"/>
  <headerFooter>
    <oddFooter>&amp;L&amp;8&amp;D  &amp;T&amp;C&amp;8&amp;P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heetViews>
  <sheetFormatPr defaultRowHeight="15"/>
  <cols>
    <col min="1" max="1" width="29.5703125" style="79" customWidth="1"/>
    <col min="2" max="2" width="15.140625" style="2" customWidth="1"/>
    <col min="3" max="3" width="12.7109375" style="2" customWidth="1"/>
    <col min="4" max="4" width="15.7109375" style="2" customWidth="1"/>
    <col min="5" max="5" width="15.5703125" style="86" customWidth="1"/>
    <col min="6" max="6" width="16.28515625" style="86" customWidth="1"/>
    <col min="7" max="7" width="17.42578125" style="2" customWidth="1"/>
    <col min="8" max="8" width="14.140625" style="75" customWidth="1"/>
    <col min="9" max="9" width="17.42578125" style="2" customWidth="1"/>
    <col min="10" max="16384" width="9.140625" style="2"/>
  </cols>
  <sheetData>
    <row r="1" spans="1:9" ht="15.75" thickBot="1"/>
    <row r="2" spans="1:9" ht="18.75">
      <c r="A2" s="197" t="s">
        <v>200</v>
      </c>
      <c r="B2" s="198"/>
      <c r="C2" s="198"/>
      <c r="D2" s="198"/>
      <c r="E2" s="198"/>
      <c r="F2" s="198"/>
      <c r="G2" s="198"/>
      <c r="H2" s="198"/>
      <c r="I2" s="199"/>
    </row>
    <row r="3" spans="1:9" ht="30.75" thickBot="1">
      <c r="A3" s="80"/>
      <c r="B3" s="30" t="s">
        <v>201</v>
      </c>
      <c r="C3" s="30" t="s">
        <v>202</v>
      </c>
      <c r="D3" s="30" t="s">
        <v>203</v>
      </c>
      <c r="E3" s="45" t="s">
        <v>475</v>
      </c>
      <c r="F3" s="45" t="s">
        <v>476</v>
      </c>
      <c r="G3" s="30" t="s">
        <v>204</v>
      </c>
      <c r="H3" s="30" t="s">
        <v>188</v>
      </c>
      <c r="I3" s="31" t="s">
        <v>236</v>
      </c>
    </row>
    <row r="4" spans="1:9">
      <c r="A4" s="81"/>
      <c r="B4" s="32"/>
      <c r="C4" s="32"/>
      <c r="D4" s="32"/>
      <c r="E4" s="32"/>
      <c r="F4" s="32"/>
      <c r="G4" s="32"/>
      <c r="H4" s="32"/>
      <c r="I4" s="33"/>
    </row>
    <row r="5" spans="1:9" s="15" customFormat="1" ht="31.5">
      <c r="A5" s="77" t="s">
        <v>205</v>
      </c>
      <c r="B5" s="82">
        <f>+'spend by department and outcome'!D6</f>
        <v>0</v>
      </c>
      <c r="C5" s="82">
        <f>+'spend by department and outcome'!E6</f>
        <v>0</v>
      </c>
      <c r="D5" s="82">
        <f>+'spend by department and outcome'!F6</f>
        <v>0</v>
      </c>
      <c r="E5" s="82">
        <f>+'spend by department and outcome'!G6</f>
        <v>0</v>
      </c>
      <c r="F5" s="82">
        <f>+'spend by department and outcome'!H6</f>
        <v>0</v>
      </c>
      <c r="G5" s="82">
        <f>+'spend by department and outcome'!I6</f>
        <v>450834</v>
      </c>
      <c r="H5" s="82">
        <f>+'spend by department and outcome'!J6</f>
        <v>0</v>
      </c>
      <c r="I5" s="35">
        <f>SUM(B5:H5)</f>
        <v>450834</v>
      </c>
    </row>
    <row r="6" spans="1:9" s="15" customFormat="1">
      <c r="A6" s="83"/>
      <c r="B6" s="36"/>
      <c r="C6" s="36"/>
      <c r="D6" s="36"/>
      <c r="E6" s="36"/>
      <c r="F6" s="36"/>
      <c r="G6" s="36"/>
      <c r="H6" s="36"/>
      <c r="I6" s="37"/>
    </row>
    <row r="7" spans="1:9" s="15" customFormat="1" ht="15.75">
      <c r="A7" s="77" t="s">
        <v>206</v>
      </c>
      <c r="B7" s="82">
        <f>+'spend by department and outcome'!D52</f>
        <v>0</v>
      </c>
      <c r="C7" s="82">
        <f>+'spend by department and outcome'!E52</f>
        <v>0</v>
      </c>
      <c r="D7" s="82">
        <f>+'spend by department and outcome'!F52</f>
        <v>0</v>
      </c>
      <c r="E7" s="82">
        <f>+'spend by department and outcome'!G52+'spend by department and outcome'!G8</f>
        <v>1300000</v>
      </c>
      <c r="F7" s="82">
        <f>+'spend by department and outcome'!H52</f>
        <v>0</v>
      </c>
      <c r="G7" s="82">
        <f>+'spend by department and outcome'!I52</f>
        <v>1549765</v>
      </c>
      <c r="H7" s="82">
        <f>+'spend by department and outcome'!J52</f>
        <v>0</v>
      </c>
      <c r="I7" s="35">
        <f>SUM(B7:H7)</f>
        <v>2849765</v>
      </c>
    </row>
    <row r="8" spans="1:9" s="84" customFormat="1">
      <c r="A8" s="83"/>
      <c r="B8" s="36"/>
      <c r="C8" s="36"/>
      <c r="D8" s="36"/>
      <c r="E8" s="36"/>
      <c r="F8" s="36"/>
      <c r="G8" s="36"/>
      <c r="H8" s="36"/>
      <c r="I8" s="37"/>
    </row>
    <row r="9" spans="1:9" s="15" customFormat="1" ht="15.75">
      <c r="A9" s="77" t="s">
        <v>172</v>
      </c>
      <c r="B9" s="82">
        <f>+'spend by department and outcome'!D10+'spend by department and outcome'!D54</f>
        <v>0</v>
      </c>
      <c r="C9" s="82">
        <f>+'spend by department and outcome'!E10+'spend by department and outcome'!E54</f>
        <v>0</v>
      </c>
      <c r="D9" s="82">
        <f>+'spend by department and outcome'!F10+'spend by department and outcome'!F54</f>
        <v>0</v>
      </c>
      <c r="E9" s="82">
        <f>+'spend by department and outcome'!G10+'spend by department and outcome'!G54</f>
        <v>0</v>
      </c>
      <c r="F9" s="82">
        <f>+'spend by department and outcome'!H10+'spend by department and outcome'!H54</f>
        <v>0</v>
      </c>
      <c r="G9" s="82">
        <f>+'spend by department and outcome'!I10+'spend by department and outcome'!I54</f>
        <v>37558</v>
      </c>
      <c r="H9" s="82">
        <f>+'spend by department and outcome'!J10+'spend by department and outcome'!J54</f>
        <v>0</v>
      </c>
      <c r="I9" s="35">
        <f>SUM(B9:H9)</f>
        <v>37558</v>
      </c>
    </row>
    <row r="10" spans="1:9" s="84" customFormat="1">
      <c r="A10" s="83"/>
      <c r="B10" s="36"/>
      <c r="C10" s="36"/>
      <c r="D10" s="36"/>
      <c r="E10" s="36"/>
      <c r="F10" s="36"/>
      <c r="G10" s="36"/>
      <c r="H10" s="36"/>
      <c r="I10" s="37"/>
    </row>
    <row r="11" spans="1:9" s="15" customFormat="1" ht="15.75">
      <c r="A11" s="77" t="s">
        <v>173</v>
      </c>
      <c r="B11" s="82">
        <f>+'spend by department and outcome'!D12</f>
        <v>0</v>
      </c>
      <c r="C11" s="82">
        <f>+'spend by department and outcome'!E12</f>
        <v>0</v>
      </c>
      <c r="D11" s="82">
        <f>+'spend by department and outcome'!F12</f>
        <v>0</v>
      </c>
      <c r="E11" s="82">
        <f>+'spend by department and outcome'!G12</f>
        <v>0</v>
      </c>
      <c r="F11" s="82">
        <f>+'spend by department and outcome'!H12</f>
        <v>0</v>
      </c>
      <c r="G11" s="82">
        <f>+'spend by department and outcome'!I12</f>
        <v>1586438</v>
      </c>
      <c r="H11" s="82">
        <f>+'spend by department and outcome'!J12</f>
        <v>0</v>
      </c>
      <c r="I11" s="35">
        <f>SUM(B11:H11)</f>
        <v>1586438</v>
      </c>
    </row>
    <row r="12" spans="1:9" s="84" customFormat="1">
      <c r="A12" s="83"/>
      <c r="B12" s="36"/>
      <c r="C12" s="36"/>
      <c r="D12" s="36"/>
      <c r="E12" s="36"/>
      <c r="F12" s="36"/>
      <c r="G12" s="36"/>
      <c r="H12" s="36"/>
      <c r="I12" s="37"/>
    </row>
    <row r="13" spans="1:9" s="15" customFormat="1" ht="15.75">
      <c r="A13" s="77" t="s">
        <v>207</v>
      </c>
      <c r="B13" s="82">
        <f>+'spend by department and outcome'!D14+'spend by department and outcome'!D44+'spend by department and outcome'!D56+'spend by department and outcome'!D68</f>
        <v>0</v>
      </c>
      <c r="C13" s="82">
        <f>+'spend by department and outcome'!E14+'spend by department and outcome'!E44+'spend by department and outcome'!E56+'spend by department and outcome'!E68</f>
        <v>2685000</v>
      </c>
      <c r="D13" s="82">
        <f>+'spend by department and outcome'!F14+'spend by department and outcome'!F44+'spend by department and outcome'!F56+'spend by department and outcome'!F68</f>
        <v>0</v>
      </c>
      <c r="E13" s="82">
        <f>+'spend by department and outcome'!G14+'spend by department and outcome'!G44+'spend by department and outcome'!G56+'spend by department and outcome'!G68</f>
        <v>6639</v>
      </c>
      <c r="F13" s="82">
        <f>+'spend by department and outcome'!H14+'spend by department and outcome'!H44+'spend by department and outcome'!H56+'spend by department and outcome'!H68</f>
        <v>0</v>
      </c>
      <c r="G13" s="82">
        <f>+'spend by department and outcome'!I14+'spend by department and outcome'!I44+'spend by department and outcome'!I56+'spend by department and outcome'!I68</f>
        <v>45289</v>
      </c>
      <c r="H13" s="82">
        <f>+'spend by department and outcome'!J14+'spend by department and outcome'!J44+'spend by department and outcome'!J56+'spend by department and outcome'!J68</f>
        <v>0</v>
      </c>
      <c r="I13" s="35">
        <f>SUM(B13:H13)</f>
        <v>2736928</v>
      </c>
    </row>
    <row r="14" spans="1:9" s="84" customFormat="1">
      <c r="A14" s="83"/>
      <c r="B14" s="36"/>
      <c r="C14" s="36"/>
      <c r="D14" s="36"/>
      <c r="E14" s="36"/>
      <c r="F14" s="36"/>
      <c r="G14" s="36"/>
      <c r="H14" s="36"/>
      <c r="I14" s="37"/>
    </row>
    <row r="15" spans="1:9" s="15" customFormat="1" ht="15.75">
      <c r="A15" s="77" t="s">
        <v>208</v>
      </c>
      <c r="B15" s="82">
        <f>+'spend by department and outcome'!D16</f>
        <v>7300000</v>
      </c>
      <c r="C15" s="82">
        <f>+'spend by department and outcome'!E16</f>
        <v>4828958</v>
      </c>
      <c r="D15" s="82">
        <f>+'spend by department and outcome'!F16</f>
        <v>0</v>
      </c>
      <c r="E15" s="82">
        <f>+'spend by department and outcome'!G16</f>
        <v>32836322</v>
      </c>
      <c r="F15" s="82">
        <f>+'spend by department and outcome'!H16</f>
        <v>0</v>
      </c>
      <c r="G15" s="82">
        <f>+'spend by department and outcome'!I16</f>
        <v>3426494</v>
      </c>
      <c r="H15" s="82">
        <f>+'spend by department and outcome'!J16</f>
        <v>0</v>
      </c>
      <c r="I15" s="35">
        <f>SUM(B15:H15)</f>
        <v>48391774</v>
      </c>
    </row>
    <row r="16" spans="1:9" s="84" customFormat="1">
      <c r="A16" s="83"/>
      <c r="B16" s="36"/>
      <c r="C16" s="36"/>
      <c r="D16" s="36"/>
      <c r="E16" s="36"/>
      <c r="F16" s="36"/>
      <c r="G16" s="36"/>
      <c r="H16" s="36"/>
      <c r="I16" s="37"/>
    </row>
    <row r="17" spans="1:9" s="15" customFormat="1" ht="15.75">
      <c r="A17" s="77" t="s">
        <v>209</v>
      </c>
      <c r="B17" s="82">
        <f>+'spend by department and outcome'!D18+'spend by department and outcome'!D46+'spend by department and outcome'!D58+'spend by department and outcome'!D70</f>
        <v>1949129</v>
      </c>
      <c r="C17" s="82">
        <f>+'spend by department and outcome'!E18+'spend by department and outcome'!E46+'spend by department and outcome'!E58+'spend by department and outcome'!E70</f>
        <v>15420056</v>
      </c>
      <c r="D17" s="82">
        <f>+'spend by department and outcome'!F18+'spend by department and outcome'!F46+'spend by department and outcome'!F58+'spend by department and outcome'!F70</f>
        <v>0</v>
      </c>
      <c r="E17" s="82">
        <f>+'spend by department and outcome'!G18+'spend by department and outcome'!G46+'spend by department and outcome'!G58+'spend by department and outcome'!G70</f>
        <v>14760522</v>
      </c>
      <c r="F17" s="82">
        <f>+'spend by department and outcome'!H18+'spend by department and outcome'!H46+'spend by department and outcome'!H58+'spend by department and outcome'!H70</f>
        <v>0</v>
      </c>
      <c r="G17" s="82">
        <f>+'spend by department and outcome'!I18+'spend by department and outcome'!I46+'spend by department and outcome'!I58+'spend by department and outcome'!I70</f>
        <v>9539209</v>
      </c>
      <c r="H17" s="82">
        <f>+'spend by department and outcome'!J18+'spend by department and outcome'!J46+'spend by department and outcome'!J58+'spend by department and outcome'!J70</f>
        <v>0</v>
      </c>
      <c r="I17" s="35">
        <f>SUM(B17:H17)</f>
        <v>41668916</v>
      </c>
    </row>
    <row r="18" spans="1:9" s="84" customFormat="1">
      <c r="A18" s="83"/>
      <c r="B18" s="36"/>
      <c r="C18" s="36"/>
      <c r="D18" s="36"/>
      <c r="E18" s="36"/>
      <c r="F18" s="36"/>
      <c r="G18" s="36"/>
      <c r="H18" s="36"/>
      <c r="I18" s="37"/>
    </row>
    <row r="19" spans="1:9" s="15" customFormat="1" ht="31.5">
      <c r="A19" s="77" t="s">
        <v>210</v>
      </c>
      <c r="B19" s="82">
        <f>+'spend by department and outcome'!D20+'spend by department and outcome'!D60</f>
        <v>0</v>
      </c>
      <c r="C19" s="82">
        <f>+'spend by department and outcome'!E20+'spend by department and outcome'!E60</f>
        <v>0</v>
      </c>
      <c r="D19" s="82">
        <f>+'spend by department and outcome'!F20+'spend by department and outcome'!F60</f>
        <v>0</v>
      </c>
      <c r="E19" s="82">
        <f>+'spend by department and outcome'!G20+'spend by department and outcome'!G60</f>
        <v>0</v>
      </c>
      <c r="F19" s="82">
        <f>+'spend by department and outcome'!H20+'spend by department and outcome'!H60</f>
        <v>0</v>
      </c>
      <c r="G19" s="82">
        <f>+'spend by department and outcome'!I20+'spend by department and outcome'!I60</f>
        <v>5659</v>
      </c>
      <c r="H19" s="82">
        <f>+'spend by department and outcome'!J20+'spend by department and outcome'!J60</f>
        <v>0</v>
      </c>
      <c r="I19" s="35">
        <f>SUM(B19:H19)</f>
        <v>5659</v>
      </c>
    </row>
    <row r="20" spans="1:9" s="84" customFormat="1">
      <c r="A20" s="83"/>
      <c r="B20" s="36"/>
      <c r="C20" s="36"/>
      <c r="D20" s="36"/>
      <c r="E20" s="36"/>
      <c r="F20" s="36"/>
      <c r="G20" s="36"/>
      <c r="H20" s="36"/>
      <c r="I20" s="37"/>
    </row>
    <row r="21" spans="1:9" s="15" customFormat="1" ht="31.5">
      <c r="A21" s="77" t="s">
        <v>211</v>
      </c>
      <c r="B21" s="82">
        <f>+'spend by department and outcome'!D22</f>
        <v>199606</v>
      </c>
      <c r="C21" s="82">
        <f>+'spend by department and outcome'!E22</f>
        <v>1254709</v>
      </c>
      <c r="D21" s="82">
        <f>+'spend by department and outcome'!F22</f>
        <v>0</v>
      </c>
      <c r="E21" s="82">
        <f>+'spend by department and outcome'!G22</f>
        <v>0</v>
      </c>
      <c r="F21" s="82">
        <f>+'spend by department and outcome'!H22</f>
        <v>0</v>
      </c>
      <c r="G21" s="82">
        <f>+'spend by department and outcome'!I22</f>
        <v>0</v>
      </c>
      <c r="H21" s="82">
        <f>+'spend by department and outcome'!J22</f>
        <v>0</v>
      </c>
      <c r="I21" s="35">
        <f>SUM(B21:H21)</f>
        <v>1454315</v>
      </c>
    </row>
    <row r="22" spans="1:9" s="84" customFormat="1">
      <c r="A22" s="83"/>
      <c r="B22" s="36"/>
      <c r="C22" s="36"/>
      <c r="D22" s="36"/>
      <c r="E22" s="36"/>
      <c r="F22" s="36"/>
      <c r="G22" s="36"/>
      <c r="H22" s="36"/>
      <c r="I22" s="37"/>
    </row>
    <row r="23" spans="1:9" s="15" customFormat="1" ht="15.75">
      <c r="A23" s="77" t="s">
        <v>212</v>
      </c>
      <c r="B23" s="82">
        <f>+'spend by department and outcome'!D24</f>
        <v>0</v>
      </c>
      <c r="C23" s="82">
        <f>+'spend by department and outcome'!E24</f>
        <v>2476834</v>
      </c>
      <c r="D23" s="82">
        <f>+'spend by department and outcome'!F24</f>
        <v>0</v>
      </c>
      <c r="E23" s="82">
        <f>+'spend by department and outcome'!G24</f>
        <v>0</v>
      </c>
      <c r="F23" s="82">
        <f>+'spend by department and outcome'!H24</f>
        <v>0</v>
      </c>
      <c r="G23" s="82">
        <f>+'spend by department and outcome'!I24</f>
        <v>65111</v>
      </c>
      <c r="H23" s="82">
        <f>+'spend by department and outcome'!J24</f>
        <v>0</v>
      </c>
      <c r="I23" s="35">
        <f>SUM(B23:H23)</f>
        <v>2541945</v>
      </c>
    </row>
    <row r="24" spans="1:9" s="84" customFormat="1">
      <c r="A24" s="83"/>
      <c r="B24" s="36"/>
      <c r="C24" s="36"/>
      <c r="D24" s="36"/>
      <c r="E24" s="36"/>
      <c r="F24" s="36"/>
      <c r="G24" s="36"/>
      <c r="H24" s="36"/>
      <c r="I24" s="37"/>
    </row>
    <row r="25" spans="1:9" s="15" customFormat="1" ht="15.75">
      <c r="A25" s="77" t="s">
        <v>213</v>
      </c>
      <c r="B25" s="82">
        <f>+'spend by department and outcome'!D26</f>
        <v>0</v>
      </c>
      <c r="C25" s="82">
        <f>+'spend by department and outcome'!E26</f>
        <v>0</v>
      </c>
      <c r="D25" s="82">
        <f>+'spend by department and outcome'!F26</f>
        <v>0</v>
      </c>
      <c r="E25" s="82">
        <f>+'spend by department and outcome'!G26</f>
        <v>250000</v>
      </c>
      <c r="F25" s="82">
        <f>+'spend by department and outcome'!H26</f>
        <v>0</v>
      </c>
      <c r="G25" s="82">
        <f>+'spend by department and outcome'!I26</f>
        <v>1262</v>
      </c>
      <c r="H25" s="82">
        <f>+'spend by department and outcome'!J26</f>
        <v>0</v>
      </c>
      <c r="I25" s="35">
        <f>SUM(B25:H25)</f>
        <v>251262</v>
      </c>
    </row>
    <row r="26" spans="1:9" s="84" customFormat="1">
      <c r="A26" s="83"/>
      <c r="B26" s="36"/>
      <c r="C26" s="36"/>
      <c r="D26" s="36"/>
      <c r="E26" s="36"/>
      <c r="F26" s="36"/>
      <c r="G26" s="36"/>
      <c r="H26" s="36"/>
      <c r="I26" s="37"/>
    </row>
    <row r="27" spans="1:9" s="15" customFormat="1" ht="15.75">
      <c r="A27" s="77" t="s">
        <v>443</v>
      </c>
      <c r="B27" s="82">
        <v>0</v>
      </c>
      <c r="C27" s="82">
        <v>0</v>
      </c>
      <c r="D27" s="82">
        <v>0</v>
      </c>
      <c r="E27" s="82">
        <v>0</v>
      </c>
      <c r="F27" s="82">
        <f>+'spend by department and outcome'!H62</f>
        <v>9200000</v>
      </c>
      <c r="G27" s="82">
        <v>0</v>
      </c>
      <c r="H27" s="82">
        <v>0</v>
      </c>
      <c r="I27" s="35">
        <f>SUM(B27:H27)</f>
        <v>9200000</v>
      </c>
    </row>
    <row r="28" spans="1:9" s="84" customFormat="1">
      <c r="A28" s="83"/>
      <c r="B28" s="36"/>
      <c r="C28" s="36"/>
      <c r="D28" s="36"/>
      <c r="E28" s="36"/>
      <c r="F28" s="36"/>
      <c r="G28" s="36"/>
      <c r="H28" s="36"/>
      <c r="I28" s="37"/>
    </row>
    <row r="29" spans="1:9" s="15" customFormat="1" ht="15.75">
      <c r="A29" s="77" t="s">
        <v>214</v>
      </c>
      <c r="B29" s="82">
        <f>+'spend by department and outcome'!D28</f>
        <v>0</v>
      </c>
      <c r="C29" s="82">
        <f>+'spend by department and outcome'!E28</f>
        <v>0</v>
      </c>
      <c r="D29" s="82">
        <f>+'spend by department and outcome'!F28</f>
        <v>0</v>
      </c>
      <c r="E29" s="82">
        <f>+'spend by department and outcome'!G28</f>
        <v>0</v>
      </c>
      <c r="F29" s="82">
        <f>+'spend by department and outcome'!H28</f>
        <v>0</v>
      </c>
      <c r="G29" s="82">
        <f>+'spend by department and outcome'!I28</f>
        <v>3131</v>
      </c>
      <c r="H29" s="82">
        <f>+'spend by department and outcome'!J28</f>
        <v>0</v>
      </c>
      <c r="I29" s="35">
        <f>SUM(B29:H29)</f>
        <v>3131</v>
      </c>
    </row>
    <row r="30" spans="1:9" s="84" customFormat="1">
      <c r="A30" s="83"/>
      <c r="B30" s="36"/>
      <c r="C30" s="36"/>
      <c r="D30" s="36"/>
      <c r="E30" s="36"/>
      <c r="F30" s="36"/>
      <c r="G30" s="36"/>
      <c r="H30" s="36"/>
      <c r="I30" s="37"/>
    </row>
    <row r="31" spans="1:9" s="15" customFormat="1" ht="15.75">
      <c r="A31" s="77" t="s">
        <v>215</v>
      </c>
      <c r="B31" s="82">
        <f>+'spend by department and outcome'!D30</f>
        <v>0</v>
      </c>
      <c r="C31" s="82">
        <f>+'spend by department and outcome'!E30</f>
        <v>7043</v>
      </c>
      <c r="D31" s="82">
        <f>+'spend by department and outcome'!F30</f>
        <v>0</v>
      </c>
      <c r="E31" s="82">
        <f>+'spend by department and outcome'!G30</f>
        <v>2297428</v>
      </c>
      <c r="F31" s="82">
        <f>+'spend by department and outcome'!H30</f>
        <v>0</v>
      </c>
      <c r="G31" s="82">
        <f>+'spend by department and outcome'!I30</f>
        <v>1689972</v>
      </c>
      <c r="H31" s="82">
        <f>+'spend by department and outcome'!J30</f>
        <v>0</v>
      </c>
      <c r="I31" s="35">
        <f>SUM(B31:H31)</f>
        <v>3994443</v>
      </c>
    </row>
    <row r="32" spans="1:9" s="84" customFormat="1">
      <c r="A32" s="83"/>
      <c r="B32" s="36"/>
      <c r="C32" s="36"/>
      <c r="D32" s="36"/>
      <c r="E32" s="36"/>
      <c r="F32" s="36"/>
      <c r="G32" s="36"/>
      <c r="H32" s="36"/>
      <c r="I32" s="37"/>
    </row>
    <row r="33" spans="1:9" s="15" customFormat="1" ht="31.5">
      <c r="A33" s="77" t="s">
        <v>216</v>
      </c>
      <c r="B33" s="82">
        <f>+'spend by department and outcome'!D32</f>
        <v>0</v>
      </c>
      <c r="C33" s="82">
        <f>+'spend by department and outcome'!E32</f>
        <v>0</v>
      </c>
      <c r="D33" s="82">
        <f>+'spend by department and outcome'!F32</f>
        <v>0</v>
      </c>
      <c r="E33" s="82">
        <f>+'spend by department and outcome'!G32</f>
        <v>0</v>
      </c>
      <c r="F33" s="82">
        <f>+'spend by department and outcome'!H32</f>
        <v>0</v>
      </c>
      <c r="G33" s="82">
        <f>+'spend by department and outcome'!I32+'spend by department and outcome'!I84+'spend by department and outcome'!I72</f>
        <v>13127544</v>
      </c>
      <c r="H33" s="82">
        <f>+'spend by department and outcome'!J32+'spend by department and outcome'!J84+'spend by department and outcome'!J72</f>
        <v>4529200</v>
      </c>
      <c r="I33" s="35">
        <f>SUM(B33:H33)</f>
        <v>17656744</v>
      </c>
    </row>
    <row r="34" spans="1:9" s="84" customFormat="1">
      <c r="A34" s="83"/>
      <c r="B34" s="36"/>
      <c r="C34" s="36"/>
      <c r="D34" s="36"/>
      <c r="E34" s="36"/>
      <c r="F34" s="36"/>
      <c r="G34" s="36"/>
      <c r="H34" s="36"/>
      <c r="I34" s="37"/>
    </row>
    <row r="35" spans="1:9" s="15" customFormat="1" ht="31.5">
      <c r="A35" s="77" t="s">
        <v>217</v>
      </c>
      <c r="B35" s="82">
        <f>+'spend by department and outcome'!D34</f>
        <v>0</v>
      </c>
      <c r="C35" s="82">
        <f>+'spend by department and outcome'!E34</f>
        <v>0</v>
      </c>
      <c r="D35" s="82">
        <f>+'spend by department and outcome'!F34</f>
        <v>0</v>
      </c>
      <c r="E35" s="82">
        <f>+'spend by department and outcome'!G34</f>
        <v>0</v>
      </c>
      <c r="F35" s="82">
        <f>+'spend by department and outcome'!H34</f>
        <v>0</v>
      </c>
      <c r="G35" s="82">
        <f>+'spend by department and outcome'!I34</f>
        <v>3049303</v>
      </c>
      <c r="H35" s="82">
        <f>+'spend by department and outcome'!J34</f>
        <v>0</v>
      </c>
      <c r="I35" s="35">
        <f>SUM(B35:H35)</f>
        <v>3049303</v>
      </c>
    </row>
    <row r="36" spans="1:9" s="84" customFormat="1">
      <c r="A36" s="83"/>
      <c r="B36" s="36"/>
      <c r="C36" s="36"/>
      <c r="D36" s="36"/>
      <c r="E36" s="36"/>
      <c r="F36" s="36"/>
      <c r="G36" s="36"/>
      <c r="H36" s="36"/>
      <c r="I36" s="37"/>
    </row>
    <row r="37" spans="1:9" s="15" customFormat="1" ht="15.75">
      <c r="A37" s="77" t="s">
        <v>218</v>
      </c>
      <c r="B37" s="82">
        <f>+'spend by department and outcome'!D36</f>
        <v>0</v>
      </c>
      <c r="C37" s="82">
        <f>+'spend by department and outcome'!E36</f>
        <v>0</v>
      </c>
      <c r="D37" s="82">
        <f>+'spend by department and outcome'!F36</f>
        <v>0</v>
      </c>
      <c r="E37" s="82">
        <f>+'spend by department and outcome'!G36</f>
        <v>0</v>
      </c>
      <c r="F37" s="82">
        <f>+'spend by department and outcome'!H36</f>
        <v>0</v>
      </c>
      <c r="G37" s="82">
        <f>+'spend by department and outcome'!I36</f>
        <v>694135</v>
      </c>
      <c r="H37" s="82">
        <f>+'spend by department and outcome'!J36</f>
        <v>0</v>
      </c>
      <c r="I37" s="35">
        <f>SUM(B37:H37)</f>
        <v>694135</v>
      </c>
    </row>
    <row r="38" spans="1:9" s="84" customFormat="1">
      <c r="A38" s="83"/>
      <c r="B38" s="36"/>
      <c r="C38" s="36"/>
      <c r="D38" s="36"/>
      <c r="E38" s="36"/>
      <c r="F38" s="36"/>
      <c r="G38" s="36"/>
      <c r="H38" s="36"/>
      <c r="I38" s="37"/>
    </row>
    <row r="39" spans="1:9" s="15" customFormat="1" ht="15.75">
      <c r="A39" s="77" t="s">
        <v>219</v>
      </c>
      <c r="B39" s="82">
        <f>+'spend by department and outcome'!D38+'spend by department and outcome'!D78</f>
        <v>0</v>
      </c>
      <c r="C39" s="82">
        <f>+'spend by department and outcome'!E38+'spend by department and outcome'!E78</f>
        <v>0</v>
      </c>
      <c r="D39" s="82">
        <f>+'spend by department and outcome'!F38+'spend by department and outcome'!F78</f>
        <v>30000000</v>
      </c>
      <c r="E39" s="82">
        <f>+'spend by department and outcome'!G38+'spend by department and outcome'!G78</f>
        <v>1131247</v>
      </c>
      <c r="F39" s="82">
        <f>+'spend by department and outcome'!H38+'spend by department and outcome'!H78</f>
        <v>0</v>
      </c>
      <c r="G39" s="82">
        <f>+'spend by department and outcome'!I38+'spend by department and outcome'!I78</f>
        <v>2319655</v>
      </c>
      <c r="H39" s="82">
        <f>+'spend by department and outcome'!J38+'spend by department and outcome'!J78</f>
        <v>0</v>
      </c>
      <c r="I39" s="35">
        <f>SUM(B39:H39)</f>
        <v>33450902</v>
      </c>
    </row>
    <row r="40" spans="1:9" s="84" customFormat="1">
      <c r="A40" s="83"/>
      <c r="B40" s="36"/>
      <c r="C40" s="36"/>
      <c r="D40" s="36"/>
      <c r="E40" s="36"/>
      <c r="F40" s="36"/>
      <c r="G40" s="36"/>
      <c r="H40" s="36"/>
      <c r="I40" s="39"/>
    </row>
    <row r="41" spans="1:9" s="15" customFormat="1" ht="32.25" thickBot="1">
      <c r="A41" s="85" t="s">
        <v>256</v>
      </c>
      <c r="B41" s="41">
        <f>SUM(B5:B40)</f>
        <v>9448735</v>
      </c>
      <c r="C41" s="41">
        <f t="shared" ref="C41:I41" si="0">SUM(C5:C40)</f>
        <v>26672600</v>
      </c>
      <c r="D41" s="41">
        <f t="shared" si="0"/>
        <v>30000000</v>
      </c>
      <c r="E41" s="41">
        <f t="shared" ref="E41:F41" si="1">SUM(E5:E40)</f>
        <v>52582158</v>
      </c>
      <c r="F41" s="41">
        <f t="shared" si="1"/>
        <v>9200000</v>
      </c>
      <c r="G41" s="41">
        <f t="shared" si="0"/>
        <v>37591359</v>
      </c>
      <c r="H41" s="41">
        <f t="shared" si="0"/>
        <v>4529200</v>
      </c>
      <c r="I41" s="42">
        <f t="shared" si="0"/>
        <v>170024052</v>
      </c>
    </row>
    <row r="42" spans="1:9">
      <c r="A42" s="26" t="s">
        <v>576</v>
      </c>
    </row>
  </sheetData>
  <mergeCells count="1">
    <mergeCell ref="A2:I2"/>
  </mergeCells>
  <printOptions horizontalCentered="1"/>
  <pageMargins left="0" right="0" top="0.25" bottom="0.5" header="0.3" footer="0.2"/>
  <pageSetup scale="76" orientation="landscape" r:id="rId1"/>
  <headerFooter>
    <oddFooter>&amp;L&amp;8&amp;D  &amp;T&amp;C&amp;8&amp;P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zoomScale="120" zoomScaleNormal="120" workbookViewId="0">
      <pane ySplit="2" topLeftCell="A3" activePane="bottomLeft" state="frozen"/>
      <selection pane="bottomLeft"/>
    </sheetView>
  </sheetViews>
  <sheetFormatPr defaultRowHeight="15"/>
  <cols>
    <col min="1" max="2" width="1.5703125" style="38" customWidth="1"/>
    <col min="3" max="3" width="41.5703125" style="29" customWidth="1"/>
    <col min="4" max="4" width="14.140625" style="2" customWidth="1"/>
    <col min="5" max="6" width="12.85546875" style="2" customWidth="1"/>
    <col min="7" max="8" width="12.85546875" style="86" customWidth="1"/>
    <col min="9" max="9" width="12.85546875" style="2" customWidth="1"/>
    <col min="10" max="10" width="12.85546875" style="75" customWidth="1"/>
    <col min="11" max="11" width="14.42578125" style="2" customWidth="1"/>
    <col min="12" max="16384" width="9.140625" style="2"/>
  </cols>
  <sheetData>
    <row r="1" spans="1:11" s="38" customFormat="1" ht="18.75">
      <c r="A1" s="200" t="s">
        <v>220</v>
      </c>
      <c r="B1" s="201"/>
      <c r="C1" s="201"/>
      <c r="D1" s="201"/>
      <c r="E1" s="201"/>
      <c r="F1" s="201"/>
      <c r="G1" s="201"/>
      <c r="H1" s="201"/>
      <c r="I1" s="201"/>
      <c r="J1" s="201"/>
      <c r="K1" s="202"/>
    </row>
    <row r="2" spans="1:11" ht="30.75" thickBot="1">
      <c r="A2" s="40"/>
      <c r="B2" s="43"/>
      <c r="C2" s="44"/>
      <c r="D2" s="45" t="s">
        <v>201</v>
      </c>
      <c r="E2" s="45" t="s">
        <v>202</v>
      </c>
      <c r="F2" s="45" t="s">
        <v>221</v>
      </c>
      <c r="G2" s="45" t="s">
        <v>475</v>
      </c>
      <c r="H2" s="45" t="s">
        <v>476</v>
      </c>
      <c r="I2" s="45" t="s">
        <v>222</v>
      </c>
      <c r="J2" s="45" t="s">
        <v>188</v>
      </c>
      <c r="K2" s="46" t="s">
        <v>237</v>
      </c>
    </row>
    <row r="3" spans="1:11" ht="12" customHeight="1">
      <c r="A3" s="47"/>
      <c r="B3" s="48"/>
      <c r="C3" s="48"/>
      <c r="D3" s="49"/>
      <c r="E3" s="49"/>
      <c r="F3" s="49"/>
      <c r="G3" s="49"/>
      <c r="H3" s="49"/>
      <c r="I3" s="49"/>
      <c r="J3" s="49"/>
      <c r="K3" s="50"/>
    </row>
    <row r="4" spans="1:11" ht="15" customHeight="1">
      <c r="A4" s="34"/>
      <c r="B4" s="51" t="s">
        <v>196</v>
      </c>
      <c r="C4" s="52"/>
      <c r="D4" s="53"/>
      <c r="E4" s="53"/>
      <c r="F4" s="53"/>
      <c r="G4" s="53"/>
      <c r="H4" s="53"/>
      <c r="I4" s="53"/>
      <c r="J4" s="53"/>
      <c r="K4" s="54"/>
    </row>
    <row r="5" spans="1:11" s="38" customFormat="1" ht="12" customHeight="1">
      <c r="A5" s="55"/>
      <c r="B5" s="56"/>
      <c r="C5" s="56"/>
      <c r="D5" s="57"/>
      <c r="E5" s="57"/>
      <c r="F5" s="57"/>
      <c r="G5" s="57"/>
      <c r="H5" s="57"/>
      <c r="I5" s="57"/>
      <c r="J5" s="57"/>
      <c r="K5" s="58"/>
    </row>
    <row r="6" spans="1:11" ht="15" customHeight="1">
      <c r="A6" s="59"/>
      <c r="B6" s="32"/>
      <c r="C6" s="51" t="s">
        <v>205</v>
      </c>
      <c r="D6" s="60"/>
      <c r="E6" s="60"/>
      <c r="F6" s="60"/>
      <c r="G6" s="60"/>
      <c r="H6" s="60"/>
      <c r="I6" s="60">
        <v>450834</v>
      </c>
      <c r="J6" s="60"/>
      <c r="K6" s="61">
        <f>SUM(D6:J6)</f>
        <v>450834</v>
      </c>
    </row>
    <row r="7" spans="1:11" ht="12" customHeight="1">
      <c r="A7" s="59"/>
      <c r="B7" s="32"/>
      <c r="C7" s="48"/>
      <c r="D7" s="62"/>
      <c r="E7" s="62"/>
      <c r="F7" s="62"/>
      <c r="G7" s="62"/>
      <c r="H7" s="62"/>
      <c r="I7" s="62"/>
      <c r="J7" s="62"/>
      <c r="K7" s="63"/>
    </row>
    <row r="8" spans="1:11" s="86" customFormat="1" ht="15" customHeight="1">
      <c r="A8" s="59"/>
      <c r="B8" s="32"/>
      <c r="C8" s="51" t="s">
        <v>477</v>
      </c>
      <c r="D8" s="60"/>
      <c r="E8" s="60"/>
      <c r="F8" s="60"/>
      <c r="G8" s="60">
        <v>0</v>
      </c>
      <c r="H8" s="60"/>
      <c r="I8" s="60"/>
      <c r="J8" s="60"/>
      <c r="K8" s="61">
        <f>SUM(D8:J8)</f>
        <v>0</v>
      </c>
    </row>
    <row r="9" spans="1:11" s="86" customFormat="1" ht="12" customHeight="1">
      <c r="A9" s="59"/>
      <c r="B9" s="32"/>
      <c r="C9" s="48"/>
      <c r="D9" s="62"/>
      <c r="E9" s="62"/>
      <c r="F9" s="62"/>
      <c r="G9" s="62"/>
      <c r="H9" s="62"/>
      <c r="I9" s="62"/>
      <c r="J9" s="62"/>
      <c r="K9" s="63"/>
    </row>
    <row r="10" spans="1:11" s="38" customFormat="1" ht="15" customHeight="1">
      <c r="A10" s="59"/>
      <c r="B10" s="32"/>
      <c r="C10" s="51" t="s">
        <v>172</v>
      </c>
      <c r="D10" s="60"/>
      <c r="E10" s="60"/>
      <c r="F10" s="60"/>
      <c r="G10" s="60"/>
      <c r="H10" s="60"/>
      <c r="I10" s="60">
        <v>11297</v>
      </c>
      <c r="J10" s="60"/>
      <c r="K10" s="61">
        <f>SUM(D10:J10)</f>
        <v>11297</v>
      </c>
    </row>
    <row r="11" spans="1:11" s="38" customFormat="1" ht="12" customHeight="1">
      <c r="A11" s="59"/>
      <c r="B11" s="32"/>
      <c r="C11" s="48"/>
      <c r="D11" s="62"/>
      <c r="E11" s="62"/>
      <c r="F11" s="62"/>
      <c r="G11" s="62"/>
      <c r="H11" s="62"/>
      <c r="I11" s="62"/>
      <c r="J11" s="62"/>
      <c r="K11" s="63"/>
    </row>
    <row r="12" spans="1:11" s="38" customFormat="1" ht="15" customHeight="1">
      <c r="A12" s="59"/>
      <c r="B12" s="32"/>
      <c r="C12" s="51" t="s">
        <v>173</v>
      </c>
      <c r="D12" s="60"/>
      <c r="E12" s="60"/>
      <c r="F12" s="60"/>
      <c r="G12" s="60"/>
      <c r="H12" s="60"/>
      <c r="I12" s="60">
        <v>1586438</v>
      </c>
      <c r="J12" s="60"/>
      <c r="K12" s="61">
        <f>SUM(D12:J12)</f>
        <v>1586438</v>
      </c>
    </row>
    <row r="13" spans="1:11" s="38" customFormat="1" ht="12" customHeight="1">
      <c r="A13" s="59"/>
      <c r="B13" s="32"/>
      <c r="C13" s="48"/>
      <c r="D13" s="62"/>
      <c r="E13" s="62"/>
      <c r="F13" s="62"/>
      <c r="G13" s="62"/>
      <c r="H13" s="62"/>
      <c r="I13" s="62"/>
      <c r="J13" s="62"/>
      <c r="K13" s="63"/>
    </row>
    <row r="14" spans="1:11" ht="15" customHeight="1">
      <c r="A14" s="59"/>
      <c r="B14" s="32"/>
      <c r="C14" s="51" t="s">
        <v>207</v>
      </c>
      <c r="D14" s="60"/>
      <c r="E14" s="60"/>
      <c r="F14" s="60"/>
      <c r="G14" s="60"/>
      <c r="H14" s="60"/>
      <c r="I14" s="60"/>
      <c r="J14" s="60"/>
      <c r="K14" s="61">
        <f>SUM(D14:J14)</f>
        <v>0</v>
      </c>
    </row>
    <row r="15" spans="1:11" s="38" customFormat="1" ht="12" customHeight="1">
      <c r="A15" s="59"/>
      <c r="B15" s="32"/>
      <c r="C15" s="48"/>
      <c r="D15" s="62"/>
      <c r="E15" s="62"/>
      <c r="F15" s="62"/>
      <c r="G15" s="62"/>
      <c r="H15" s="62"/>
      <c r="I15" s="62"/>
      <c r="J15" s="62"/>
      <c r="K15" s="63"/>
    </row>
    <row r="16" spans="1:11" ht="15" customHeight="1">
      <c r="A16" s="59"/>
      <c r="B16" s="32"/>
      <c r="C16" s="51" t="s">
        <v>208</v>
      </c>
      <c r="D16" s="60">
        <v>7300000</v>
      </c>
      <c r="E16" s="60">
        <v>4828958</v>
      </c>
      <c r="F16" s="60"/>
      <c r="G16" s="60">
        <v>32836322</v>
      </c>
      <c r="H16" s="60"/>
      <c r="I16" s="60">
        <v>3426494</v>
      </c>
      <c r="J16" s="60"/>
      <c r="K16" s="61">
        <f>SUM(D16:J16)</f>
        <v>48391774</v>
      </c>
    </row>
    <row r="17" spans="1:11" s="38" customFormat="1" ht="12" customHeight="1">
      <c r="A17" s="59"/>
      <c r="B17" s="32"/>
      <c r="C17" s="48"/>
      <c r="D17" s="62"/>
      <c r="E17" s="62"/>
      <c r="F17" s="62"/>
      <c r="G17" s="62"/>
      <c r="H17" s="62"/>
      <c r="I17" s="62"/>
      <c r="J17" s="62"/>
      <c r="K17" s="63"/>
    </row>
    <row r="18" spans="1:11" ht="15" customHeight="1">
      <c r="A18" s="59"/>
      <c r="B18" s="32"/>
      <c r="C18" s="51" t="s">
        <v>209</v>
      </c>
      <c r="D18" s="60">
        <v>1000000</v>
      </c>
      <c r="E18" s="60">
        <v>4612800</v>
      </c>
      <c r="F18" s="60"/>
      <c r="G18" s="60"/>
      <c r="H18" s="60"/>
      <c r="I18" s="60">
        <f>822270+1137055</f>
        <v>1959325</v>
      </c>
      <c r="J18" s="60"/>
      <c r="K18" s="61">
        <f>SUM(D18:J18)</f>
        <v>7572125</v>
      </c>
    </row>
    <row r="19" spans="1:11" s="38" customFormat="1" ht="12" customHeight="1">
      <c r="A19" s="59"/>
      <c r="B19" s="32"/>
      <c r="C19" s="48"/>
      <c r="D19" s="62"/>
      <c r="E19" s="62"/>
      <c r="F19" s="62"/>
      <c r="G19" s="62"/>
      <c r="H19" s="62"/>
      <c r="I19" s="62"/>
      <c r="J19" s="62"/>
      <c r="K19" s="63"/>
    </row>
    <row r="20" spans="1:11" ht="15" customHeight="1">
      <c r="A20" s="59"/>
      <c r="B20" s="32"/>
      <c r="C20" s="51" t="s">
        <v>210</v>
      </c>
      <c r="D20" s="60"/>
      <c r="E20" s="60"/>
      <c r="F20" s="60"/>
      <c r="G20" s="60"/>
      <c r="H20" s="60"/>
      <c r="I20" s="60"/>
      <c r="J20" s="60"/>
      <c r="K20" s="61">
        <f>SUM(D20:J20)</f>
        <v>0</v>
      </c>
    </row>
    <row r="21" spans="1:11" s="38" customFormat="1" ht="12" customHeight="1">
      <c r="A21" s="59"/>
      <c r="B21" s="32"/>
      <c r="C21" s="48"/>
      <c r="D21" s="62"/>
      <c r="E21" s="62"/>
      <c r="F21" s="62"/>
      <c r="G21" s="62"/>
      <c r="H21" s="62"/>
      <c r="I21" s="62"/>
      <c r="J21" s="62"/>
      <c r="K21" s="63"/>
    </row>
    <row r="22" spans="1:11" ht="15" customHeight="1">
      <c r="A22" s="59"/>
      <c r="B22" s="32"/>
      <c r="C22" s="51" t="s">
        <v>211</v>
      </c>
      <c r="D22" s="60">
        <v>199606</v>
      </c>
      <c r="E22" s="60">
        <v>1254709</v>
      </c>
      <c r="F22" s="60"/>
      <c r="G22" s="60"/>
      <c r="H22" s="60"/>
      <c r="I22" s="60"/>
      <c r="J22" s="60"/>
      <c r="K22" s="61">
        <f>SUM(D22:J22)</f>
        <v>1454315</v>
      </c>
    </row>
    <row r="23" spans="1:11" s="38" customFormat="1" ht="12" customHeight="1">
      <c r="A23" s="59"/>
      <c r="B23" s="32"/>
      <c r="C23" s="48"/>
      <c r="D23" s="62"/>
      <c r="E23" s="62"/>
      <c r="F23" s="62"/>
      <c r="G23" s="62"/>
      <c r="H23" s="62"/>
      <c r="I23" s="62"/>
      <c r="J23" s="62"/>
      <c r="K23" s="63"/>
    </row>
    <row r="24" spans="1:11" ht="15" customHeight="1">
      <c r="A24" s="59"/>
      <c r="B24" s="32"/>
      <c r="C24" s="51" t="s">
        <v>212</v>
      </c>
      <c r="D24" s="60"/>
      <c r="E24" s="60">
        <v>2476834</v>
      </c>
      <c r="F24" s="60"/>
      <c r="G24" s="60"/>
      <c r="H24" s="60"/>
      <c r="I24" s="60">
        <v>65111</v>
      </c>
      <c r="J24" s="60"/>
      <c r="K24" s="61">
        <f>SUM(D24:J24)</f>
        <v>2541945</v>
      </c>
    </row>
    <row r="25" spans="1:11" s="38" customFormat="1" ht="12" customHeight="1">
      <c r="A25" s="59"/>
      <c r="B25" s="32"/>
      <c r="C25" s="48"/>
      <c r="D25" s="62"/>
      <c r="E25" s="62"/>
      <c r="F25" s="62"/>
      <c r="G25" s="62"/>
      <c r="H25" s="62"/>
      <c r="I25" s="62"/>
      <c r="J25" s="62"/>
      <c r="K25" s="63"/>
    </row>
    <row r="26" spans="1:11" ht="15" customHeight="1">
      <c r="A26" s="59"/>
      <c r="B26" s="32"/>
      <c r="C26" s="51" t="s">
        <v>213</v>
      </c>
      <c r="D26" s="60"/>
      <c r="E26" s="60"/>
      <c r="F26" s="60"/>
      <c r="G26" s="60">
        <v>250000</v>
      </c>
      <c r="H26" s="60"/>
      <c r="I26" s="60">
        <v>1262</v>
      </c>
      <c r="J26" s="60"/>
      <c r="K26" s="61">
        <f>SUM(D26:J26)</f>
        <v>251262</v>
      </c>
    </row>
    <row r="27" spans="1:11" s="38" customFormat="1" ht="12" customHeight="1">
      <c r="A27" s="59"/>
      <c r="B27" s="32"/>
      <c r="C27" s="48"/>
      <c r="D27" s="62"/>
      <c r="E27" s="62"/>
      <c r="F27" s="62"/>
      <c r="G27" s="62"/>
      <c r="H27" s="62"/>
      <c r="I27" s="62"/>
      <c r="J27" s="62"/>
      <c r="K27" s="63"/>
    </row>
    <row r="28" spans="1:11" ht="15" customHeight="1">
      <c r="A28" s="59"/>
      <c r="B28" s="32"/>
      <c r="C28" s="51" t="s">
        <v>214</v>
      </c>
      <c r="D28" s="60"/>
      <c r="E28" s="60"/>
      <c r="F28" s="60"/>
      <c r="G28" s="60"/>
      <c r="H28" s="60"/>
      <c r="I28" s="60">
        <v>3131</v>
      </c>
      <c r="J28" s="60"/>
      <c r="K28" s="61">
        <f>SUM(D28:J28)</f>
        <v>3131</v>
      </c>
    </row>
    <row r="29" spans="1:11" s="38" customFormat="1" ht="12" customHeight="1">
      <c r="A29" s="59"/>
      <c r="B29" s="32"/>
      <c r="C29" s="48"/>
      <c r="D29" s="62"/>
      <c r="E29" s="62"/>
      <c r="F29" s="62"/>
      <c r="G29" s="62"/>
      <c r="H29" s="62"/>
      <c r="I29" s="62"/>
      <c r="J29" s="62"/>
      <c r="K29" s="63"/>
    </row>
    <row r="30" spans="1:11" ht="15" customHeight="1">
      <c r="A30" s="59"/>
      <c r="B30" s="32"/>
      <c r="C30" s="51" t="s">
        <v>215</v>
      </c>
      <c r="D30" s="60"/>
      <c r="E30" s="60">
        <v>7043</v>
      </c>
      <c r="F30" s="60"/>
      <c r="G30" s="60">
        <v>2297428</v>
      </c>
      <c r="H30" s="60"/>
      <c r="I30" s="60">
        <v>1689972</v>
      </c>
      <c r="J30" s="60"/>
      <c r="K30" s="61">
        <f>SUM(D30:J30)</f>
        <v>3994443</v>
      </c>
    </row>
    <row r="31" spans="1:11" s="38" customFormat="1" ht="12" customHeight="1">
      <c r="A31" s="59"/>
      <c r="B31" s="32"/>
      <c r="C31" s="48"/>
      <c r="D31" s="62"/>
      <c r="E31" s="62"/>
      <c r="F31" s="62"/>
      <c r="G31" s="62"/>
      <c r="H31" s="62"/>
      <c r="I31" s="62"/>
      <c r="J31" s="62"/>
      <c r="K31" s="63"/>
    </row>
    <row r="32" spans="1:11" ht="15" customHeight="1">
      <c r="A32" s="59"/>
      <c r="B32" s="32"/>
      <c r="C32" s="51" t="s">
        <v>216</v>
      </c>
      <c r="D32" s="60"/>
      <c r="E32" s="60"/>
      <c r="F32" s="60"/>
      <c r="G32" s="60"/>
      <c r="H32" s="60"/>
      <c r="I32" s="60"/>
      <c r="J32" s="60">
        <v>39415</v>
      </c>
      <c r="K32" s="61">
        <f>SUM(D32:J32)</f>
        <v>39415</v>
      </c>
    </row>
    <row r="33" spans="1:11" s="38" customFormat="1" ht="12" customHeight="1">
      <c r="A33" s="59"/>
      <c r="B33" s="32"/>
      <c r="C33" s="48"/>
      <c r="D33" s="62"/>
      <c r="E33" s="62"/>
      <c r="F33" s="62"/>
      <c r="G33" s="62"/>
      <c r="H33" s="62"/>
      <c r="I33" s="62"/>
      <c r="J33" s="62"/>
      <c r="K33" s="63"/>
    </row>
    <row r="34" spans="1:11" ht="15" customHeight="1">
      <c r="A34" s="59"/>
      <c r="B34" s="32"/>
      <c r="C34" s="51" t="s">
        <v>217</v>
      </c>
      <c r="D34" s="60"/>
      <c r="E34" s="60"/>
      <c r="F34" s="60"/>
      <c r="G34" s="60"/>
      <c r="H34" s="60"/>
      <c r="I34" s="60">
        <v>3049303</v>
      </c>
      <c r="J34" s="60"/>
      <c r="K34" s="61">
        <f>SUM(D34:J34)</f>
        <v>3049303</v>
      </c>
    </row>
    <row r="35" spans="1:11" s="38" customFormat="1" ht="12" customHeight="1">
      <c r="A35" s="59"/>
      <c r="B35" s="32"/>
      <c r="C35" s="48"/>
      <c r="D35" s="62"/>
      <c r="E35" s="62"/>
      <c r="F35" s="62"/>
      <c r="G35" s="62"/>
      <c r="H35" s="62"/>
      <c r="I35" s="62"/>
      <c r="J35" s="62"/>
      <c r="K35" s="63"/>
    </row>
    <row r="36" spans="1:11" ht="15" customHeight="1">
      <c r="A36" s="59"/>
      <c r="B36" s="32"/>
      <c r="C36" s="51" t="s">
        <v>218</v>
      </c>
      <c r="D36" s="60"/>
      <c r="E36" s="60"/>
      <c r="F36" s="60"/>
      <c r="G36" s="60"/>
      <c r="H36" s="60"/>
      <c r="I36" s="60">
        <v>694135</v>
      </c>
      <c r="J36" s="60"/>
      <c r="K36" s="61">
        <f>SUM(D36:J36)</f>
        <v>694135</v>
      </c>
    </row>
    <row r="37" spans="1:11" s="38" customFormat="1" ht="12" customHeight="1">
      <c r="A37" s="59"/>
      <c r="B37" s="32"/>
      <c r="C37" s="48"/>
      <c r="D37" s="62"/>
      <c r="E37" s="62"/>
      <c r="F37" s="62"/>
      <c r="G37" s="62"/>
      <c r="H37" s="62"/>
      <c r="I37" s="62"/>
      <c r="J37" s="62"/>
      <c r="K37" s="63"/>
    </row>
    <row r="38" spans="1:11" ht="15" customHeight="1">
      <c r="A38" s="59"/>
      <c r="B38" s="32"/>
      <c r="C38" s="51" t="s">
        <v>219</v>
      </c>
      <c r="D38" s="60"/>
      <c r="E38" s="60"/>
      <c r="F38" s="60"/>
      <c r="G38" s="60">
        <v>51090</v>
      </c>
      <c r="H38" s="60"/>
      <c r="I38" s="60">
        <f>2000000+316114+3541</f>
        <v>2319655</v>
      </c>
      <c r="J38" s="60"/>
      <c r="K38" s="61">
        <f>SUM(D38:J38)</f>
        <v>2370745</v>
      </c>
    </row>
    <row r="39" spans="1:11" s="38" customFormat="1" ht="12" customHeight="1">
      <c r="A39" s="59"/>
      <c r="B39" s="32"/>
      <c r="C39" s="64"/>
      <c r="D39" s="62"/>
      <c r="E39" s="62"/>
      <c r="F39" s="62"/>
      <c r="G39" s="62"/>
      <c r="H39" s="62"/>
      <c r="I39" s="62"/>
      <c r="J39" s="62"/>
      <c r="K39" s="63"/>
    </row>
    <row r="40" spans="1:11" ht="15" customHeight="1" thickBot="1">
      <c r="A40" s="66" t="s">
        <v>223</v>
      </c>
      <c r="B40" s="43" t="s">
        <v>224</v>
      </c>
      <c r="C40" s="67"/>
      <c r="D40" s="68">
        <f t="shared" ref="D40:K40" si="0">SUM(D6:D38)</f>
        <v>8499606</v>
      </c>
      <c r="E40" s="68">
        <f t="shared" si="0"/>
        <v>13180344</v>
      </c>
      <c r="F40" s="68">
        <f t="shared" si="0"/>
        <v>0</v>
      </c>
      <c r="G40" s="68">
        <f t="shared" si="0"/>
        <v>35434840</v>
      </c>
      <c r="H40" s="68">
        <f t="shared" si="0"/>
        <v>0</v>
      </c>
      <c r="I40" s="68">
        <f>SUM(I6:I38)</f>
        <v>15256957</v>
      </c>
      <c r="J40" s="68">
        <f t="shared" si="0"/>
        <v>39415</v>
      </c>
      <c r="K40" s="69">
        <f t="shared" si="0"/>
        <v>72411162</v>
      </c>
    </row>
    <row r="41" spans="1:11" s="38" customFormat="1" ht="12" customHeight="1">
      <c r="A41" s="59"/>
      <c r="B41" s="32"/>
      <c r="C41" s="48"/>
      <c r="D41" s="62"/>
      <c r="E41" s="62"/>
      <c r="F41" s="62"/>
      <c r="G41" s="62"/>
      <c r="H41" s="62"/>
      <c r="I41" s="62"/>
      <c r="J41" s="62"/>
      <c r="K41" s="63"/>
    </row>
    <row r="42" spans="1:11" ht="15" customHeight="1">
      <c r="A42" s="34" t="s">
        <v>197</v>
      </c>
      <c r="B42" s="52"/>
      <c r="C42" s="52"/>
      <c r="D42" s="53"/>
      <c r="E42" s="53"/>
      <c r="F42" s="53"/>
      <c r="G42" s="53"/>
      <c r="H42" s="53"/>
      <c r="I42" s="53"/>
      <c r="J42" s="53"/>
      <c r="K42" s="54"/>
    </row>
    <row r="43" spans="1:11" s="38" customFormat="1" ht="12" customHeight="1">
      <c r="A43" s="59"/>
      <c r="B43" s="32"/>
      <c r="C43" s="48"/>
      <c r="D43" s="62"/>
      <c r="E43" s="62"/>
      <c r="F43" s="62"/>
      <c r="G43" s="62"/>
      <c r="H43" s="62"/>
      <c r="I43" s="62"/>
      <c r="J43" s="62"/>
      <c r="K43" s="63"/>
    </row>
    <row r="44" spans="1:11" ht="15" customHeight="1">
      <c r="A44" s="59"/>
      <c r="B44" s="32"/>
      <c r="C44" s="51" t="s">
        <v>207</v>
      </c>
      <c r="D44" s="60"/>
      <c r="E44" s="60">
        <v>140000</v>
      </c>
      <c r="F44" s="60"/>
      <c r="G44" s="60">
        <v>6639</v>
      </c>
      <c r="H44" s="60"/>
      <c r="I44" s="60">
        <v>45289</v>
      </c>
      <c r="J44" s="60"/>
      <c r="K44" s="61">
        <f>SUM(D44:J44)</f>
        <v>191928</v>
      </c>
    </row>
    <row r="45" spans="1:11" s="38" customFormat="1" ht="12" customHeight="1">
      <c r="A45" s="59"/>
      <c r="B45" s="32"/>
      <c r="C45" s="48"/>
      <c r="D45" s="62"/>
      <c r="E45" s="62"/>
      <c r="F45" s="62"/>
      <c r="G45" s="62"/>
      <c r="H45" s="62"/>
      <c r="I45" s="62"/>
      <c r="J45" s="62"/>
      <c r="K45" s="63"/>
    </row>
    <row r="46" spans="1:11" ht="15" customHeight="1">
      <c r="A46" s="59"/>
      <c r="B46" s="32"/>
      <c r="C46" s="51" t="s">
        <v>209</v>
      </c>
      <c r="D46" s="60"/>
      <c r="E46" s="60">
        <v>2641689</v>
      </c>
      <c r="F46" s="60"/>
      <c r="G46" s="60">
        <v>1740000</v>
      </c>
      <c r="H46" s="60"/>
      <c r="I46" s="60">
        <v>55000</v>
      </c>
      <c r="J46" s="60"/>
      <c r="K46" s="61">
        <f>SUM(D46:J46)</f>
        <v>4436689</v>
      </c>
    </row>
    <row r="47" spans="1:11" s="38" customFormat="1" ht="12" customHeight="1">
      <c r="A47" s="59"/>
      <c r="B47" s="32"/>
      <c r="C47" s="64"/>
      <c r="D47" s="62"/>
      <c r="E47" s="62"/>
      <c r="F47" s="62"/>
      <c r="G47" s="62"/>
      <c r="H47" s="62"/>
      <c r="I47" s="62"/>
      <c r="J47" s="62"/>
      <c r="K47" s="63"/>
    </row>
    <row r="48" spans="1:11" ht="15" customHeight="1" thickBot="1">
      <c r="A48" s="66"/>
      <c r="B48" s="43" t="s">
        <v>225</v>
      </c>
      <c r="C48" s="67"/>
      <c r="D48" s="68">
        <f>SUM(D44:D46)</f>
        <v>0</v>
      </c>
      <c r="E48" s="68">
        <f>SUM(E44:E46)</f>
        <v>2781689</v>
      </c>
      <c r="F48" s="68">
        <f>SUM(F44:F46)</f>
        <v>0</v>
      </c>
      <c r="G48" s="68">
        <f t="shared" ref="G48:H48" si="1">SUM(G44:G46)</f>
        <v>1746639</v>
      </c>
      <c r="H48" s="68">
        <f t="shared" si="1"/>
        <v>0</v>
      </c>
      <c r="I48" s="68">
        <f>SUM(I44:J46)</f>
        <v>100289</v>
      </c>
      <c r="J48" s="68">
        <f>SUM(J44:J46)</f>
        <v>0</v>
      </c>
      <c r="K48" s="69">
        <f>SUM(K44:K46)</f>
        <v>4628617</v>
      </c>
    </row>
    <row r="49" spans="1:11" s="38" customFormat="1" ht="12" customHeight="1">
      <c r="A49" s="59"/>
      <c r="B49" s="32"/>
      <c r="C49" s="48"/>
      <c r="D49" s="62"/>
      <c r="E49" s="62"/>
      <c r="F49" s="62"/>
      <c r="G49" s="62"/>
      <c r="H49" s="62"/>
      <c r="I49" s="62"/>
      <c r="J49" s="62"/>
      <c r="K49" s="63"/>
    </row>
    <row r="50" spans="1:11" s="38" customFormat="1" ht="15" customHeight="1">
      <c r="A50" s="34" t="s">
        <v>226</v>
      </c>
      <c r="B50" s="51"/>
      <c r="C50" s="52"/>
      <c r="D50" s="53"/>
      <c r="E50" s="53"/>
      <c r="F50" s="53"/>
      <c r="G50" s="53"/>
      <c r="H50" s="53"/>
      <c r="I50" s="53"/>
      <c r="J50" s="53"/>
      <c r="K50" s="54"/>
    </row>
    <row r="51" spans="1:11" s="38" customFormat="1" ht="12" customHeight="1">
      <c r="A51" s="59"/>
      <c r="B51" s="32"/>
      <c r="C51" s="48"/>
      <c r="D51" s="62"/>
      <c r="E51" s="62"/>
      <c r="F51" s="62"/>
      <c r="G51" s="62"/>
      <c r="H51" s="62"/>
      <c r="I51" s="62"/>
      <c r="J51" s="62"/>
      <c r="K51" s="63"/>
    </row>
    <row r="52" spans="1:11" ht="15" customHeight="1">
      <c r="A52" s="59"/>
      <c r="B52" s="32"/>
      <c r="C52" s="51" t="s">
        <v>206</v>
      </c>
      <c r="D52" s="60"/>
      <c r="E52" s="60"/>
      <c r="F52" s="60"/>
      <c r="G52" s="60">
        <v>1300000</v>
      </c>
      <c r="H52" s="60"/>
      <c r="I52" s="60">
        <v>1549765</v>
      </c>
      <c r="J52" s="60"/>
      <c r="K52" s="61">
        <f>SUM(D52:J52)</f>
        <v>2849765</v>
      </c>
    </row>
    <row r="53" spans="1:11" s="38" customFormat="1" ht="12" customHeight="1">
      <c r="A53" s="59"/>
      <c r="B53" s="32"/>
      <c r="C53" s="48"/>
      <c r="D53" s="62"/>
      <c r="E53" s="62"/>
      <c r="F53" s="62"/>
      <c r="G53" s="62"/>
      <c r="H53" s="62"/>
      <c r="I53" s="62"/>
      <c r="J53" s="62"/>
      <c r="K53" s="63"/>
    </row>
    <row r="54" spans="1:11" s="38" customFormat="1" ht="15" customHeight="1">
      <c r="A54" s="59"/>
      <c r="B54" s="32"/>
      <c r="C54" s="51" t="s">
        <v>172</v>
      </c>
      <c r="D54" s="60"/>
      <c r="E54" s="60"/>
      <c r="F54" s="60"/>
      <c r="G54" s="60"/>
      <c r="H54" s="60"/>
      <c r="I54" s="60">
        <v>26261</v>
      </c>
      <c r="J54" s="60"/>
      <c r="K54" s="61">
        <f>SUM(D54:J54)</f>
        <v>26261</v>
      </c>
    </row>
    <row r="55" spans="1:11" s="38" customFormat="1" ht="12" customHeight="1">
      <c r="A55" s="59"/>
      <c r="B55" s="32"/>
      <c r="C55" s="48"/>
      <c r="D55" s="62"/>
      <c r="E55" s="62"/>
      <c r="F55" s="62"/>
      <c r="G55" s="62"/>
      <c r="H55" s="62"/>
      <c r="I55" s="62"/>
      <c r="J55" s="62"/>
      <c r="K55" s="63"/>
    </row>
    <row r="56" spans="1:11" ht="15" customHeight="1">
      <c r="A56" s="59"/>
      <c r="B56" s="32"/>
      <c r="C56" s="51" t="s">
        <v>207</v>
      </c>
      <c r="D56" s="60"/>
      <c r="E56" s="60">
        <v>2225000</v>
      </c>
      <c r="F56" s="60"/>
      <c r="G56" s="60"/>
      <c r="H56" s="60"/>
      <c r="I56" s="60"/>
      <c r="J56" s="60"/>
      <c r="K56" s="61">
        <f>SUM(D56:J56)</f>
        <v>2225000</v>
      </c>
    </row>
    <row r="57" spans="1:11" s="38" customFormat="1" ht="12" customHeight="1">
      <c r="A57" s="59"/>
      <c r="B57" s="32"/>
      <c r="C57" s="48"/>
      <c r="D57" s="62"/>
      <c r="E57" s="62"/>
      <c r="F57" s="62"/>
      <c r="G57" s="62"/>
      <c r="H57" s="62"/>
      <c r="I57" s="62"/>
      <c r="J57" s="62"/>
      <c r="K57" s="63"/>
    </row>
    <row r="58" spans="1:11" ht="15" customHeight="1">
      <c r="A58" s="59"/>
      <c r="B58" s="32"/>
      <c r="C58" s="51" t="s">
        <v>209</v>
      </c>
      <c r="D58" s="60"/>
      <c r="E58" s="60">
        <v>4407945</v>
      </c>
      <c r="F58" s="60"/>
      <c r="G58" s="60">
        <v>8850000</v>
      </c>
      <c r="H58" s="60"/>
      <c r="I58" s="60">
        <v>1114532</v>
      </c>
      <c r="J58" s="60"/>
      <c r="K58" s="61">
        <f>SUM(D58:J58)</f>
        <v>14372477</v>
      </c>
    </row>
    <row r="59" spans="1:11" s="38" customFormat="1" ht="12" customHeight="1">
      <c r="A59" s="59"/>
      <c r="B59" s="32"/>
      <c r="C59" s="48"/>
      <c r="D59" s="62"/>
      <c r="E59" s="62"/>
      <c r="F59" s="62"/>
      <c r="G59" s="62"/>
      <c r="H59" s="62"/>
      <c r="I59" s="62"/>
      <c r="J59" s="62"/>
      <c r="K59" s="63"/>
    </row>
    <row r="60" spans="1:11" ht="15" customHeight="1">
      <c r="A60" s="59"/>
      <c r="B60" s="32"/>
      <c r="C60" s="51" t="s">
        <v>210</v>
      </c>
      <c r="D60" s="60"/>
      <c r="E60" s="60"/>
      <c r="F60" s="60"/>
      <c r="G60" s="60"/>
      <c r="H60" s="60"/>
      <c r="I60" s="60">
        <v>5659</v>
      </c>
      <c r="J60" s="60"/>
      <c r="K60" s="61">
        <f>SUM(D60:J60)</f>
        <v>5659</v>
      </c>
    </row>
    <row r="61" spans="1:11" s="38" customFormat="1" ht="12" customHeight="1">
      <c r="A61" s="59"/>
      <c r="B61" s="32"/>
      <c r="C61" s="48"/>
      <c r="D61" s="62"/>
      <c r="E61" s="62"/>
      <c r="F61" s="62"/>
      <c r="G61" s="62"/>
      <c r="H61" s="62"/>
      <c r="I61" s="62"/>
      <c r="J61" s="62"/>
      <c r="K61" s="63"/>
    </row>
    <row r="62" spans="1:11" s="86" customFormat="1" ht="15" customHeight="1">
      <c r="A62" s="59"/>
      <c r="B62" s="32"/>
      <c r="C62" s="51" t="s">
        <v>443</v>
      </c>
      <c r="D62" s="60"/>
      <c r="E62" s="60"/>
      <c r="F62" s="60"/>
      <c r="G62" s="60"/>
      <c r="H62" s="60">
        <v>9200000</v>
      </c>
      <c r="I62" s="60"/>
      <c r="J62" s="60"/>
      <c r="K62" s="61">
        <f>SUM(D62:J62)</f>
        <v>9200000</v>
      </c>
    </row>
    <row r="63" spans="1:11" s="38" customFormat="1" ht="12" customHeight="1">
      <c r="A63" s="59"/>
      <c r="B63" s="32"/>
      <c r="C63" s="48"/>
      <c r="D63" s="62"/>
      <c r="E63" s="62"/>
      <c r="F63" s="62"/>
      <c r="G63" s="62"/>
      <c r="H63" s="62"/>
      <c r="I63" s="62"/>
      <c r="J63" s="62"/>
      <c r="K63" s="63"/>
    </row>
    <row r="64" spans="1:11" ht="15" customHeight="1" thickBot="1">
      <c r="A64" s="66"/>
      <c r="B64" s="43" t="s">
        <v>227</v>
      </c>
      <c r="C64" s="67"/>
      <c r="D64" s="68">
        <f t="shared" ref="D64:K64" si="2">SUM(D52:D63)</f>
        <v>0</v>
      </c>
      <c r="E64" s="68">
        <f t="shared" si="2"/>
        <v>6632945</v>
      </c>
      <c r="F64" s="68">
        <f t="shared" si="2"/>
        <v>0</v>
      </c>
      <c r="G64" s="68">
        <f t="shared" si="2"/>
        <v>10150000</v>
      </c>
      <c r="H64" s="68">
        <f t="shared" si="2"/>
        <v>9200000</v>
      </c>
      <c r="I64" s="68">
        <f t="shared" si="2"/>
        <v>2696217</v>
      </c>
      <c r="J64" s="68">
        <f t="shared" si="2"/>
        <v>0</v>
      </c>
      <c r="K64" s="68">
        <f t="shared" si="2"/>
        <v>28679162</v>
      </c>
    </row>
    <row r="65" spans="1:11" s="38" customFormat="1" ht="12" customHeight="1">
      <c r="A65" s="59"/>
      <c r="B65" s="32"/>
      <c r="C65" s="48"/>
      <c r="D65" s="62"/>
      <c r="E65" s="62"/>
      <c r="F65" s="62"/>
      <c r="G65" s="62"/>
      <c r="H65" s="62"/>
      <c r="I65" s="62"/>
      <c r="J65" s="62"/>
      <c r="K65" s="63"/>
    </row>
    <row r="66" spans="1:11" s="38" customFormat="1" ht="15" customHeight="1">
      <c r="A66" s="34" t="s">
        <v>228</v>
      </c>
      <c r="B66" s="51"/>
      <c r="C66" s="51"/>
      <c r="D66" s="60"/>
      <c r="E66" s="60"/>
      <c r="F66" s="60"/>
      <c r="G66" s="60"/>
      <c r="H66" s="60"/>
      <c r="I66" s="60"/>
      <c r="J66" s="60"/>
      <c r="K66" s="61"/>
    </row>
    <row r="67" spans="1:11" s="38" customFormat="1" ht="12" customHeight="1">
      <c r="A67" s="59"/>
      <c r="B67" s="32"/>
      <c r="C67" s="48"/>
      <c r="D67" s="62"/>
      <c r="E67" s="62"/>
      <c r="F67" s="62"/>
      <c r="G67" s="62"/>
      <c r="H67" s="62"/>
      <c r="I67" s="62"/>
      <c r="J67" s="62"/>
      <c r="K67" s="63"/>
    </row>
    <row r="68" spans="1:11" ht="15" customHeight="1">
      <c r="A68" s="59"/>
      <c r="B68" s="32"/>
      <c r="C68" s="51" t="s">
        <v>207</v>
      </c>
      <c r="D68" s="60"/>
      <c r="E68" s="60">
        <v>320000</v>
      </c>
      <c r="F68" s="60"/>
      <c r="G68" s="60"/>
      <c r="H68" s="60"/>
      <c r="I68" s="60"/>
      <c r="J68" s="60"/>
      <c r="K68" s="61">
        <f>SUM(D68:J68)</f>
        <v>320000</v>
      </c>
    </row>
    <row r="69" spans="1:11" s="38" customFormat="1" ht="12" customHeight="1">
      <c r="A69" s="59"/>
      <c r="B69" s="32"/>
      <c r="C69" s="48"/>
      <c r="D69" s="62"/>
      <c r="E69" s="62"/>
      <c r="F69" s="62"/>
      <c r="G69" s="62"/>
      <c r="H69" s="62"/>
      <c r="I69" s="62"/>
      <c r="J69" s="62"/>
      <c r="K69" s="63"/>
    </row>
    <row r="70" spans="1:11" ht="15" customHeight="1">
      <c r="A70" s="59"/>
      <c r="B70" s="32"/>
      <c r="C70" s="51" t="s">
        <v>209</v>
      </c>
      <c r="D70" s="60">
        <v>949129</v>
      </c>
      <c r="E70" s="60">
        <v>3757622</v>
      </c>
      <c r="F70" s="60"/>
      <c r="G70" s="60">
        <v>4170522</v>
      </c>
      <c r="H70" s="60"/>
      <c r="I70" s="60">
        <f>1939752+4470600</f>
        <v>6410352</v>
      </c>
      <c r="J70" s="60"/>
      <c r="K70" s="61">
        <f>SUM(D70:J70)</f>
        <v>15287625</v>
      </c>
    </row>
    <row r="71" spans="1:11" s="38" customFormat="1" ht="12" customHeight="1">
      <c r="A71" s="59"/>
      <c r="B71" s="32"/>
      <c r="C71" s="48"/>
      <c r="D71" s="62"/>
      <c r="E71" s="62"/>
      <c r="F71" s="62"/>
      <c r="G71" s="62"/>
      <c r="H71" s="62"/>
      <c r="I71" s="62"/>
      <c r="J71" s="62"/>
      <c r="K71" s="63"/>
    </row>
    <row r="72" spans="1:11" s="86" customFormat="1" ht="15" customHeight="1">
      <c r="A72" s="59"/>
      <c r="B72" s="32"/>
      <c r="C72" s="51" t="s">
        <v>216</v>
      </c>
      <c r="D72" s="60"/>
      <c r="E72" s="60"/>
      <c r="F72" s="60"/>
      <c r="G72" s="60"/>
      <c r="H72" s="60"/>
      <c r="I72" s="60"/>
      <c r="J72" s="60">
        <v>249</v>
      </c>
      <c r="K72" s="61">
        <f>SUM(D72:J72)</f>
        <v>249</v>
      </c>
    </row>
    <row r="73" spans="1:11" s="38" customFormat="1" ht="12" customHeight="1">
      <c r="A73" s="59"/>
      <c r="B73" s="32"/>
      <c r="C73" s="48"/>
      <c r="D73" s="62"/>
      <c r="E73" s="62"/>
      <c r="F73" s="62"/>
      <c r="G73" s="62"/>
      <c r="H73" s="62"/>
      <c r="I73" s="62"/>
      <c r="J73" s="62"/>
      <c r="K73" s="63"/>
    </row>
    <row r="74" spans="1:11" ht="15" customHeight="1" thickBot="1">
      <c r="A74" s="66"/>
      <c r="B74" s="43" t="s">
        <v>229</v>
      </c>
      <c r="C74" s="67"/>
      <c r="D74" s="68">
        <f t="shared" ref="D74:J74" si="3">SUM(D68:D72)</f>
        <v>949129</v>
      </c>
      <c r="E74" s="68">
        <f t="shared" si="3"/>
        <v>4077622</v>
      </c>
      <c r="F74" s="68">
        <f t="shared" si="3"/>
        <v>0</v>
      </c>
      <c r="G74" s="68">
        <f t="shared" si="3"/>
        <v>4170522</v>
      </c>
      <c r="H74" s="68">
        <f t="shared" si="3"/>
        <v>0</v>
      </c>
      <c r="I74" s="68">
        <f t="shared" si="3"/>
        <v>6410352</v>
      </c>
      <c r="J74" s="68">
        <f t="shared" si="3"/>
        <v>249</v>
      </c>
      <c r="K74" s="69">
        <f>SUM(K68:K72)</f>
        <v>15607874</v>
      </c>
    </row>
    <row r="75" spans="1:11" s="38" customFormat="1" ht="12" customHeight="1">
      <c r="A75" s="59"/>
      <c r="B75" s="48"/>
      <c r="C75" s="48"/>
      <c r="D75" s="65"/>
      <c r="E75" s="65"/>
      <c r="F75" s="65"/>
      <c r="G75" s="65"/>
      <c r="H75" s="65"/>
      <c r="I75" s="65"/>
      <c r="J75" s="65"/>
      <c r="K75" s="70"/>
    </row>
    <row r="76" spans="1:11" s="38" customFormat="1" ht="15" customHeight="1">
      <c r="A76" s="34" t="s">
        <v>43</v>
      </c>
      <c r="B76" s="51"/>
      <c r="C76" s="51"/>
      <c r="D76" s="60"/>
      <c r="E76" s="60"/>
      <c r="F76" s="60"/>
      <c r="G76" s="60"/>
      <c r="H76" s="60"/>
      <c r="I76" s="60"/>
      <c r="J76" s="60"/>
      <c r="K76" s="61"/>
    </row>
    <row r="77" spans="1:11" s="38" customFormat="1" ht="12" customHeight="1">
      <c r="A77" s="59"/>
      <c r="B77" s="32"/>
      <c r="C77" s="48"/>
      <c r="D77" s="62"/>
      <c r="E77" s="62"/>
      <c r="F77" s="62"/>
      <c r="G77" s="62"/>
      <c r="H77" s="62"/>
      <c r="I77" s="62"/>
      <c r="J77" s="62"/>
      <c r="K77" s="63"/>
    </row>
    <row r="78" spans="1:11" ht="15" customHeight="1">
      <c r="A78" s="59"/>
      <c r="B78" s="32"/>
      <c r="C78" s="51" t="s">
        <v>219</v>
      </c>
      <c r="D78" s="60"/>
      <c r="E78" s="60"/>
      <c r="F78" s="60">
        <v>30000000</v>
      </c>
      <c r="G78" s="60">
        <v>1080157</v>
      </c>
      <c r="H78" s="60"/>
      <c r="I78" s="60"/>
      <c r="J78" s="60"/>
      <c r="K78" s="61">
        <f>SUM(D78:J78)</f>
        <v>31080157</v>
      </c>
    </row>
    <row r="79" spans="1:11" s="38" customFormat="1" ht="12" customHeight="1">
      <c r="A79" s="59"/>
      <c r="B79" s="32"/>
      <c r="C79" s="48"/>
      <c r="D79" s="62"/>
      <c r="E79" s="62"/>
      <c r="F79" s="62"/>
      <c r="G79" s="62"/>
      <c r="H79" s="62"/>
      <c r="I79" s="62"/>
      <c r="J79" s="62"/>
      <c r="K79" s="63"/>
    </row>
    <row r="80" spans="1:11" ht="15" customHeight="1" thickBot="1">
      <c r="A80" s="66"/>
      <c r="B80" s="43" t="s">
        <v>230</v>
      </c>
      <c r="C80" s="67"/>
      <c r="D80" s="68">
        <f>SUM(D78:D78)</f>
        <v>0</v>
      </c>
      <c r="E80" s="68">
        <f>SUM(E78:E78)</f>
        <v>0</v>
      </c>
      <c r="F80" s="68">
        <f>SUM(F78:F78)</f>
        <v>30000000</v>
      </c>
      <c r="G80" s="68">
        <f t="shared" ref="G80:H80" si="4">SUM(G78:G78)</f>
        <v>1080157</v>
      </c>
      <c r="H80" s="68">
        <f t="shared" si="4"/>
        <v>0</v>
      </c>
      <c r="I80" s="68">
        <f>SUM(I78:J78)</f>
        <v>0</v>
      </c>
      <c r="J80" s="68">
        <f>SUM(J78:J78)</f>
        <v>0</v>
      </c>
      <c r="K80" s="69">
        <f>SUM(K78:K78)</f>
        <v>31080157</v>
      </c>
    </row>
    <row r="81" spans="1:11" s="38" customFormat="1" ht="12" customHeight="1">
      <c r="A81" s="59"/>
      <c r="B81" s="48"/>
      <c r="C81" s="48"/>
      <c r="D81" s="65"/>
      <c r="E81" s="65"/>
      <c r="F81" s="65"/>
      <c r="G81" s="65"/>
      <c r="H81" s="65"/>
      <c r="I81" s="65"/>
      <c r="J81" s="65"/>
      <c r="K81" s="70"/>
    </row>
    <row r="82" spans="1:11" s="38" customFormat="1" ht="15" customHeight="1">
      <c r="A82" s="34" t="s">
        <v>252</v>
      </c>
      <c r="B82" s="51"/>
      <c r="C82" s="51"/>
      <c r="D82" s="60"/>
      <c r="E82" s="60"/>
      <c r="F82" s="60"/>
      <c r="G82" s="60"/>
      <c r="H82" s="60"/>
      <c r="I82" s="60"/>
      <c r="J82" s="60"/>
      <c r="K82" s="61"/>
    </row>
    <row r="83" spans="1:11" s="38" customFormat="1" ht="12" customHeight="1">
      <c r="A83" s="59"/>
      <c r="B83" s="32"/>
      <c r="C83" s="48"/>
      <c r="D83" s="62"/>
      <c r="E83" s="62"/>
      <c r="F83" s="62"/>
      <c r="G83" s="62"/>
      <c r="H83" s="62"/>
      <c r="I83" s="62"/>
      <c r="J83" s="62"/>
      <c r="K83" s="63"/>
    </row>
    <row r="84" spans="1:11" s="75" customFormat="1" ht="15" customHeight="1">
      <c r="A84" s="59"/>
      <c r="B84" s="32"/>
      <c r="C84" s="51" t="s">
        <v>253</v>
      </c>
      <c r="D84" s="60"/>
      <c r="E84" s="60"/>
      <c r="F84" s="60"/>
      <c r="G84" s="60"/>
      <c r="H84" s="60"/>
      <c r="I84" s="60">
        <f>5500000+7627544</f>
        <v>13127544</v>
      </c>
      <c r="J84" s="60">
        <f>70000+4350000+69536</f>
        <v>4489536</v>
      </c>
      <c r="K84" s="61">
        <f>SUM(D84:J84)</f>
        <v>17617080</v>
      </c>
    </row>
    <row r="85" spans="1:11" s="38" customFormat="1" ht="12" customHeight="1">
      <c r="A85" s="59"/>
      <c r="B85" s="32"/>
      <c r="C85" s="48"/>
      <c r="D85" s="62"/>
      <c r="E85" s="62"/>
      <c r="F85" s="62"/>
      <c r="G85" s="62"/>
      <c r="H85" s="62"/>
      <c r="I85" s="62"/>
      <c r="J85" s="62"/>
      <c r="K85" s="63"/>
    </row>
    <row r="86" spans="1:11" s="75" customFormat="1" ht="15" customHeight="1" thickBot="1">
      <c r="A86" s="66"/>
      <c r="B86" s="43" t="s">
        <v>254</v>
      </c>
      <c r="C86" s="67"/>
      <c r="D86" s="68">
        <f>SUM(D84:D84)</f>
        <v>0</v>
      </c>
      <c r="E86" s="68">
        <f>SUM(E84:E84)</f>
        <v>0</v>
      </c>
      <c r="F86" s="68">
        <f>SUM(F84:F84)</f>
        <v>0</v>
      </c>
      <c r="G86" s="68">
        <f t="shared" ref="G86:H86" si="5">SUM(G84:G84)</f>
        <v>0</v>
      </c>
      <c r="H86" s="68">
        <f t="shared" si="5"/>
        <v>0</v>
      </c>
      <c r="I86" s="68">
        <f t="shared" ref="I86:K86" si="6">SUM(I84:I84)</f>
        <v>13127544</v>
      </c>
      <c r="J86" s="68">
        <f t="shared" si="6"/>
        <v>4489536</v>
      </c>
      <c r="K86" s="69">
        <f t="shared" si="6"/>
        <v>17617080</v>
      </c>
    </row>
    <row r="87" spans="1:11" s="38" customFormat="1" ht="12" customHeight="1">
      <c r="A87" s="59"/>
      <c r="B87" s="32"/>
      <c r="C87" s="48"/>
      <c r="D87" s="62"/>
      <c r="E87" s="62"/>
      <c r="F87" s="62"/>
      <c r="G87" s="62"/>
      <c r="H87" s="62"/>
      <c r="I87" s="62"/>
      <c r="J87" s="62"/>
      <c r="K87" s="63"/>
    </row>
    <row r="88" spans="1:11" s="38" customFormat="1" ht="15" customHeight="1">
      <c r="A88" s="34" t="s">
        <v>46</v>
      </c>
      <c r="B88" s="51"/>
      <c r="C88" s="51"/>
      <c r="D88" s="60">
        <f>+D80+D74+D64+D48+D40+D86</f>
        <v>9448735</v>
      </c>
      <c r="E88" s="60">
        <f t="shared" ref="E88:K88" si="7">+E80+E74+E64+E48+E40+E86</f>
        <v>26672600</v>
      </c>
      <c r="F88" s="60">
        <f t="shared" si="7"/>
        <v>30000000</v>
      </c>
      <c r="G88" s="60">
        <f t="shared" si="7"/>
        <v>52582158</v>
      </c>
      <c r="H88" s="60">
        <f t="shared" si="7"/>
        <v>9200000</v>
      </c>
      <c r="I88" s="60">
        <f>+I80+I74+I64+I48+I40+I86</f>
        <v>37591359</v>
      </c>
      <c r="J88" s="60">
        <f>+J80+J74+J64+J48+J40+J86</f>
        <v>4529200</v>
      </c>
      <c r="K88" s="61">
        <f t="shared" si="7"/>
        <v>170024052</v>
      </c>
    </row>
    <row r="89" spans="1:11" s="38" customFormat="1" ht="12" customHeight="1" thickBot="1">
      <c r="A89" s="22"/>
      <c r="B89" s="71"/>
      <c r="C89" s="72"/>
      <c r="D89" s="73"/>
      <c r="E89" s="73"/>
      <c r="F89" s="73"/>
      <c r="G89" s="73"/>
      <c r="H89" s="73"/>
      <c r="I89" s="73"/>
      <c r="J89" s="73"/>
      <c r="K89" s="74"/>
    </row>
    <row r="90" spans="1:11">
      <c r="A90" s="26" t="s">
        <v>576</v>
      </c>
    </row>
    <row r="91" spans="1:11">
      <c r="C91" s="26"/>
    </row>
  </sheetData>
  <mergeCells count="1">
    <mergeCell ref="A1:K1"/>
  </mergeCells>
  <printOptions horizontalCentered="1"/>
  <pageMargins left="0" right="0" top="0.75" bottom="0.75" header="0.3" footer="0.3"/>
  <pageSetup scale="90" orientation="landscape" r:id="rId1"/>
  <headerFooter>
    <oddFooter>&amp;L&amp;8&amp;D  &amp;T&amp;C&amp;8&amp;P  of  &amp;N</oddFooter>
  </headerFooter>
  <rowBreaks count="2" manualBreakCount="2">
    <brk id="40" max="16383" man="1"/>
    <brk id="7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7"/>
  <sheetViews>
    <sheetView workbookViewId="0">
      <pane ySplit="7" topLeftCell="A8" activePane="bottomLeft" state="frozen"/>
      <selection pane="bottomLeft"/>
    </sheetView>
  </sheetViews>
  <sheetFormatPr defaultColWidth="9.140625" defaultRowHeight="15"/>
  <cols>
    <col min="1" max="1" width="4.140625" style="29" customWidth="1"/>
    <col min="2" max="2" width="7.5703125" style="29" customWidth="1"/>
    <col min="3" max="3" width="7" style="29" customWidth="1"/>
    <col min="4" max="4" width="11.5703125" style="29" customWidth="1"/>
    <col min="5" max="5" width="10.7109375" style="29" customWidth="1"/>
    <col min="6" max="6" width="26" style="29" customWidth="1"/>
    <col min="7" max="7" width="12.140625" style="29" customWidth="1"/>
    <col min="8" max="8" width="11.85546875" style="121" customWidth="1"/>
    <col min="9" max="9" width="12.140625" style="121" customWidth="1"/>
    <col min="10" max="10" width="12.5703125" style="122" bestFit="1" customWidth="1"/>
    <col min="11" max="11" width="14.28515625" style="122" bestFit="1" customWidth="1"/>
    <col min="12" max="12" width="15" style="122" customWidth="1"/>
    <col min="13" max="13" width="12.85546875" style="122" customWidth="1"/>
    <col min="14" max="14" width="14.140625" style="122" customWidth="1"/>
    <col min="15" max="15" width="12.5703125" style="122" customWidth="1"/>
    <col min="16" max="16" width="20.28515625" style="122" customWidth="1"/>
    <col min="17" max="17" width="13.28515625" style="122" customWidth="1"/>
    <col min="18" max="18" width="20.85546875" style="122" customWidth="1"/>
    <col min="19" max="19" width="21.28515625" style="122" customWidth="1"/>
    <col min="20" max="16384" width="9.140625" style="122"/>
  </cols>
  <sheetData>
    <row r="1" spans="1:19" ht="15.75">
      <c r="B1" s="118" t="s">
        <v>12</v>
      </c>
      <c r="C1" s="118"/>
      <c r="E1" s="119" t="s">
        <v>64</v>
      </c>
      <c r="F1" s="119"/>
      <c r="G1" s="120"/>
      <c r="L1" s="123" t="s">
        <v>59</v>
      </c>
      <c r="M1" s="124"/>
      <c r="N1" s="125" t="s">
        <v>58</v>
      </c>
    </row>
    <row r="2" spans="1:19" ht="15.75">
      <c r="B2" s="118" t="s">
        <v>65</v>
      </c>
      <c r="C2" s="118"/>
      <c r="E2" s="126">
        <v>42702</v>
      </c>
      <c r="F2" s="126"/>
      <c r="G2" s="127"/>
      <c r="L2" s="128" t="s">
        <v>60</v>
      </c>
      <c r="M2" s="127"/>
      <c r="N2" s="125" t="s">
        <v>184</v>
      </c>
    </row>
    <row r="3" spans="1:19" ht="15.75">
      <c r="B3" s="118" t="s">
        <v>66</v>
      </c>
      <c r="C3" s="118"/>
      <c r="E3" s="126">
        <v>42704</v>
      </c>
      <c r="F3" s="126"/>
      <c r="G3" s="127"/>
      <c r="L3" s="123" t="s">
        <v>61</v>
      </c>
      <c r="M3" s="127"/>
      <c r="N3" s="129"/>
    </row>
    <row r="4" spans="1:19" ht="15.75" customHeight="1">
      <c r="B4" s="118" t="s">
        <v>11</v>
      </c>
      <c r="C4" s="118"/>
      <c r="E4" s="130" t="s">
        <v>560</v>
      </c>
      <c r="F4" s="131"/>
      <c r="G4" s="127"/>
    </row>
    <row r="5" spans="1:19" ht="14.25" customHeight="1">
      <c r="A5" s="132"/>
      <c r="B5" s="132"/>
      <c r="C5" s="132"/>
      <c r="D5" s="133"/>
      <c r="E5" s="133"/>
      <c r="F5" s="133"/>
      <c r="G5" s="134"/>
    </row>
    <row r="6" spans="1:19" s="138" customFormat="1" ht="47.25" customHeight="1">
      <c r="A6" s="135"/>
      <c r="B6" s="205" t="s">
        <v>13</v>
      </c>
      <c r="C6" s="206"/>
      <c r="D6" s="206"/>
      <c r="E6" s="206"/>
      <c r="F6" s="207"/>
      <c r="G6" s="136"/>
      <c r="H6" s="208" t="s">
        <v>22</v>
      </c>
      <c r="I6" s="209"/>
      <c r="J6" s="203" t="s">
        <v>5</v>
      </c>
      <c r="K6" s="203"/>
      <c r="L6" s="137"/>
      <c r="M6" s="204" t="s">
        <v>6</v>
      </c>
      <c r="N6" s="204"/>
      <c r="O6" s="205" t="s">
        <v>4</v>
      </c>
      <c r="P6" s="206"/>
      <c r="Q6" s="206"/>
      <c r="R6" s="206"/>
      <c r="S6" s="207"/>
    </row>
    <row r="7" spans="1:19" s="145" customFormat="1" ht="60">
      <c r="A7" s="139" t="s">
        <v>3</v>
      </c>
      <c r="B7" s="140" t="s">
        <v>0</v>
      </c>
      <c r="C7" s="140" t="s">
        <v>55</v>
      </c>
      <c r="D7" s="140" t="s">
        <v>183</v>
      </c>
      <c r="E7" s="140" t="s">
        <v>8</v>
      </c>
      <c r="F7" s="140" t="s">
        <v>15</v>
      </c>
      <c r="G7" s="140" t="s">
        <v>260</v>
      </c>
      <c r="H7" s="141" t="s">
        <v>23</v>
      </c>
      <c r="I7" s="141" t="s">
        <v>24</v>
      </c>
      <c r="J7" s="142" t="s">
        <v>7</v>
      </c>
      <c r="K7" s="142" t="s">
        <v>1</v>
      </c>
      <c r="L7" s="143" t="s">
        <v>47</v>
      </c>
      <c r="M7" s="143" t="s">
        <v>7</v>
      </c>
      <c r="N7" s="143" t="s">
        <v>1</v>
      </c>
      <c r="O7" s="144" t="s">
        <v>56</v>
      </c>
      <c r="P7" s="140" t="s">
        <v>2</v>
      </c>
      <c r="Q7" s="140" t="s">
        <v>25</v>
      </c>
      <c r="R7" s="140" t="s">
        <v>16</v>
      </c>
      <c r="S7" s="140" t="s">
        <v>14</v>
      </c>
    </row>
    <row r="8" spans="1:19" s="111" customFormat="1" ht="75">
      <c r="A8" s="95">
        <v>1</v>
      </c>
      <c r="B8" s="95" t="s">
        <v>17</v>
      </c>
      <c r="C8" s="95">
        <v>2016</v>
      </c>
      <c r="D8" s="96" t="s">
        <v>21</v>
      </c>
      <c r="E8" s="95" t="s">
        <v>9</v>
      </c>
      <c r="F8" s="97" t="s">
        <v>51</v>
      </c>
      <c r="G8" s="96"/>
      <c r="H8" s="98"/>
      <c r="I8" s="98"/>
      <c r="J8" s="99">
        <v>65068</v>
      </c>
      <c r="K8" s="99">
        <v>100689</v>
      </c>
      <c r="L8" s="99">
        <f t="shared" ref="L8:L39" si="0">+K8+I8+H8</f>
        <v>100689</v>
      </c>
      <c r="M8" s="100"/>
      <c r="N8" s="99">
        <v>0</v>
      </c>
      <c r="O8" s="101" t="str">
        <f t="shared" ref="O8:O39" si="1">IF(N8=0,"",(K8+H8+I8)/N8)</f>
        <v/>
      </c>
      <c r="P8" s="96" t="s">
        <v>52</v>
      </c>
      <c r="Q8" s="96" t="s">
        <v>53</v>
      </c>
      <c r="R8" s="96" t="s">
        <v>261</v>
      </c>
      <c r="S8" s="96" t="s">
        <v>63</v>
      </c>
    </row>
    <row r="9" spans="1:19" s="111" customFormat="1" ht="165">
      <c r="A9" s="95">
        <v>2</v>
      </c>
      <c r="B9" s="95" t="s">
        <v>17</v>
      </c>
      <c r="C9" s="95">
        <v>2016</v>
      </c>
      <c r="D9" s="96" t="s">
        <v>21</v>
      </c>
      <c r="E9" s="95" t="s">
        <v>9</v>
      </c>
      <c r="F9" s="97" t="s">
        <v>18</v>
      </c>
      <c r="G9" s="96"/>
      <c r="H9" s="98"/>
      <c r="I9" s="98"/>
      <c r="J9" s="99">
        <v>50241</v>
      </c>
      <c r="K9" s="99">
        <v>50241</v>
      </c>
      <c r="L9" s="99">
        <f t="shared" si="0"/>
        <v>50241</v>
      </c>
      <c r="M9" s="100"/>
      <c r="N9" s="99">
        <v>0</v>
      </c>
      <c r="O9" s="101" t="str">
        <f t="shared" si="1"/>
        <v/>
      </c>
      <c r="P9" s="96" t="s">
        <v>20</v>
      </c>
      <c r="Q9" s="96" t="s">
        <v>54</v>
      </c>
      <c r="R9" s="146" t="s">
        <v>394</v>
      </c>
      <c r="S9" s="96" t="s">
        <v>395</v>
      </c>
    </row>
    <row r="10" spans="1:19" s="111" customFormat="1" ht="180">
      <c r="A10" s="95">
        <v>3</v>
      </c>
      <c r="B10" s="95" t="s">
        <v>17</v>
      </c>
      <c r="C10" s="95">
        <v>2016</v>
      </c>
      <c r="D10" s="96" t="s">
        <v>21</v>
      </c>
      <c r="E10" s="96" t="s">
        <v>9</v>
      </c>
      <c r="F10" s="97" t="s">
        <v>19</v>
      </c>
      <c r="G10" s="91"/>
      <c r="H10" s="98"/>
      <c r="I10" s="98"/>
      <c r="J10" s="99">
        <v>296909</v>
      </c>
      <c r="K10" s="99">
        <v>299904</v>
      </c>
      <c r="L10" s="99">
        <f t="shared" si="0"/>
        <v>299904</v>
      </c>
      <c r="M10" s="100"/>
      <c r="N10" s="99">
        <v>0</v>
      </c>
      <c r="O10" s="101" t="str">
        <f t="shared" si="1"/>
        <v/>
      </c>
      <c r="P10" s="96" t="s">
        <v>57</v>
      </c>
      <c r="Q10" s="96" t="s">
        <v>62</v>
      </c>
      <c r="R10" s="96" t="s">
        <v>565</v>
      </c>
      <c r="S10" s="96" t="s">
        <v>566</v>
      </c>
    </row>
    <row r="11" spans="1:19" s="111" customFormat="1" ht="45">
      <c r="A11" s="95">
        <v>4</v>
      </c>
      <c r="B11" s="95" t="s">
        <v>26</v>
      </c>
      <c r="C11" s="95">
        <v>2016</v>
      </c>
      <c r="D11" s="96" t="s">
        <v>21</v>
      </c>
      <c r="E11" s="95" t="s">
        <v>27</v>
      </c>
      <c r="F11" s="93" t="s">
        <v>67</v>
      </c>
      <c r="G11" s="96" t="s">
        <v>262</v>
      </c>
      <c r="H11" s="98"/>
      <c r="I11" s="98"/>
      <c r="J11" s="99"/>
      <c r="K11" s="99">
        <v>991069</v>
      </c>
      <c r="L11" s="99">
        <f t="shared" si="0"/>
        <v>991069</v>
      </c>
      <c r="M11" s="100"/>
      <c r="N11" s="99">
        <v>0</v>
      </c>
      <c r="O11" s="101" t="str">
        <f t="shared" si="1"/>
        <v/>
      </c>
      <c r="P11" s="96" t="s">
        <v>68</v>
      </c>
      <c r="Q11" s="96" t="s">
        <v>68</v>
      </c>
      <c r="R11" s="96" t="s">
        <v>69</v>
      </c>
      <c r="S11" s="96" t="s">
        <v>69</v>
      </c>
    </row>
    <row r="12" spans="1:19" s="111" customFormat="1" ht="45">
      <c r="A12" s="95">
        <v>5</v>
      </c>
      <c r="B12" s="88" t="s">
        <v>26</v>
      </c>
      <c r="C12" s="88">
        <v>2016</v>
      </c>
      <c r="D12" s="92" t="s">
        <v>396</v>
      </c>
      <c r="E12" s="88" t="s">
        <v>27</v>
      </c>
      <c r="F12" s="147" t="s">
        <v>397</v>
      </c>
      <c r="G12" s="92" t="s">
        <v>262</v>
      </c>
      <c r="H12" s="109"/>
      <c r="I12" s="109"/>
      <c r="J12" s="94"/>
      <c r="K12" s="99">
        <v>1300000</v>
      </c>
      <c r="L12" s="99">
        <f t="shared" si="0"/>
        <v>1300000</v>
      </c>
      <c r="M12" s="110">
        <v>0</v>
      </c>
      <c r="N12" s="99">
        <v>1300000</v>
      </c>
      <c r="O12" s="101">
        <f t="shared" si="1"/>
        <v>1</v>
      </c>
      <c r="P12" s="92" t="s">
        <v>68</v>
      </c>
      <c r="Q12" s="92" t="s">
        <v>68</v>
      </c>
      <c r="R12" s="92" t="s">
        <v>69</v>
      </c>
      <c r="S12" s="92" t="s">
        <v>69</v>
      </c>
    </row>
    <row r="13" spans="1:19" s="111" customFormat="1" ht="315">
      <c r="A13" s="95">
        <v>6</v>
      </c>
      <c r="B13" s="95" t="s">
        <v>26</v>
      </c>
      <c r="C13" s="95">
        <v>2016</v>
      </c>
      <c r="D13" s="96" t="s">
        <v>21</v>
      </c>
      <c r="E13" s="95" t="s">
        <v>27</v>
      </c>
      <c r="F13" s="93" t="s">
        <v>70</v>
      </c>
      <c r="G13" s="96" t="s">
        <v>573</v>
      </c>
      <c r="H13" s="98"/>
      <c r="I13" s="98">
        <v>130333</v>
      </c>
      <c r="J13" s="99">
        <v>403504.23</v>
      </c>
      <c r="K13" s="99">
        <v>428363.23</v>
      </c>
      <c r="L13" s="99">
        <f t="shared" si="0"/>
        <v>558696.23</v>
      </c>
      <c r="M13" s="100"/>
      <c r="N13" s="99">
        <v>0</v>
      </c>
      <c r="O13" s="101" t="str">
        <f t="shared" si="1"/>
        <v/>
      </c>
      <c r="P13" s="96" t="s">
        <v>68</v>
      </c>
      <c r="Q13" s="96" t="s">
        <v>68</v>
      </c>
      <c r="R13" s="96" t="s">
        <v>69</v>
      </c>
      <c r="S13" s="96" t="s">
        <v>69</v>
      </c>
    </row>
    <row r="14" spans="1:19" s="111" customFormat="1" ht="45">
      <c r="A14" s="95">
        <v>7</v>
      </c>
      <c r="B14" s="95" t="s">
        <v>50</v>
      </c>
      <c r="C14" s="95">
        <v>2016</v>
      </c>
      <c r="D14" s="96" t="s">
        <v>21</v>
      </c>
      <c r="E14" s="95" t="s">
        <v>9</v>
      </c>
      <c r="F14" s="93" t="s">
        <v>71</v>
      </c>
      <c r="G14" s="96"/>
      <c r="H14" s="98"/>
      <c r="I14" s="98"/>
      <c r="J14" s="99">
        <v>11296.5</v>
      </c>
      <c r="K14" s="99">
        <v>11296.5</v>
      </c>
      <c r="L14" s="99">
        <f t="shared" si="0"/>
        <v>11296.5</v>
      </c>
      <c r="M14" s="100"/>
      <c r="N14" s="99">
        <v>0</v>
      </c>
      <c r="O14" s="101" t="str">
        <f t="shared" si="1"/>
        <v/>
      </c>
      <c r="P14" s="96" t="s">
        <v>52</v>
      </c>
      <c r="Q14" s="96" t="s">
        <v>53</v>
      </c>
      <c r="R14" s="96"/>
      <c r="S14" s="96" t="s">
        <v>63</v>
      </c>
    </row>
    <row r="15" spans="1:19" s="111" customFormat="1" ht="120">
      <c r="A15" s="95">
        <v>8</v>
      </c>
      <c r="B15" s="95" t="s">
        <v>50</v>
      </c>
      <c r="C15" s="95">
        <v>2016</v>
      </c>
      <c r="D15" s="96" t="s">
        <v>21</v>
      </c>
      <c r="E15" s="95" t="s">
        <v>27</v>
      </c>
      <c r="F15" s="93" t="s">
        <v>504</v>
      </c>
      <c r="G15" s="96"/>
      <c r="H15" s="98"/>
      <c r="I15" s="98"/>
      <c r="J15" s="99">
        <v>26260.95</v>
      </c>
      <c r="K15" s="99">
        <v>26260.95</v>
      </c>
      <c r="L15" s="99">
        <f t="shared" si="0"/>
        <v>26260.95</v>
      </c>
      <c r="M15" s="100"/>
      <c r="N15" s="99">
        <v>0</v>
      </c>
      <c r="O15" s="101" t="str">
        <f t="shared" si="1"/>
        <v/>
      </c>
      <c r="P15" s="96" t="s">
        <v>398</v>
      </c>
      <c r="Q15" s="96" t="s">
        <v>53</v>
      </c>
      <c r="R15" s="96"/>
      <c r="S15" s="96" t="s">
        <v>63</v>
      </c>
    </row>
    <row r="16" spans="1:19" s="111" customFormat="1" ht="75">
      <c r="A16" s="95">
        <v>9</v>
      </c>
      <c r="B16" s="95" t="s">
        <v>28</v>
      </c>
      <c r="C16" s="95">
        <v>2016</v>
      </c>
      <c r="D16" s="96" t="s">
        <v>21</v>
      </c>
      <c r="E16" s="96" t="s">
        <v>9</v>
      </c>
      <c r="F16" s="148" t="s">
        <v>72</v>
      </c>
      <c r="G16" s="96" t="s">
        <v>263</v>
      </c>
      <c r="H16" s="149"/>
      <c r="I16" s="149">
        <v>0</v>
      </c>
      <c r="J16" s="99">
        <v>1536618</v>
      </c>
      <c r="K16" s="99">
        <v>1586438</v>
      </c>
      <c r="L16" s="99">
        <f t="shared" si="0"/>
        <v>1586438</v>
      </c>
      <c r="M16" s="150"/>
      <c r="N16" s="99">
        <v>0</v>
      </c>
      <c r="O16" s="101" t="str">
        <f t="shared" si="1"/>
        <v/>
      </c>
      <c r="P16" s="96" t="s">
        <v>73</v>
      </c>
      <c r="Q16" s="95" t="s">
        <v>53</v>
      </c>
      <c r="R16" s="96" t="s">
        <v>568</v>
      </c>
      <c r="S16" s="96" t="s">
        <v>63</v>
      </c>
    </row>
    <row r="17" spans="1:19" s="111" customFormat="1">
      <c r="A17" s="95">
        <v>10</v>
      </c>
      <c r="B17" s="95" t="s">
        <v>28</v>
      </c>
      <c r="C17" s="95">
        <v>2016</v>
      </c>
      <c r="D17" s="96" t="s">
        <v>385</v>
      </c>
      <c r="E17" s="96" t="s">
        <v>9</v>
      </c>
      <c r="F17" s="151" t="s">
        <v>387</v>
      </c>
      <c r="G17" s="96"/>
      <c r="H17" s="149"/>
      <c r="I17" s="149"/>
      <c r="J17" s="152">
        <v>-755148.73</v>
      </c>
      <c r="K17" s="99">
        <v>-755148.73</v>
      </c>
      <c r="L17" s="99">
        <f t="shared" si="0"/>
        <v>-755148.73</v>
      </c>
      <c r="M17" s="150"/>
      <c r="N17" s="99">
        <v>0</v>
      </c>
      <c r="O17" s="101" t="str">
        <f t="shared" si="1"/>
        <v/>
      </c>
      <c r="P17" s="96"/>
      <c r="Q17" s="95"/>
      <c r="R17" s="96"/>
      <c r="S17" s="96"/>
    </row>
    <row r="18" spans="1:19" s="111" customFormat="1" ht="90">
      <c r="A18" s="95">
        <v>11</v>
      </c>
      <c r="B18" s="95" t="s">
        <v>29</v>
      </c>
      <c r="C18" s="95">
        <v>2016</v>
      </c>
      <c r="D18" s="96" t="s">
        <v>45</v>
      </c>
      <c r="E18" s="95" t="s">
        <v>10</v>
      </c>
      <c r="F18" s="93" t="s">
        <v>74</v>
      </c>
      <c r="G18" s="96" t="s">
        <v>264</v>
      </c>
      <c r="H18" s="110">
        <v>0.22000000000116415</v>
      </c>
      <c r="I18" s="100"/>
      <c r="J18" s="153">
        <f>92939.5+2288.99+14982.61+29788.68</f>
        <v>139999.78</v>
      </c>
      <c r="K18" s="99">
        <v>139999.78</v>
      </c>
      <c r="L18" s="99">
        <f t="shared" si="0"/>
        <v>140000</v>
      </c>
      <c r="M18" s="100">
        <v>140000</v>
      </c>
      <c r="N18" s="99">
        <v>140000</v>
      </c>
      <c r="O18" s="101">
        <f t="shared" si="1"/>
        <v>1</v>
      </c>
      <c r="P18" s="96" t="s">
        <v>329</v>
      </c>
      <c r="Q18" s="96" t="s">
        <v>324</v>
      </c>
      <c r="R18" s="96" t="s">
        <v>326</v>
      </c>
      <c r="S18" s="96" t="s">
        <v>243</v>
      </c>
    </row>
    <row r="19" spans="1:19" s="111" customFormat="1" ht="75">
      <c r="A19" s="95">
        <v>12</v>
      </c>
      <c r="B19" s="95" t="s">
        <v>29</v>
      </c>
      <c r="C19" s="95">
        <v>2016</v>
      </c>
      <c r="D19" s="96" t="s">
        <v>45</v>
      </c>
      <c r="E19" s="95" t="s">
        <v>30</v>
      </c>
      <c r="F19" s="93" t="s">
        <v>77</v>
      </c>
      <c r="G19" s="96" t="s">
        <v>265</v>
      </c>
      <c r="H19" s="110">
        <v>46425.81</v>
      </c>
      <c r="I19" s="100"/>
      <c r="J19" s="100">
        <f>28570.46+51397.44+26974.2+26429.5+25415.01+44975.43+13495.87+10830.63+45485.65</f>
        <v>273574.19</v>
      </c>
      <c r="K19" s="99">
        <v>273574.19</v>
      </c>
      <c r="L19" s="99">
        <f t="shared" si="0"/>
        <v>320000</v>
      </c>
      <c r="M19" s="100">
        <v>320000</v>
      </c>
      <c r="N19" s="99">
        <v>320000</v>
      </c>
      <c r="O19" s="101">
        <f t="shared" si="1"/>
        <v>1</v>
      </c>
      <c r="P19" s="96" t="s">
        <v>266</v>
      </c>
      <c r="Q19" s="96" t="s">
        <v>267</v>
      </c>
      <c r="R19" s="96" t="s">
        <v>268</v>
      </c>
      <c r="S19" s="96" t="s">
        <v>244</v>
      </c>
    </row>
    <row r="20" spans="1:19" s="111" customFormat="1" ht="90">
      <c r="A20" s="95">
        <v>13</v>
      </c>
      <c r="B20" s="95" t="s">
        <v>29</v>
      </c>
      <c r="C20" s="95">
        <v>2016</v>
      </c>
      <c r="D20" s="96" t="s">
        <v>45</v>
      </c>
      <c r="E20" s="95" t="s">
        <v>27</v>
      </c>
      <c r="F20" s="97" t="s">
        <v>78</v>
      </c>
      <c r="G20" s="96" t="s">
        <v>264</v>
      </c>
      <c r="H20" s="110">
        <v>651273.68999999948</v>
      </c>
      <c r="I20" s="100"/>
      <c r="J20" s="110">
        <f>14383.79+5000.6+11631.82+8009.35+1295.65+18006.96+32603.03+5594.73+28325.42+6230.26+734.68+348413.3+6049.87+581.61+21299.17-581.61+7015.34+4553.29+4973.79+21299.17+2253.56+82.63-21299.17+87470.01+463524.09+259991.23+21299.17+217824.94+12898.08+6049.87+9280.9+11366.21+1076.1+1933.96+38.75+3088.62+834.36+68142.87+78773.43+2061.84+246080.64-444466</f>
        <v>1573726.3100000005</v>
      </c>
      <c r="K20" s="99">
        <v>1573726.3100000005</v>
      </c>
      <c r="L20" s="99">
        <f t="shared" si="0"/>
        <v>2225000</v>
      </c>
      <c r="M20" s="100">
        <v>2225000</v>
      </c>
      <c r="N20" s="99">
        <v>2225000</v>
      </c>
      <c r="O20" s="101">
        <f t="shared" si="1"/>
        <v>1</v>
      </c>
      <c r="P20" s="96" t="s">
        <v>269</v>
      </c>
      <c r="Q20" s="96" t="s">
        <v>270</v>
      </c>
      <c r="R20" s="96" t="s">
        <v>325</v>
      </c>
      <c r="S20" s="96" t="s">
        <v>245</v>
      </c>
    </row>
    <row r="21" spans="1:19" s="111" customFormat="1" ht="75">
      <c r="A21" s="95">
        <v>14</v>
      </c>
      <c r="B21" s="95" t="s">
        <v>29</v>
      </c>
      <c r="C21" s="95">
        <v>2016</v>
      </c>
      <c r="D21" s="96" t="s">
        <v>21</v>
      </c>
      <c r="E21" s="95" t="s">
        <v>10</v>
      </c>
      <c r="F21" s="97" t="s">
        <v>330</v>
      </c>
      <c r="G21" s="96" t="s">
        <v>75</v>
      </c>
      <c r="H21" s="100">
        <v>0</v>
      </c>
      <c r="I21" s="100">
        <v>0</v>
      </c>
      <c r="J21" s="100">
        <v>0</v>
      </c>
      <c r="K21" s="99">
        <v>45289</v>
      </c>
      <c r="L21" s="99">
        <f t="shared" si="0"/>
        <v>45289</v>
      </c>
      <c r="M21" s="100"/>
      <c r="N21" s="99">
        <v>0</v>
      </c>
      <c r="O21" s="101" t="str">
        <f t="shared" si="1"/>
        <v/>
      </c>
      <c r="P21" s="100" t="s">
        <v>399</v>
      </c>
      <c r="Q21" s="154" t="s">
        <v>400</v>
      </c>
      <c r="R21" s="155">
        <v>1197</v>
      </c>
      <c r="S21" s="101" t="s">
        <v>401</v>
      </c>
    </row>
    <row r="22" spans="1:19" s="111" customFormat="1" ht="60">
      <c r="A22" s="95">
        <v>15</v>
      </c>
      <c r="B22" s="95" t="s">
        <v>29</v>
      </c>
      <c r="C22" s="95">
        <v>2016</v>
      </c>
      <c r="D22" s="96" t="s">
        <v>396</v>
      </c>
      <c r="E22" s="95" t="s">
        <v>10</v>
      </c>
      <c r="F22" s="103" t="s">
        <v>402</v>
      </c>
      <c r="G22" s="96" t="s">
        <v>495</v>
      </c>
      <c r="H22" s="100">
        <v>0</v>
      </c>
      <c r="I22" s="100"/>
      <c r="J22" s="100">
        <f>2038.54+4600.5</f>
        <v>6639.04</v>
      </c>
      <c r="K22" s="99">
        <v>6639.04</v>
      </c>
      <c r="L22" s="99">
        <f t="shared" si="0"/>
        <v>6639.04</v>
      </c>
      <c r="M22" s="100">
        <v>6000000</v>
      </c>
      <c r="N22" s="99">
        <v>9500000</v>
      </c>
      <c r="O22" s="101">
        <f t="shared" si="1"/>
        <v>6.9884631578947371E-4</v>
      </c>
      <c r="P22" s="96" t="s">
        <v>495</v>
      </c>
      <c r="Q22" s="156" t="s">
        <v>495</v>
      </c>
      <c r="R22" s="96" t="s">
        <v>572</v>
      </c>
      <c r="S22" s="96" t="s">
        <v>572</v>
      </c>
    </row>
    <row r="23" spans="1:19" s="111" customFormat="1" ht="60">
      <c r="A23" s="95">
        <v>16</v>
      </c>
      <c r="B23" s="95" t="s">
        <v>29</v>
      </c>
      <c r="C23" s="95">
        <v>2016</v>
      </c>
      <c r="D23" s="96" t="s">
        <v>396</v>
      </c>
      <c r="E23" s="95" t="s">
        <v>27</v>
      </c>
      <c r="F23" s="93" t="s">
        <v>403</v>
      </c>
      <c r="G23" s="96" t="s">
        <v>495</v>
      </c>
      <c r="H23" s="100">
        <v>0</v>
      </c>
      <c r="I23" s="100"/>
      <c r="J23" s="100">
        <v>0</v>
      </c>
      <c r="K23" s="99">
        <v>0</v>
      </c>
      <c r="L23" s="99">
        <f t="shared" si="0"/>
        <v>0</v>
      </c>
      <c r="M23" s="100"/>
      <c r="N23" s="99">
        <v>8100000</v>
      </c>
      <c r="O23" s="101">
        <f t="shared" si="1"/>
        <v>0</v>
      </c>
      <c r="P23" s="96" t="s">
        <v>495</v>
      </c>
      <c r="Q23" s="96" t="s">
        <v>495</v>
      </c>
      <c r="R23" s="96" t="s">
        <v>495</v>
      </c>
      <c r="S23" s="96" t="s">
        <v>495</v>
      </c>
    </row>
    <row r="24" spans="1:19" s="111" customFormat="1" ht="60">
      <c r="A24" s="95">
        <v>17</v>
      </c>
      <c r="B24" s="95" t="s">
        <v>29</v>
      </c>
      <c r="C24" s="95">
        <v>2016</v>
      </c>
      <c r="D24" s="96" t="s">
        <v>396</v>
      </c>
      <c r="E24" s="95" t="s">
        <v>27</v>
      </c>
      <c r="F24" s="93" t="s">
        <v>404</v>
      </c>
      <c r="G24" s="96" t="s">
        <v>495</v>
      </c>
      <c r="H24" s="100">
        <v>0</v>
      </c>
      <c r="I24" s="100"/>
      <c r="J24" s="100">
        <v>0</v>
      </c>
      <c r="K24" s="99">
        <v>0</v>
      </c>
      <c r="L24" s="99">
        <f t="shared" si="0"/>
        <v>0</v>
      </c>
      <c r="M24" s="100"/>
      <c r="N24" s="99">
        <v>8000000</v>
      </c>
      <c r="O24" s="101">
        <f t="shared" si="1"/>
        <v>0</v>
      </c>
      <c r="P24" s="96" t="s">
        <v>495</v>
      </c>
      <c r="Q24" s="96" t="s">
        <v>495</v>
      </c>
      <c r="R24" s="96" t="s">
        <v>495</v>
      </c>
      <c r="S24" s="96" t="s">
        <v>495</v>
      </c>
    </row>
    <row r="25" spans="1:19" s="111" customFormat="1">
      <c r="A25" s="95">
        <v>18</v>
      </c>
      <c r="B25" s="95" t="s">
        <v>29</v>
      </c>
      <c r="C25" s="88">
        <v>2016</v>
      </c>
      <c r="D25" s="92" t="s">
        <v>385</v>
      </c>
      <c r="E25" s="88" t="s">
        <v>10</v>
      </c>
      <c r="F25" s="108" t="s">
        <v>387</v>
      </c>
      <c r="G25" s="92" t="s">
        <v>79</v>
      </c>
      <c r="H25" s="100"/>
      <c r="I25" s="100"/>
      <c r="J25" s="100">
        <v>-8463.5</v>
      </c>
      <c r="K25" s="99">
        <v>-8463.5</v>
      </c>
      <c r="L25" s="99">
        <f t="shared" si="0"/>
        <v>-8463.5</v>
      </c>
      <c r="M25" s="100"/>
      <c r="N25" s="99">
        <v>0</v>
      </c>
      <c r="O25" s="101" t="str">
        <f t="shared" si="1"/>
        <v/>
      </c>
      <c r="P25" s="96"/>
      <c r="Q25" s="96"/>
      <c r="R25" s="96"/>
      <c r="S25" s="96"/>
    </row>
    <row r="26" spans="1:19" s="111" customFormat="1" ht="60">
      <c r="A26" s="95">
        <v>19</v>
      </c>
      <c r="B26" s="95" t="s">
        <v>29</v>
      </c>
      <c r="C26" s="95">
        <v>2017</v>
      </c>
      <c r="D26" s="96" t="s">
        <v>396</v>
      </c>
      <c r="E26" s="95" t="s">
        <v>27</v>
      </c>
      <c r="F26" s="93" t="s">
        <v>403</v>
      </c>
      <c r="G26" s="96" t="s">
        <v>495</v>
      </c>
      <c r="H26" s="100">
        <v>0</v>
      </c>
      <c r="I26" s="100"/>
      <c r="J26" s="100">
        <v>0</v>
      </c>
      <c r="K26" s="99">
        <v>0</v>
      </c>
      <c r="L26" s="99">
        <f t="shared" si="0"/>
        <v>0</v>
      </c>
      <c r="M26" s="100"/>
      <c r="N26" s="99">
        <v>8050100</v>
      </c>
      <c r="O26" s="101">
        <f t="shared" si="1"/>
        <v>0</v>
      </c>
      <c r="P26" s="96" t="s">
        <v>495</v>
      </c>
      <c r="Q26" s="96" t="s">
        <v>495</v>
      </c>
      <c r="R26" s="96" t="s">
        <v>495</v>
      </c>
      <c r="S26" s="96" t="s">
        <v>495</v>
      </c>
    </row>
    <row r="27" spans="1:19" s="112" customFormat="1" ht="75">
      <c r="A27" s="95">
        <v>20</v>
      </c>
      <c r="B27" s="88" t="s">
        <v>31</v>
      </c>
      <c r="C27" s="88">
        <v>2016</v>
      </c>
      <c r="D27" s="92" t="s">
        <v>44</v>
      </c>
      <c r="E27" s="88" t="s">
        <v>9</v>
      </c>
      <c r="F27" s="108" t="s">
        <v>405</v>
      </c>
      <c r="G27" s="92" t="s">
        <v>271</v>
      </c>
      <c r="H27" s="92"/>
      <c r="I27" s="92"/>
      <c r="J27" s="94">
        <v>5000000</v>
      </c>
      <c r="K27" s="99">
        <v>6000000</v>
      </c>
      <c r="L27" s="99">
        <f t="shared" si="0"/>
        <v>6000000</v>
      </c>
      <c r="M27" s="110">
        <v>5000000</v>
      </c>
      <c r="N27" s="99">
        <v>6000000</v>
      </c>
      <c r="O27" s="101">
        <f t="shared" si="1"/>
        <v>1</v>
      </c>
      <c r="P27" s="92" t="s">
        <v>406</v>
      </c>
      <c r="Q27" s="92" t="s">
        <v>406</v>
      </c>
      <c r="R27" s="92" t="s">
        <v>406</v>
      </c>
      <c r="S27" s="92" t="s">
        <v>407</v>
      </c>
    </row>
    <row r="28" spans="1:19" s="112" customFormat="1" ht="120">
      <c r="A28" s="95">
        <v>21</v>
      </c>
      <c r="B28" s="88" t="s">
        <v>31</v>
      </c>
      <c r="C28" s="88">
        <v>2016</v>
      </c>
      <c r="D28" s="92" t="s">
        <v>44</v>
      </c>
      <c r="E28" s="88" t="s">
        <v>9</v>
      </c>
      <c r="F28" s="108" t="s">
        <v>80</v>
      </c>
      <c r="G28" s="92" t="s">
        <v>79</v>
      </c>
      <c r="H28" s="94"/>
      <c r="I28" s="94"/>
      <c r="J28" s="94">
        <v>1000000</v>
      </c>
      <c r="K28" s="99">
        <v>1000000</v>
      </c>
      <c r="L28" s="99">
        <f t="shared" si="0"/>
        <v>1000000</v>
      </c>
      <c r="M28" s="110">
        <v>1000000</v>
      </c>
      <c r="N28" s="99">
        <v>1000000</v>
      </c>
      <c r="O28" s="101">
        <f t="shared" si="1"/>
        <v>1</v>
      </c>
      <c r="P28" s="92" t="s">
        <v>81</v>
      </c>
      <c r="Q28" s="92" t="s">
        <v>82</v>
      </c>
      <c r="R28" s="92" t="s">
        <v>562</v>
      </c>
      <c r="S28" s="92" t="s">
        <v>182</v>
      </c>
    </row>
    <row r="29" spans="1:19" s="112" customFormat="1" ht="90">
      <c r="A29" s="95">
        <v>22</v>
      </c>
      <c r="B29" s="88" t="s">
        <v>31</v>
      </c>
      <c r="C29" s="88">
        <v>2016</v>
      </c>
      <c r="D29" s="92" t="s">
        <v>44</v>
      </c>
      <c r="E29" s="88" t="s">
        <v>9</v>
      </c>
      <c r="F29" s="108" t="s">
        <v>83</v>
      </c>
      <c r="G29" s="92" t="s">
        <v>79</v>
      </c>
      <c r="H29" s="94"/>
      <c r="I29" s="94"/>
      <c r="J29" s="94">
        <v>300000</v>
      </c>
      <c r="K29" s="99">
        <v>300000</v>
      </c>
      <c r="L29" s="99">
        <f t="shared" si="0"/>
        <v>300000</v>
      </c>
      <c r="M29" s="110">
        <v>300000</v>
      </c>
      <c r="N29" s="99">
        <v>300000</v>
      </c>
      <c r="O29" s="101">
        <f t="shared" si="1"/>
        <v>1</v>
      </c>
      <c r="P29" s="92" t="s">
        <v>84</v>
      </c>
      <c r="Q29" s="92" t="s">
        <v>85</v>
      </c>
      <c r="R29" s="92" t="s">
        <v>563</v>
      </c>
      <c r="S29" s="92" t="s">
        <v>86</v>
      </c>
    </row>
    <row r="30" spans="1:19" s="112" customFormat="1" ht="120">
      <c r="A30" s="95">
        <v>23</v>
      </c>
      <c r="B30" s="88" t="s">
        <v>31</v>
      </c>
      <c r="C30" s="88">
        <v>2016</v>
      </c>
      <c r="D30" s="92" t="s">
        <v>45</v>
      </c>
      <c r="E30" s="88" t="s">
        <v>9</v>
      </c>
      <c r="F30" s="108" t="s">
        <v>87</v>
      </c>
      <c r="G30" s="92" t="s">
        <v>79</v>
      </c>
      <c r="H30" s="94"/>
      <c r="I30" s="94">
        <f>354597-201510</f>
        <v>153087</v>
      </c>
      <c r="J30" s="94">
        <f>2474361-220950-474279</f>
        <v>1779132</v>
      </c>
      <c r="K30" s="99">
        <v>1779132</v>
      </c>
      <c r="L30" s="99">
        <f t="shared" si="0"/>
        <v>1932219</v>
      </c>
      <c r="M30" s="110">
        <f>4395000-2000000+18000+140000</f>
        <v>2553000</v>
      </c>
      <c r="N30" s="99">
        <v>2553000</v>
      </c>
      <c r="O30" s="101">
        <f t="shared" si="1"/>
        <v>0.75684253819036429</v>
      </c>
      <c r="P30" s="92" t="s">
        <v>88</v>
      </c>
      <c r="Q30" s="92" t="s">
        <v>355</v>
      </c>
      <c r="R30" s="92" t="s">
        <v>525</v>
      </c>
      <c r="S30" s="92" t="s">
        <v>496</v>
      </c>
    </row>
    <row r="31" spans="1:19" s="112" customFormat="1" ht="60">
      <c r="A31" s="95">
        <v>24</v>
      </c>
      <c r="B31" s="88" t="s">
        <v>31</v>
      </c>
      <c r="C31" s="88">
        <v>2016</v>
      </c>
      <c r="D31" s="92" t="s">
        <v>45</v>
      </c>
      <c r="E31" s="88" t="s">
        <v>9</v>
      </c>
      <c r="F31" s="108" t="s">
        <v>408</v>
      </c>
      <c r="G31" s="92" t="s">
        <v>79</v>
      </c>
      <c r="H31" s="94">
        <v>2000000</v>
      </c>
      <c r="I31" s="94"/>
      <c r="J31" s="94"/>
      <c r="K31" s="99">
        <v>0</v>
      </c>
      <c r="L31" s="99">
        <f t="shared" si="0"/>
        <v>2000000</v>
      </c>
      <c r="M31" s="110">
        <v>2000000</v>
      </c>
      <c r="N31" s="99">
        <v>2000000</v>
      </c>
      <c r="O31" s="101">
        <f t="shared" si="1"/>
        <v>1</v>
      </c>
      <c r="P31" s="92" t="s">
        <v>409</v>
      </c>
      <c r="Q31" s="92" t="s">
        <v>410</v>
      </c>
      <c r="R31" s="92"/>
      <c r="S31" s="92"/>
    </row>
    <row r="32" spans="1:19" s="112" customFormat="1" ht="90">
      <c r="A32" s="95">
        <v>25</v>
      </c>
      <c r="B32" s="88" t="s">
        <v>31</v>
      </c>
      <c r="C32" s="88">
        <v>2016</v>
      </c>
      <c r="D32" s="92" t="s">
        <v>45</v>
      </c>
      <c r="E32" s="88" t="s">
        <v>9</v>
      </c>
      <c r="F32" s="108" t="s">
        <v>89</v>
      </c>
      <c r="G32" s="92" t="s">
        <v>79</v>
      </c>
      <c r="H32" s="94"/>
      <c r="I32" s="94">
        <v>201510</v>
      </c>
      <c r="J32" s="94">
        <v>220950</v>
      </c>
      <c r="K32" s="99">
        <v>220950</v>
      </c>
      <c r="L32" s="99">
        <f t="shared" si="0"/>
        <v>422460</v>
      </c>
      <c r="M32" s="110">
        <v>423000</v>
      </c>
      <c r="N32" s="99">
        <v>423000</v>
      </c>
      <c r="O32" s="101">
        <f t="shared" si="1"/>
        <v>0.99872340425531914</v>
      </c>
      <c r="P32" s="92" t="s">
        <v>90</v>
      </c>
      <c r="Q32" s="92" t="s">
        <v>91</v>
      </c>
      <c r="R32" s="92" t="s">
        <v>353</v>
      </c>
      <c r="S32" s="92" t="s">
        <v>353</v>
      </c>
    </row>
    <row r="33" spans="1:19" s="112" customFormat="1" ht="120">
      <c r="A33" s="95">
        <v>26</v>
      </c>
      <c r="B33" s="88" t="s">
        <v>31</v>
      </c>
      <c r="C33" s="88">
        <v>2016</v>
      </c>
      <c r="D33" s="92" t="s">
        <v>45</v>
      </c>
      <c r="E33" s="88" t="s">
        <v>9</v>
      </c>
      <c r="F33" s="108" t="s">
        <v>92</v>
      </c>
      <c r="G33" s="92" t="s">
        <v>79</v>
      </c>
      <c r="H33" s="94"/>
      <c r="I33" s="92"/>
      <c r="J33" s="94">
        <v>474279</v>
      </c>
      <c r="K33" s="99">
        <v>474279</v>
      </c>
      <c r="L33" s="99">
        <f t="shared" si="0"/>
        <v>474279</v>
      </c>
      <c r="M33" s="110">
        <v>774000</v>
      </c>
      <c r="N33" s="99">
        <v>774000</v>
      </c>
      <c r="O33" s="101">
        <f t="shared" si="1"/>
        <v>0.61276356589147285</v>
      </c>
      <c r="P33" s="92" t="s">
        <v>93</v>
      </c>
      <c r="Q33" s="92" t="s">
        <v>497</v>
      </c>
      <c r="R33" s="92" t="s">
        <v>562</v>
      </c>
      <c r="S33" s="92" t="s">
        <v>182</v>
      </c>
    </row>
    <row r="34" spans="1:19" s="112" customFormat="1" ht="90">
      <c r="A34" s="95">
        <v>27</v>
      </c>
      <c r="B34" s="88" t="s">
        <v>31</v>
      </c>
      <c r="C34" s="88">
        <v>2016</v>
      </c>
      <c r="D34" s="92" t="s">
        <v>45</v>
      </c>
      <c r="E34" s="88" t="s">
        <v>9</v>
      </c>
      <c r="F34" s="108" t="s">
        <v>94</v>
      </c>
      <c r="G34" s="92"/>
      <c r="H34" s="94"/>
      <c r="I34" s="92"/>
      <c r="J34" s="94"/>
      <c r="K34" s="99">
        <v>0</v>
      </c>
      <c r="L34" s="99">
        <f t="shared" si="0"/>
        <v>0</v>
      </c>
      <c r="M34" s="110">
        <v>36500</v>
      </c>
      <c r="N34" s="99">
        <v>36500</v>
      </c>
      <c r="O34" s="101">
        <f t="shared" si="1"/>
        <v>0</v>
      </c>
      <c r="P34" s="92" t="s">
        <v>94</v>
      </c>
      <c r="Q34" s="92" t="s">
        <v>95</v>
      </c>
      <c r="R34" s="92"/>
      <c r="S34" s="92"/>
    </row>
    <row r="35" spans="1:19" s="112" customFormat="1" ht="90">
      <c r="A35" s="95">
        <v>28</v>
      </c>
      <c r="B35" s="88" t="s">
        <v>31</v>
      </c>
      <c r="C35" s="88">
        <v>2016</v>
      </c>
      <c r="D35" s="92" t="s">
        <v>21</v>
      </c>
      <c r="E35" s="88" t="s">
        <v>9</v>
      </c>
      <c r="F35" s="108" t="s">
        <v>96</v>
      </c>
      <c r="G35" s="92" t="s">
        <v>79</v>
      </c>
      <c r="H35" s="92"/>
      <c r="I35" s="92"/>
      <c r="J35" s="94">
        <f>693547+97051+1767</f>
        <v>792365</v>
      </c>
      <c r="K35" s="99">
        <v>3426494</v>
      </c>
      <c r="L35" s="99">
        <f t="shared" si="0"/>
        <v>3426494</v>
      </c>
      <c r="M35" s="110"/>
      <c r="N35" s="99">
        <v>0</v>
      </c>
      <c r="O35" s="101" t="str">
        <f t="shared" si="1"/>
        <v/>
      </c>
      <c r="P35" s="92" t="s">
        <v>97</v>
      </c>
      <c r="Q35" s="92" t="s">
        <v>98</v>
      </c>
      <c r="R35" s="92" t="s">
        <v>526</v>
      </c>
      <c r="S35" s="92" t="s">
        <v>99</v>
      </c>
    </row>
    <row r="36" spans="1:19" s="112" customFormat="1" ht="90">
      <c r="A36" s="95">
        <v>29</v>
      </c>
      <c r="B36" s="88" t="s">
        <v>31</v>
      </c>
      <c r="C36" s="88">
        <v>2016</v>
      </c>
      <c r="D36" s="92" t="s">
        <v>385</v>
      </c>
      <c r="E36" s="88" t="s">
        <v>9</v>
      </c>
      <c r="F36" s="108" t="s">
        <v>387</v>
      </c>
      <c r="G36" s="92" t="s">
        <v>79</v>
      </c>
      <c r="H36" s="92"/>
      <c r="I36" s="92"/>
      <c r="J36" s="94">
        <v>-132490.41</v>
      </c>
      <c r="K36" s="99">
        <v>-792870.41</v>
      </c>
      <c r="L36" s="99">
        <f t="shared" si="0"/>
        <v>-792870.41</v>
      </c>
      <c r="M36" s="110"/>
      <c r="N36" s="99">
        <v>0</v>
      </c>
      <c r="O36" s="101" t="str">
        <f t="shared" si="1"/>
        <v/>
      </c>
      <c r="P36" s="92" t="s">
        <v>528</v>
      </c>
      <c r="Q36" s="92" t="s">
        <v>528</v>
      </c>
      <c r="R36" s="92" t="s">
        <v>528</v>
      </c>
      <c r="S36" s="92" t="s">
        <v>528</v>
      </c>
    </row>
    <row r="37" spans="1:19" s="112" customFormat="1" ht="135">
      <c r="A37" s="95">
        <v>30</v>
      </c>
      <c r="B37" s="88" t="s">
        <v>31</v>
      </c>
      <c r="C37" s="88">
        <v>2016</v>
      </c>
      <c r="D37" s="92" t="s">
        <v>396</v>
      </c>
      <c r="E37" s="88" t="s">
        <v>9</v>
      </c>
      <c r="F37" s="147" t="s">
        <v>411</v>
      </c>
      <c r="G37" s="92" t="s">
        <v>498</v>
      </c>
      <c r="H37" s="94"/>
      <c r="I37" s="92"/>
      <c r="J37" s="94">
        <v>3900000</v>
      </c>
      <c r="K37" s="99">
        <v>3900000</v>
      </c>
      <c r="L37" s="99">
        <f t="shared" si="0"/>
        <v>3900000</v>
      </c>
      <c r="M37" s="110">
        <v>3900000</v>
      </c>
      <c r="N37" s="99">
        <v>3900000</v>
      </c>
      <c r="O37" s="101">
        <f t="shared" si="1"/>
        <v>1</v>
      </c>
      <c r="P37" s="92" t="s">
        <v>412</v>
      </c>
      <c r="Q37" s="157" t="s">
        <v>412</v>
      </c>
      <c r="R37" s="157" t="s">
        <v>407</v>
      </c>
      <c r="S37" s="92" t="s">
        <v>407</v>
      </c>
    </row>
    <row r="38" spans="1:19" s="112" customFormat="1" ht="90">
      <c r="A38" s="95">
        <v>31</v>
      </c>
      <c r="B38" s="88" t="s">
        <v>31</v>
      </c>
      <c r="C38" s="88">
        <v>2016</v>
      </c>
      <c r="D38" s="92" t="s">
        <v>396</v>
      </c>
      <c r="E38" s="88" t="s">
        <v>9</v>
      </c>
      <c r="F38" s="147" t="s">
        <v>413</v>
      </c>
      <c r="G38" s="92" t="s">
        <v>79</v>
      </c>
      <c r="H38" s="94"/>
      <c r="I38" s="92"/>
      <c r="J38" s="94">
        <v>1736322</v>
      </c>
      <c r="K38" s="99">
        <v>1736322</v>
      </c>
      <c r="L38" s="99">
        <f t="shared" si="0"/>
        <v>1736322</v>
      </c>
      <c r="M38" s="110">
        <v>2250000</v>
      </c>
      <c r="N38" s="99">
        <v>2250000</v>
      </c>
      <c r="O38" s="101">
        <f t="shared" si="1"/>
        <v>0.77169866666666664</v>
      </c>
      <c r="P38" s="92" t="s">
        <v>414</v>
      </c>
      <c r="Q38" s="92" t="s">
        <v>415</v>
      </c>
      <c r="R38" s="92" t="s">
        <v>527</v>
      </c>
      <c r="S38" s="92" t="s">
        <v>527</v>
      </c>
    </row>
    <row r="39" spans="1:19" s="112" customFormat="1" ht="60">
      <c r="A39" s="95">
        <v>32</v>
      </c>
      <c r="B39" s="88" t="s">
        <v>31</v>
      </c>
      <c r="C39" s="88">
        <v>2016</v>
      </c>
      <c r="D39" s="92" t="s">
        <v>396</v>
      </c>
      <c r="E39" s="88" t="s">
        <v>9</v>
      </c>
      <c r="F39" s="147" t="s">
        <v>416</v>
      </c>
      <c r="G39" s="92"/>
      <c r="H39" s="94">
        <v>25000000</v>
      </c>
      <c r="I39" s="92"/>
      <c r="J39" s="94"/>
      <c r="K39" s="99">
        <v>0</v>
      </c>
      <c r="L39" s="99">
        <f t="shared" si="0"/>
        <v>25000000</v>
      </c>
      <c r="M39" s="110">
        <v>25000000</v>
      </c>
      <c r="N39" s="99">
        <v>25000000</v>
      </c>
      <c r="O39" s="101">
        <f t="shared" si="1"/>
        <v>1</v>
      </c>
      <c r="P39" s="92" t="s">
        <v>417</v>
      </c>
      <c r="Q39" s="92" t="s">
        <v>418</v>
      </c>
      <c r="R39" s="92"/>
      <c r="S39" s="92"/>
    </row>
    <row r="40" spans="1:19" s="112" customFormat="1" ht="60">
      <c r="A40" s="95">
        <v>33</v>
      </c>
      <c r="B40" s="88" t="s">
        <v>31</v>
      </c>
      <c r="C40" s="88">
        <v>2016</v>
      </c>
      <c r="D40" s="92" t="s">
        <v>396</v>
      </c>
      <c r="E40" s="88" t="s">
        <v>9</v>
      </c>
      <c r="F40" s="147" t="s">
        <v>419</v>
      </c>
      <c r="G40" s="92"/>
      <c r="H40" s="94">
        <v>2200000</v>
      </c>
      <c r="I40" s="92"/>
      <c r="J40" s="94"/>
      <c r="K40" s="99">
        <v>0</v>
      </c>
      <c r="L40" s="99">
        <f t="shared" ref="L40:L71" si="2">+K40+I40+H40</f>
        <v>2200000</v>
      </c>
      <c r="M40" s="110">
        <v>2200000</v>
      </c>
      <c r="N40" s="99">
        <v>2200000</v>
      </c>
      <c r="O40" s="101">
        <f t="shared" ref="O40:O71" si="3">IF(N40=0,"",(K40+H40+I40)/N40)</f>
        <v>1</v>
      </c>
      <c r="P40" s="92" t="s">
        <v>409</v>
      </c>
      <c r="Q40" s="92" t="s">
        <v>410</v>
      </c>
      <c r="R40" s="92"/>
      <c r="S40" s="92"/>
    </row>
    <row r="41" spans="1:19" s="112" customFormat="1" ht="135">
      <c r="A41" s="95">
        <v>34</v>
      </c>
      <c r="B41" s="88" t="s">
        <v>31</v>
      </c>
      <c r="C41" s="88">
        <v>2017</v>
      </c>
      <c r="D41" s="92" t="s">
        <v>396</v>
      </c>
      <c r="E41" s="88" t="s">
        <v>9</v>
      </c>
      <c r="F41" s="147" t="s">
        <v>420</v>
      </c>
      <c r="G41" s="92"/>
      <c r="H41" s="94"/>
      <c r="I41" s="92"/>
      <c r="J41" s="94"/>
      <c r="K41" s="99">
        <v>0</v>
      </c>
      <c r="L41" s="99">
        <f t="shared" si="2"/>
        <v>0</v>
      </c>
      <c r="M41" s="110">
        <v>3900000</v>
      </c>
      <c r="N41" s="99">
        <v>3900000</v>
      </c>
      <c r="O41" s="101">
        <f t="shared" si="3"/>
        <v>0</v>
      </c>
      <c r="P41" s="92" t="s">
        <v>421</v>
      </c>
      <c r="Q41" s="157" t="s">
        <v>421</v>
      </c>
      <c r="R41" s="92"/>
      <c r="S41" s="92"/>
    </row>
    <row r="42" spans="1:19" s="112" customFormat="1" ht="90">
      <c r="A42" s="95">
        <v>35</v>
      </c>
      <c r="B42" s="88" t="s">
        <v>31</v>
      </c>
      <c r="C42" s="88">
        <v>2017</v>
      </c>
      <c r="D42" s="92" t="s">
        <v>396</v>
      </c>
      <c r="E42" s="88" t="s">
        <v>9</v>
      </c>
      <c r="F42" s="147" t="s">
        <v>413</v>
      </c>
      <c r="G42" s="92"/>
      <c r="H42" s="94"/>
      <c r="I42" s="92"/>
      <c r="J42" s="94"/>
      <c r="K42" s="99">
        <v>0</v>
      </c>
      <c r="L42" s="99">
        <f t="shared" si="2"/>
        <v>0</v>
      </c>
      <c r="M42" s="110">
        <v>1500000</v>
      </c>
      <c r="N42" s="99">
        <v>1500100</v>
      </c>
      <c r="O42" s="101">
        <f t="shared" si="3"/>
        <v>0</v>
      </c>
      <c r="P42" s="92" t="s">
        <v>422</v>
      </c>
      <c r="Q42" s="92" t="s">
        <v>415</v>
      </c>
      <c r="R42" s="92"/>
      <c r="S42" s="92"/>
    </row>
    <row r="43" spans="1:19" s="111" customFormat="1" ht="180">
      <c r="A43" s="95">
        <v>36</v>
      </c>
      <c r="B43" s="95" t="s">
        <v>32</v>
      </c>
      <c r="C43" s="95">
        <v>2016</v>
      </c>
      <c r="D43" s="96" t="s">
        <v>45</v>
      </c>
      <c r="E43" s="95" t="s">
        <v>10</v>
      </c>
      <c r="F43" s="97" t="s">
        <v>100</v>
      </c>
      <c r="G43" s="96" t="s">
        <v>273</v>
      </c>
      <c r="H43" s="98">
        <v>0</v>
      </c>
      <c r="I43" s="109"/>
      <c r="J43" s="94">
        <v>200000</v>
      </c>
      <c r="K43" s="99">
        <v>200000</v>
      </c>
      <c r="L43" s="99">
        <f t="shared" si="2"/>
        <v>200000</v>
      </c>
      <c r="M43" s="110">
        <v>200000</v>
      </c>
      <c r="N43" s="99">
        <v>200000</v>
      </c>
      <c r="O43" s="101">
        <f t="shared" si="3"/>
        <v>1</v>
      </c>
      <c r="P43" s="96" t="s">
        <v>57</v>
      </c>
      <c r="Q43" s="96" t="s">
        <v>331</v>
      </c>
      <c r="R43" s="96" t="s">
        <v>578</v>
      </c>
      <c r="S43" s="96" t="s">
        <v>579</v>
      </c>
    </row>
    <row r="44" spans="1:19" s="111" customFormat="1" ht="135">
      <c r="A44" s="95">
        <v>37</v>
      </c>
      <c r="B44" s="95" t="s">
        <v>32</v>
      </c>
      <c r="C44" s="95">
        <v>2016</v>
      </c>
      <c r="D44" s="96" t="s">
        <v>45</v>
      </c>
      <c r="E44" s="95" t="s">
        <v>10</v>
      </c>
      <c r="F44" s="97" t="s">
        <v>101</v>
      </c>
      <c r="G44" s="96" t="s">
        <v>273</v>
      </c>
      <c r="H44" s="98"/>
      <c r="I44" s="109">
        <v>0</v>
      </c>
      <c r="J44" s="94">
        <v>0</v>
      </c>
      <c r="K44" s="99">
        <v>67509.239999999991</v>
      </c>
      <c r="L44" s="99">
        <f t="shared" si="2"/>
        <v>67509.239999999991</v>
      </c>
      <c r="M44" s="110"/>
      <c r="N44" s="99">
        <v>120000</v>
      </c>
      <c r="O44" s="101">
        <f t="shared" si="3"/>
        <v>0.56257699999999988</v>
      </c>
      <c r="P44" s="96" t="s">
        <v>102</v>
      </c>
      <c r="Q44" s="96" t="s">
        <v>103</v>
      </c>
      <c r="R44" s="96" t="s">
        <v>580</v>
      </c>
      <c r="S44" s="89" t="s">
        <v>369</v>
      </c>
    </row>
    <row r="45" spans="1:19" s="111" customFormat="1" ht="120">
      <c r="A45" s="95">
        <f>+A44+1</f>
        <v>38</v>
      </c>
      <c r="B45" s="95" t="s">
        <v>32</v>
      </c>
      <c r="C45" s="95">
        <v>2016</v>
      </c>
      <c r="D45" s="96" t="s">
        <v>45</v>
      </c>
      <c r="E45" s="95" t="s">
        <v>10</v>
      </c>
      <c r="F45" s="97" t="s">
        <v>104</v>
      </c>
      <c r="G45" s="96" t="s">
        <v>274</v>
      </c>
      <c r="H45" s="94">
        <f>1037200-J45</f>
        <v>0</v>
      </c>
      <c r="I45" s="94"/>
      <c r="J45" s="94">
        <v>1037200</v>
      </c>
      <c r="K45" s="99">
        <v>1037200</v>
      </c>
      <c r="L45" s="99">
        <f t="shared" si="2"/>
        <v>1037200</v>
      </c>
      <c r="M45" s="110">
        <v>1037200</v>
      </c>
      <c r="N45" s="99">
        <v>1037200</v>
      </c>
      <c r="O45" s="101">
        <f t="shared" si="3"/>
        <v>1</v>
      </c>
      <c r="P45" s="96" t="s">
        <v>105</v>
      </c>
      <c r="Q45" s="96" t="s">
        <v>505</v>
      </c>
      <c r="R45" s="96" t="s">
        <v>581</v>
      </c>
      <c r="S45" s="96" t="s">
        <v>582</v>
      </c>
    </row>
    <row r="46" spans="1:19" s="111" customFormat="1" ht="330">
      <c r="A46" s="95">
        <f t="shared" ref="A46:A107" si="4">+A45+1</f>
        <v>39</v>
      </c>
      <c r="B46" s="95" t="s">
        <v>32</v>
      </c>
      <c r="C46" s="95">
        <v>2016</v>
      </c>
      <c r="D46" s="96" t="s">
        <v>45</v>
      </c>
      <c r="E46" s="95" t="s">
        <v>10</v>
      </c>
      <c r="F46" s="97" t="s">
        <v>106</v>
      </c>
      <c r="G46" s="91" t="s">
        <v>529</v>
      </c>
      <c r="H46" s="99">
        <v>872000</v>
      </c>
      <c r="I46" s="94"/>
      <c r="J46" s="94">
        <v>0</v>
      </c>
      <c r="K46" s="99">
        <v>0</v>
      </c>
      <c r="L46" s="99">
        <f t="shared" si="2"/>
        <v>872000</v>
      </c>
      <c r="M46" s="110"/>
      <c r="N46" s="99">
        <v>872000</v>
      </c>
      <c r="O46" s="101">
        <f t="shared" si="3"/>
        <v>1</v>
      </c>
      <c r="P46" s="96" t="s">
        <v>583</v>
      </c>
      <c r="Q46" s="96" t="s">
        <v>584</v>
      </c>
      <c r="R46" s="96"/>
      <c r="S46" s="92" t="s">
        <v>585</v>
      </c>
    </row>
    <row r="47" spans="1:19" s="111" customFormat="1" ht="135">
      <c r="A47" s="95">
        <f t="shared" si="4"/>
        <v>40</v>
      </c>
      <c r="B47" s="95" t="s">
        <v>32</v>
      </c>
      <c r="C47" s="95">
        <v>2016</v>
      </c>
      <c r="D47" s="96" t="s">
        <v>45</v>
      </c>
      <c r="E47" s="95" t="s">
        <v>10</v>
      </c>
      <c r="F47" s="97" t="s">
        <v>107</v>
      </c>
      <c r="G47" s="91" t="s">
        <v>273</v>
      </c>
      <c r="H47" s="99">
        <v>78471</v>
      </c>
      <c r="I47" s="94"/>
      <c r="J47" s="94">
        <v>6509</v>
      </c>
      <c r="K47" s="99">
        <v>6509</v>
      </c>
      <c r="L47" s="99">
        <f t="shared" si="2"/>
        <v>84980</v>
      </c>
      <c r="M47" s="110">
        <v>30000</v>
      </c>
      <c r="N47" s="99">
        <v>85000</v>
      </c>
      <c r="O47" s="101">
        <f t="shared" si="3"/>
        <v>0.99976470588235289</v>
      </c>
      <c r="P47" s="96" t="s">
        <v>108</v>
      </c>
      <c r="Q47" s="96" t="s">
        <v>370</v>
      </c>
      <c r="R47" s="96" t="s">
        <v>586</v>
      </c>
      <c r="S47" s="96" t="s">
        <v>531</v>
      </c>
    </row>
    <row r="48" spans="1:19" s="111" customFormat="1" ht="90">
      <c r="A48" s="95">
        <f t="shared" si="4"/>
        <v>41</v>
      </c>
      <c r="B48" s="95" t="s">
        <v>32</v>
      </c>
      <c r="C48" s="95">
        <v>2016</v>
      </c>
      <c r="D48" s="96" t="s">
        <v>45</v>
      </c>
      <c r="E48" s="95" t="s">
        <v>30</v>
      </c>
      <c r="F48" s="97" t="s">
        <v>109</v>
      </c>
      <c r="G48" s="96" t="s">
        <v>275</v>
      </c>
      <c r="H48" s="99"/>
      <c r="I48" s="94"/>
      <c r="J48" s="94">
        <f>200000+115914.07</f>
        <v>315914.07</v>
      </c>
      <c r="K48" s="99">
        <v>315914.07</v>
      </c>
      <c r="L48" s="99">
        <f t="shared" si="2"/>
        <v>315914.07</v>
      </c>
      <c r="M48" s="110">
        <v>200000</v>
      </c>
      <c r="N48" s="99">
        <v>200000</v>
      </c>
      <c r="O48" s="101">
        <f t="shared" si="3"/>
        <v>1.57957035</v>
      </c>
      <c r="P48" s="96" t="s">
        <v>110</v>
      </c>
      <c r="Q48" s="96" t="s">
        <v>332</v>
      </c>
      <c r="R48" s="96" t="s">
        <v>587</v>
      </c>
      <c r="S48" s="96" t="s">
        <v>506</v>
      </c>
    </row>
    <row r="49" spans="1:19" s="111" customFormat="1" ht="180">
      <c r="A49" s="95">
        <f t="shared" si="4"/>
        <v>42</v>
      </c>
      <c r="B49" s="95" t="s">
        <v>32</v>
      </c>
      <c r="C49" s="95">
        <v>2016</v>
      </c>
      <c r="D49" s="96" t="s">
        <v>45</v>
      </c>
      <c r="E49" s="95" t="s">
        <v>30</v>
      </c>
      <c r="F49" s="97" t="s">
        <v>111</v>
      </c>
      <c r="G49" s="96" t="s">
        <v>276</v>
      </c>
      <c r="H49" s="109">
        <v>636149</v>
      </c>
      <c r="I49" s="109"/>
      <c r="J49" s="94">
        <v>13851.26</v>
      </c>
      <c r="K49" s="99">
        <v>13851.26</v>
      </c>
      <c r="L49" s="99">
        <f t="shared" si="2"/>
        <v>650000.26</v>
      </c>
      <c r="M49" s="110">
        <v>650000</v>
      </c>
      <c r="N49" s="99">
        <v>650000</v>
      </c>
      <c r="O49" s="101">
        <f t="shared" si="3"/>
        <v>1.0000004</v>
      </c>
      <c r="P49" s="96" t="s">
        <v>112</v>
      </c>
      <c r="Q49" s="96" t="s">
        <v>277</v>
      </c>
      <c r="R49" s="96" t="s">
        <v>588</v>
      </c>
      <c r="S49" s="96" t="s">
        <v>589</v>
      </c>
    </row>
    <row r="50" spans="1:19" s="111" customFormat="1" ht="135">
      <c r="A50" s="95">
        <f t="shared" si="4"/>
        <v>43</v>
      </c>
      <c r="B50" s="95" t="s">
        <v>32</v>
      </c>
      <c r="C50" s="95">
        <v>2016</v>
      </c>
      <c r="D50" s="96" t="s">
        <v>45</v>
      </c>
      <c r="E50" s="95" t="s">
        <v>27</v>
      </c>
      <c r="F50" s="97" t="s">
        <v>113</v>
      </c>
      <c r="G50" s="96" t="s">
        <v>76</v>
      </c>
      <c r="H50" s="99"/>
      <c r="I50" s="94"/>
      <c r="J50" s="94">
        <v>217944.85</v>
      </c>
      <c r="K50" s="99">
        <v>217944.85</v>
      </c>
      <c r="L50" s="99">
        <f t="shared" si="2"/>
        <v>217944.85</v>
      </c>
      <c r="M50" s="110">
        <v>720000</v>
      </c>
      <c r="N50" s="99">
        <v>720000</v>
      </c>
      <c r="O50" s="101">
        <f t="shared" si="3"/>
        <v>0.30270118055555556</v>
      </c>
      <c r="P50" s="96" t="s">
        <v>278</v>
      </c>
      <c r="Q50" s="96" t="s">
        <v>279</v>
      </c>
      <c r="R50" s="96" t="s">
        <v>279</v>
      </c>
      <c r="S50" s="96" t="s">
        <v>356</v>
      </c>
    </row>
    <row r="51" spans="1:19" s="111" customFormat="1" ht="409.5">
      <c r="A51" s="95">
        <f t="shared" si="4"/>
        <v>44</v>
      </c>
      <c r="B51" s="95" t="s">
        <v>32</v>
      </c>
      <c r="C51" s="95">
        <v>2016</v>
      </c>
      <c r="D51" s="96" t="s">
        <v>45</v>
      </c>
      <c r="E51" s="95" t="s">
        <v>27</v>
      </c>
      <c r="F51" s="97" t="s">
        <v>114</v>
      </c>
      <c r="G51" s="96" t="s">
        <v>280</v>
      </c>
      <c r="H51" s="99"/>
      <c r="I51" s="94"/>
      <c r="J51" s="94">
        <v>500000</v>
      </c>
      <c r="K51" s="99">
        <v>500000</v>
      </c>
      <c r="L51" s="99">
        <f t="shared" si="2"/>
        <v>500000</v>
      </c>
      <c r="M51" s="110">
        <v>500000</v>
      </c>
      <c r="N51" s="99">
        <v>500000</v>
      </c>
      <c r="O51" s="101">
        <f t="shared" si="3"/>
        <v>1</v>
      </c>
      <c r="P51" s="96" t="s">
        <v>115</v>
      </c>
      <c r="Q51" s="96" t="s">
        <v>116</v>
      </c>
      <c r="R51" s="96" t="s">
        <v>590</v>
      </c>
      <c r="S51" s="96" t="s">
        <v>507</v>
      </c>
    </row>
    <row r="52" spans="1:19" s="111" customFormat="1" ht="135">
      <c r="A52" s="95">
        <f t="shared" si="4"/>
        <v>45</v>
      </c>
      <c r="B52" s="95" t="s">
        <v>32</v>
      </c>
      <c r="C52" s="95">
        <v>2016</v>
      </c>
      <c r="D52" s="96" t="s">
        <v>45</v>
      </c>
      <c r="E52" s="95" t="s">
        <v>27</v>
      </c>
      <c r="F52" s="97" t="s">
        <v>117</v>
      </c>
      <c r="G52" s="96" t="s">
        <v>280</v>
      </c>
      <c r="H52" s="94">
        <v>3290000</v>
      </c>
      <c r="I52" s="94"/>
      <c r="J52" s="94"/>
      <c r="K52" s="99">
        <v>0</v>
      </c>
      <c r="L52" s="99">
        <f t="shared" si="2"/>
        <v>3290000</v>
      </c>
      <c r="M52" s="110">
        <v>755000</v>
      </c>
      <c r="N52" s="99">
        <v>3290000</v>
      </c>
      <c r="O52" s="101">
        <f t="shared" si="3"/>
        <v>1</v>
      </c>
      <c r="P52" s="96" t="s">
        <v>118</v>
      </c>
      <c r="Q52" s="96" t="s">
        <v>119</v>
      </c>
      <c r="R52" s="96" t="s">
        <v>591</v>
      </c>
      <c r="S52" s="96" t="s">
        <v>371</v>
      </c>
    </row>
    <row r="53" spans="1:19" s="111" customFormat="1" ht="345">
      <c r="A53" s="95">
        <f t="shared" si="4"/>
        <v>46</v>
      </c>
      <c r="B53" s="95" t="s">
        <v>32</v>
      </c>
      <c r="C53" s="95">
        <v>2016</v>
      </c>
      <c r="D53" s="96" t="s">
        <v>45</v>
      </c>
      <c r="E53" s="95" t="s">
        <v>27</v>
      </c>
      <c r="F53" s="97" t="s">
        <v>120</v>
      </c>
      <c r="G53" s="91" t="s">
        <v>281</v>
      </c>
      <c r="H53" s="99">
        <v>146743</v>
      </c>
      <c r="I53" s="94"/>
      <c r="J53" s="94">
        <v>253257.41</v>
      </c>
      <c r="K53" s="99">
        <v>253257.41</v>
      </c>
      <c r="L53" s="99">
        <f t="shared" si="2"/>
        <v>400000.41000000003</v>
      </c>
      <c r="M53" s="110">
        <v>200000</v>
      </c>
      <c r="N53" s="99">
        <v>200000</v>
      </c>
      <c r="O53" s="101">
        <f t="shared" si="3"/>
        <v>2.00000205</v>
      </c>
      <c r="P53" s="96" t="s">
        <v>121</v>
      </c>
      <c r="Q53" s="96" t="s">
        <v>122</v>
      </c>
      <c r="R53" s="96" t="s">
        <v>592</v>
      </c>
      <c r="S53" s="96" t="s">
        <v>593</v>
      </c>
    </row>
    <row r="54" spans="1:19" s="111" customFormat="1" ht="210">
      <c r="A54" s="95">
        <f t="shared" si="4"/>
        <v>47</v>
      </c>
      <c r="B54" s="95" t="s">
        <v>32</v>
      </c>
      <c r="C54" s="95">
        <v>2015</v>
      </c>
      <c r="D54" s="96" t="s">
        <v>33</v>
      </c>
      <c r="E54" s="95" t="s">
        <v>9</v>
      </c>
      <c r="F54" s="97" t="s">
        <v>123</v>
      </c>
      <c r="G54" s="96" t="s">
        <v>282</v>
      </c>
      <c r="H54" s="99"/>
      <c r="I54" s="94"/>
      <c r="J54" s="94">
        <v>1137055</v>
      </c>
      <c r="K54" s="99">
        <v>1137055</v>
      </c>
      <c r="L54" s="99">
        <f t="shared" si="2"/>
        <v>1137055</v>
      </c>
      <c r="M54" s="110"/>
      <c r="N54" s="99">
        <v>0</v>
      </c>
      <c r="O54" s="101" t="str">
        <f t="shared" si="3"/>
        <v/>
      </c>
      <c r="P54" s="96" t="s">
        <v>124</v>
      </c>
      <c r="Q54" s="96" t="s">
        <v>125</v>
      </c>
      <c r="R54" s="93" t="s">
        <v>372</v>
      </c>
      <c r="S54" s="90" t="s">
        <v>612</v>
      </c>
    </row>
    <row r="55" spans="1:19" s="111" customFormat="1" ht="210">
      <c r="A55" s="95">
        <f t="shared" si="4"/>
        <v>48</v>
      </c>
      <c r="B55" s="95" t="s">
        <v>32</v>
      </c>
      <c r="C55" s="95">
        <v>2016</v>
      </c>
      <c r="D55" s="96" t="s">
        <v>44</v>
      </c>
      <c r="E55" s="95" t="s">
        <v>9</v>
      </c>
      <c r="F55" s="97" t="s">
        <v>123</v>
      </c>
      <c r="G55" s="96" t="s">
        <v>282</v>
      </c>
      <c r="H55" s="99"/>
      <c r="I55" s="94"/>
      <c r="J55" s="94"/>
      <c r="K55" s="99">
        <v>1000000</v>
      </c>
      <c r="L55" s="99">
        <f t="shared" si="2"/>
        <v>1000000</v>
      </c>
      <c r="M55" s="110"/>
      <c r="N55" s="99">
        <v>1000000</v>
      </c>
      <c r="O55" s="101">
        <f t="shared" si="3"/>
        <v>1</v>
      </c>
      <c r="P55" s="96" t="s">
        <v>124</v>
      </c>
      <c r="Q55" s="96" t="s">
        <v>125</v>
      </c>
      <c r="R55" s="93" t="s">
        <v>373</v>
      </c>
      <c r="S55" s="90" t="s">
        <v>612</v>
      </c>
    </row>
    <row r="56" spans="1:19" s="111" customFormat="1" ht="210">
      <c r="A56" s="95">
        <f t="shared" si="4"/>
        <v>49</v>
      </c>
      <c r="B56" s="95" t="s">
        <v>32</v>
      </c>
      <c r="C56" s="95">
        <v>2016</v>
      </c>
      <c r="D56" s="96" t="s">
        <v>45</v>
      </c>
      <c r="E56" s="95" t="s">
        <v>9</v>
      </c>
      <c r="F56" s="97" t="s">
        <v>123</v>
      </c>
      <c r="G56" s="96" t="s">
        <v>282</v>
      </c>
      <c r="H56" s="99"/>
      <c r="I56" s="94"/>
      <c r="J56" s="94">
        <v>4612800</v>
      </c>
      <c r="K56" s="99">
        <v>4612800</v>
      </c>
      <c r="L56" s="99">
        <f t="shared" si="2"/>
        <v>4612800</v>
      </c>
      <c r="M56" s="110">
        <v>4612800</v>
      </c>
      <c r="N56" s="99">
        <v>4612800</v>
      </c>
      <c r="O56" s="101">
        <f t="shared" si="3"/>
        <v>1</v>
      </c>
      <c r="P56" s="90" t="s">
        <v>126</v>
      </c>
      <c r="Q56" s="96" t="s">
        <v>125</v>
      </c>
      <c r="R56" s="93" t="s">
        <v>374</v>
      </c>
      <c r="S56" s="90" t="s">
        <v>612</v>
      </c>
    </row>
    <row r="57" spans="1:19" s="111" customFormat="1" ht="90">
      <c r="A57" s="95">
        <f t="shared" si="4"/>
        <v>50</v>
      </c>
      <c r="B57" s="95" t="s">
        <v>32</v>
      </c>
      <c r="C57" s="95">
        <v>2016</v>
      </c>
      <c r="D57" s="96" t="s">
        <v>45</v>
      </c>
      <c r="E57" s="95" t="s">
        <v>30</v>
      </c>
      <c r="F57" s="97" t="s">
        <v>127</v>
      </c>
      <c r="G57" s="96" t="s">
        <v>283</v>
      </c>
      <c r="H57" s="109">
        <v>771126</v>
      </c>
      <c r="I57" s="94">
        <f>137783+110000</f>
        <v>247783</v>
      </c>
      <c r="J57" s="94"/>
      <c r="K57" s="99">
        <v>491091</v>
      </c>
      <c r="L57" s="99">
        <f t="shared" si="2"/>
        <v>1510000</v>
      </c>
      <c r="M57" s="110"/>
      <c r="N57" s="99">
        <v>1510000</v>
      </c>
      <c r="O57" s="101">
        <f t="shared" si="3"/>
        <v>1</v>
      </c>
      <c r="P57" s="96" t="s">
        <v>128</v>
      </c>
      <c r="Q57" s="96" t="s">
        <v>508</v>
      </c>
      <c r="R57" s="96">
        <v>56</v>
      </c>
      <c r="S57" s="92" t="s">
        <v>594</v>
      </c>
    </row>
    <row r="58" spans="1:19" s="111" customFormat="1" ht="165">
      <c r="A58" s="95">
        <f t="shared" si="4"/>
        <v>51</v>
      </c>
      <c r="B58" s="95" t="s">
        <v>32</v>
      </c>
      <c r="C58" s="95">
        <v>2016</v>
      </c>
      <c r="D58" s="96" t="s">
        <v>44</v>
      </c>
      <c r="E58" s="95" t="s">
        <v>30</v>
      </c>
      <c r="F58" s="97" t="s">
        <v>129</v>
      </c>
      <c r="G58" s="96" t="s">
        <v>284</v>
      </c>
      <c r="H58" s="98">
        <v>110000</v>
      </c>
      <c r="I58" s="109">
        <v>16111.5</v>
      </c>
      <c r="J58" s="94">
        <v>148888.5</v>
      </c>
      <c r="K58" s="99">
        <v>148888.5</v>
      </c>
      <c r="L58" s="99">
        <f t="shared" si="2"/>
        <v>275000</v>
      </c>
      <c r="M58" s="110">
        <v>275000</v>
      </c>
      <c r="N58" s="99">
        <v>275000</v>
      </c>
      <c r="O58" s="101">
        <f t="shared" si="3"/>
        <v>1</v>
      </c>
      <c r="P58" s="96" t="s">
        <v>509</v>
      </c>
      <c r="Q58" s="96" t="s">
        <v>258</v>
      </c>
      <c r="R58" s="96">
        <v>161</v>
      </c>
      <c r="S58" s="90" t="s">
        <v>595</v>
      </c>
    </row>
    <row r="59" spans="1:19" s="111" customFormat="1" ht="165">
      <c r="A59" s="95">
        <f t="shared" si="4"/>
        <v>52</v>
      </c>
      <c r="B59" s="95" t="s">
        <v>32</v>
      </c>
      <c r="C59" s="95">
        <v>2016</v>
      </c>
      <c r="D59" s="96" t="s">
        <v>45</v>
      </c>
      <c r="E59" s="95" t="s">
        <v>30</v>
      </c>
      <c r="F59" s="97" t="s">
        <v>129</v>
      </c>
      <c r="G59" s="96" t="s">
        <v>284</v>
      </c>
      <c r="H59" s="98"/>
      <c r="I59" s="94">
        <v>90000</v>
      </c>
      <c r="J59" s="94">
        <v>200000</v>
      </c>
      <c r="K59" s="99">
        <v>200000</v>
      </c>
      <c r="L59" s="99">
        <f t="shared" si="2"/>
        <v>290000</v>
      </c>
      <c r="M59" s="110"/>
      <c r="N59" s="99">
        <v>90000</v>
      </c>
      <c r="O59" s="101">
        <f t="shared" si="3"/>
        <v>3.2222222222222223</v>
      </c>
      <c r="P59" s="96" t="s">
        <v>509</v>
      </c>
      <c r="Q59" s="96" t="s">
        <v>258</v>
      </c>
      <c r="R59" s="96"/>
      <c r="S59" s="90" t="s">
        <v>246</v>
      </c>
    </row>
    <row r="60" spans="1:19" s="111" customFormat="1" ht="105">
      <c r="A60" s="95">
        <f t="shared" si="4"/>
        <v>53</v>
      </c>
      <c r="B60" s="95" t="s">
        <v>32</v>
      </c>
      <c r="C60" s="95">
        <v>2016</v>
      </c>
      <c r="D60" s="96" t="s">
        <v>45</v>
      </c>
      <c r="E60" s="95" t="s">
        <v>30</v>
      </c>
      <c r="F60" s="97" t="s">
        <v>130</v>
      </c>
      <c r="G60" s="96" t="s">
        <v>285</v>
      </c>
      <c r="H60" s="109">
        <v>16408</v>
      </c>
      <c r="I60" s="109"/>
      <c r="J60" s="94">
        <v>258591.96</v>
      </c>
      <c r="K60" s="99">
        <v>258591.96</v>
      </c>
      <c r="L60" s="99">
        <f t="shared" si="2"/>
        <v>274999.95999999996</v>
      </c>
      <c r="M60" s="110">
        <v>275000</v>
      </c>
      <c r="N60" s="99">
        <v>275000</v>
      </c>
      <c r="O60" s="101">
        <f t="shared" si="3"/>
        <v>0.99999985454545437</v>
      </c>
      <c r="P60" s="96" t="s">
        <v>131</v>
      </c>
      <c r="Q60" s="96" t="s">
        <v>132</v>
      </c>
      <c r="R60" s="96"/>
      <c r="S60" s="96" t="s">
        <v>532</v>
      </c>
    </row>
    <row r="61" spans="1:19" s="111" customFormat="1" ht="210">
      <c r="A61" s="95">
        <f t="shared" si="4"/>
        <v>54</v>
      </c>
      <c r="B61" s="95" t="s">
        <v>32</v>
      </c>
      <c r="C61" s="95">
        <v>2016</v>
      </c>
      <c r="D61" s="96" t="s">
        <v>45</v>
      </c>
      <c r="E61" s="95" t="s">
        <v>30</v>
      </c>
      <c r="F61" s="97" t="s">
        <v>133</v>
      </c>
      <c r="G61" s="96" t="s">
        <v>533</v>
      </c>
      <c r="H61" s="99">
        <v>22571</v>
      </c>
      <c r="I61" s="94"/>
      <c r="J61" s="94"/>
      <c r="K61" s="99">
        <v>105636.48</v>
      </c>
      <c r="L61" s="99">
        <f t="shared" si="2"/>
        <v>128207.48</v>
      </c>
      <c r="M61" s="110"/>
      <c r="N61" s="99">
        <v>126500</v>
      </c>
      <c r="O61" s="101">
        <f t="shared" si="3"/>
        <v>1.0134978656126481</v>
      </c>
      <c r="P61" s="90" t="s">
        <v>134</v>
      </c>
      <c r="Q61" s="90" t="s">
        <v>510</v>
      </c>
      <c r="R61" s="96" t="s">
        <v>596</v>
      </c>
      <c r="S61" s="158" t="s">
        <v>613</v>
      </c>
    </row>
    <row r="62" spans="1:19" s="111" customFormat="1" ht="180">
      <c r="A62" s="95">
        <f t="shared" si="4"/>
        <v>55</v>
      </c>
      <c r="B62" s="88" t="s">
        <v>32</v>
      </c>
      <c r="C62" s="88">
        <v>2016</v>
      </c>
      <c r="D62" s="92" t="s">
        <v>45</v>
      </c>
      <c r="E62" s="88" t="s">
        <v>30</v>
      </c>
      <c r="F62" s="108" t="s">
        <v>534</v>
      </c>
      <c r="G62" s="92" t="s">
        <v>535</v>
      </c>
      <c r="H62" s="94"/>
      <c r="I62" s="94"/>
      <c r="J62" s="94"/>
      <c r="K62" s="99">
        <v>18500</v>
      </c>
      <c r="L62" s="99">
        <f t="shared" si="2"/>
        <v>18500</v>
      </c>
      <c r="M62" s="112"/>
      <c r="N62" s="99">
        <v>18500</v>
      </c>
      <c r="O62" s="101">
        <f t="shared" si="3"/>
        <v>1</v>
      </c>
      <c r="P62" s="113" t="s">
        <v>536</v>
      </c>
      <c r="Q62" s="113" t="s">
        <v>537</v>
      </c>
      <c r="R62" s="92">
        <v>44</v>
      </c>
      <c r="S62" s="115" t="s">
        <v>597</v>
      </c>
    </row>
    <row r="63" spans="1:19" s="111" customFormat="1" ht="240">
      <c r="A63" s="95">
        <f t="shared" si="4"/>
        <v>56</v>
      </c>
      <c r="B63" s="95" t="s">
        <v>32</v>
      </c>
      <c r="C63" s="95">
        <v>2016</v>
      </c>
      <c r="D63" s="96" t="s">
        <v>44</v>
      </c>
      <c r="E63" s="95" t="s">
        <v>30</v>
      </c>
      <c r="F63" s="97" t="s">
        <v>423</v>
      </c>
      <c r="G63" s="96" t="s">
        <v>357</v>
      </c>
      <c r="H63" s="99"/>
      <c r="I63" s="94"/>
      <c r="J63" s="94">
        <v>249128.7</v>
      </c>
      <c r="K63" s="99">
        <v>249128.7</v>
      </c>
      <c r="L63" s="99">
        <f t="shared" si="2"/>
        <v>249128.7</v>
      </c>
      <c r="M63" s="110">
        <v>150000</v>
      </c>
      <c r="N63" s="99">
        <v>150000</v>
      </c>
      <c r="O63" s="101">
        <f t="shared" si="3"/>
        <v>1.6608580000000002</v>
      </c>
      <c r="P63" s="90" t="s">
        <v>375</v>
      </c>
      <c r="Q63" s="90" t="s">
        <v>376</v>
      </c>
      <c r="R63" s="96">
        <v>32</v>
      </c>
      <c r="S63" s="90" t="s">
        <v>614</v>
      </c>
    </row>
    <row r="64" spans="1:19" s="111" customFormat="1" ht="135">
      <c r="A64" s="95">
        <f t="shared" si="4"/>
        <v>57</v>
      </c>
      <c r="B64" s="95" t="s">
        <v>32</v>
      </c>
      <c r="C64" s="95">
        <v>2016</v>
      </c>
      <c r="D64" s="96" t="s">
        <v>44</v>
      </c>
      <c r="E64" s="95" t="s">
        <v>30</v>
      </c>
      <c r="F64" s="97" t="s">
        <v>135</v>
      </c>
      <c r="G64" s="96" t="s">
        <v>273</v>
      </c>
      <c r="H64" s="99">
        <v>28485</v>
      </c>
      <c r="I64" s="94"/>
      <c r="J64" s="94">
        <v>219430</v>
      </c>
      <c r="K64" s="99">
        <v>219430</v>
      </c>
      <c r="L64" s="99">
        <f t="shared" si="2"/>
        <v>247915</v>
      </c>
      <c r="M64" s="110">
        <v>247915</v>
      </c>
      <c r="N64" s="99">
        <v>247915</v>
      </c>
      <c r="O64" s="101">
        <f t="shared" si="3"/>
        <v>1</v>
      </c>
      <c r="P64" s="96" t="s">
        <v>333</v>
      </c>
      <c r="Q64" s="96" t="s">
        <v>334</v>
      </c>
      <c r="R64" s="89" t="s">
        <v>511</v>
      </c>
      <c r="S64" s="89" t="s">
        <v>598</v>
      </c>
    </row>
    <row r="65" spans="1:19" s="111" customFormat="1" ht="315">
      <c r="A65" s="95">
        <f t="shared" si="4"/>
        <v>58</v>
      </c>
      <c r="B65" s="95" t="s">
        <v>32</v>
      </c>
      <c r="C65" s="95">
        <v>2016</v>
      </c>
      <c r="D65" s="96" t="s">
        <v>44</v>
      </c>
      <c r="E65" s="95" t="s">
        <v>30</v>
      </c>
      <c r="F65" s="97" t="s">
        <v>135</v>
      </c>
      <c r="G65" s="96" t="s">
        <v>275</v>
      </c>
      <c r="H65" s="94">
        <v>42660</v>
      </c>
      <c r="I65" s="94"/>
      <c r="J65" s="94">
        <v>134425.01999999999</v>
      </c>
      <c r="K65" s="99">
        <v>134425.01999999999</v>
      </c>
      <c r="L65" s="99">
        <f t="shared" si="2"/>
        <v>177085.02</v>
      </c>
      <c r="M65" s="110">
        <v>177085</v>
      </c>
      <c r="N65" s="99">
        <v>177085</v>
      </c>
      <c r="O65" s="101">
        <f t="shared" si="3"/>
        <v>1.0000001129401135</v>
      </c>
      <c r="P65" s="96" t="s">
        <v>333</v>
      </c>
      <c r="Q65" s="96" t="s">
        <v>334</v>
      </c>
      <c r="R65" s="89" t="s">
        <v>599</v>
      </c>
      <c r="S65" s="89" t="s">
        <v>388</v>
      </c>
    </row>
    <row r="66" spans="1:19" s="111" customFormat="1" ht="90">
      <c r="A66" s="95">
        <f t="shared" si="4"/>
        <v>59</v>
      </c>
      <c r="B66" s="95" t="s">
        <v>32</v>
      </c>
      <c r="C66" s="95">
        <v>2016</v>
      </c>
      <c r="D66" s="96" t="s">
        <v>45</v>
      </c>
      <c r="E66" s="95" t="s">
        <v>30</v>
      </c>
      <c r="F66" s="97" t="s">
        <v>135</v>
      </c>
      <c r="G66" s="96" t="s">
        <v>275</v>
      </c>
      <c r="H66" s="109">
        <v>70000</v>
      </c>
      <c r="I66" s="94"/>
      <c r="J66" s="94"/>
      <c r="K66" s="99">
        <v>0</v>
      </c>
      <c r="L66" s="99">
        <f t="shared" si="2"/>
        <v>70000</v>
      </c>
      <c r="M66" s="110"/>
      <c r="N66" s="99">
        <v>70000</v>
      </c>
      <c r="O66" s="101">
        <f t="shared" si="3"/>
        <v>1</v>
      </c>
      <c r="P66" s="96" t="s">
        <v>333</v>
      </c>
      <c r="Q66" s="96" t="s">
        <v>334</v>
      </c>
      <c r="R66" s="89"/>
      <c r="S66" s="89" t="s">
        <v>388</v>
      </c>
    </row>
    <row r="67" spans="1:19" s="111" customFormat="1" ht="225">
      <c r="A67" s="95">
        <f t="shared" si="4"/>
        <v>60</v>
      </c>
      <c r="B67" s="95" t="s">
        <v>32</v>
      </c>
      <c r="C67" s="95">
        <v>2016</v>
      </c>
      <c r="D67" s="96" t="s">
        <v>45</v>
      </c>
      <c r="E67" s="95" t="s">
        <v>30</v>
      </c>
      <c r="F67" s="97" t="s">
        <v>137</v>
      </c>
      <c r="G67" s="96" t="s">
        <v>286</v>
      </c>
      <c r="H67" s="94"/>
      <c r="I67" s="94"/>
      <c r="J67" s="159">
        <v>500000</v>
      </c>
      <c r="K67" s="99">
        <v>500000</v>
      </c>
      <c r="L67" s="99">
        <f t="shared" si="2"/>
        <v>500000</v>
      </c>
      <c r="M67" s="110">
        <v>500000</v>
      </c>
      <c r="N67" s="99">
        <v>500000</v>
      </c>
      <c r="O67" s="101">
        <f t="shared" si="3"/>
        <v>1</v>
      </c>
      <c r="P67" s="96" t="s">
        <v>335</v>
      </c>
      <c r="Q67" s="96" t="s">
        <v>138</v>
      </c>
      <c r="R67" s="89" t="s">
        <v>600</v>
      </c>
      <c r="S67" s="89" t="s">
        <v>601</v>
      </c>
    </row>
    <row r="68" spans="1:19" s="111" customFormat="1" ht="45">
      <c r="A68" s="95">
        <f t="shared" si="4"/>
        <v>61</v>
      </c>
      <c r="B68" s="95" t="s">
        <v>32</v>
      </c>
      <c r="C68" s="95">
        <v>2016</v>
      </c>
      <c r="D68" s="96" t="s">
        <v>21</v>
      </c>
      <c r="E68" s="95" t="s">
        <v>9</v>
      </c>
      <c r="F68" s="97" t="s">
        <v>51</v>
      </c>
      <c r="G68" s="96" t="s">
        <v>272</v>
      </c>
      <c r="H68" s="99"/>
      <c r="I68" s="94"/>
      <c r="J68" s="94">
        <f>18284.93+2355</f>
        <v>20639.93</v>
      </c>
      <c r="K68" s="99">
        <v>25772.079999999998</v>
      </c>
      <c r="L68" s="99">
        <f t="shared" si="2"/>
        <v>25772.079999999998</v>
      </c>
      <c r="M68" s="110"/>
      <c r="N68" s="99">
        <v>0</v>
      </c>
      <c r="O68" s="101" t="str">
        <f t="shared" si="3"/>
        <v/>
      </c>
      <c r="P68" s="96" t="s">
        <v>52</v>
      </c>
      <c r="Q68" s="96" t="s">
        <v>53</v>
      </c>
      <c r="R68" s="96"/>
      <c r="S68" s="96" t="s">
        <v>63</v>
      </c>
    </row>
    <row r="69" spans="1:19" s="111" customFormat="1" ht="60">
      <c r="A69" s="95">
        <f t="shared" si="4"/>
        <v>62</v>
      </c>
      <c r="B69" s="95" t="s">
        <v>32</v>
      </c>
      <c r="C69" s="95">
        <v>2016</v>
      </c>
      <c r="D69" s="96" t="s">
        <v>21</v>
      </c>
      <c r="E69" s="95" t="s">
        <v>27</v>
      </c>
      <c r="F69" s="97" t="s">
        <v>336</v>
      </c>
      <c r="G69" s="96" t="s">
        <v>337</v>
      </c>
      <c r="H69" s="99"/>
      <c r="I69" s="94"/>
      <c r="J69" s="94">
        <v>3591</v>
      </c>
      <c r="K69" s="99">
        <v>8550</v>
      </c>
      <c r="L69" s="99">
        <f t="shared" si="2"/>
        <v>8550</v>
      </c>
      <c r="M69" s="110"/>
      <c r="N69" s="99">
        <v>0</v>
      </c>
      <c r="O69" s="101" t="str">
        <f t="shared" si="3"/>
        <v/>
      </c>
      <c r="P69" s="96" t="s">
        <v>52</v>
      </c>
      <c r="Q69" s="96" t="s">
        <v>53</v>
      </c>
      <c r="R69" s="96"/>
      <c r="S69" s="96" t="s">
        <v>63</v>
      </c>
    </row>
    <row r="70" spans="1:19" s="111" customFormat="1" ht="75">
      <c r="A70" s="95">
        <f t="shared" si="4"/>
        <v>63</v>
      </c>
      <c r="B70" s="95" t="s">
        <v>32</v>
      </c>
      <c r="C70" s="95">
        <v>2016</v>
      </c>
      <c r="D70" s="96" t="s">
        <v>21</v>
      </c>
      <c r="E70" s="95" t="s">
        <v>10</v>
      </c>
      <c r="F70" s="97" t="s">
        <v>287</v>
      </c>
      <c r="G70" s="96" t="s">
        <v>288</v>
      </c>
      <c r="H70" s="99"/>
      <c r="I70" s="94"/>
      <c r="J70" s="94">
        <v>55000</v>
      </c>
      <c r="K70" s="99">
        <v>55000</v>
      </c>
      <c r="L70" s="99">
        <f t="shared" si="2"/>
        <v>55000</v>
      </c>
      <c r="M70" s="110"/>
      <c r="N70" s="99">
        <v>0</v>
      </c>
      <c r="O70" s="101" t="str">
        <f t="shared" si="3"/>
        <v/>
      </c>
      <c r="P70" s="96" t="s">
        <v>338</v>
      </c>
      <c r="Q70" s="96" t="s">
        <v>136</v>
      </c>
      <c r="R70" s="96" t="s">
        <v>602</v>
      </c>
      <c r="S70" s="96" t="s">
        <v>339</v>
      </c>
    </row>
    <row r="71" spans="1:19" s="111" customFormat="1" ht="60">
      <c r="A71" s="95">
        <f t="shared" si="4"/>
        <v>64</v>
      </c>
      <c r="B71" s="95" t="s">
        <v>32</v>
      </c>
      <c r="C71" s="95">
        <v>2016</v>
      </c>
      <c r="D71" s="96" t="s">
        <v>21</v>
      </c>
      <c r="E71" s="95" t="s">
        <v>9</v>
      </c>
      <c r="F71" s="97" t="s">
        <v>289</v>
      </c>
      <c r="G71" s="96"/>
      <c r="H71" s="99"/>
      <c r="I71" s="94">
        <v>0</v>
      </c>
      <c r="J71" s="94"/>
      <c r="K71" s="99">
        <v>0</v>
      </c>
      <c r="L71" s="99">
        <f t="shared" si="2"/>
        <v>0</v>
      </c>
      <c r="M71" s="110"/>
      <c r="N71" s="99">
        <v>0</v>
      </c>
      <c r="O71" s="101" t="str">
        <f t="shared" si="3"/>
        <v/>
      </c>
      <c r="P71" s="96" t="s">
        <v>340</v>
      </c>
      <c r="Q71" s="96" t="s">
        <v>341</v>
      </c>
      <c r="R71" s="96"/>
      <c r="S71" s="96" t="s">
        <v>342</v>
      </c>
    </row>
    <row r="72" spans="1:19" s="111" customFormat="1" ht="45">
      <c r="A72" s="95">
        <f t="shared" si="4"/>
        <v>65</v>
      </c>
      <c r="B72" s="88" t="s">
        <v>32</v>
      </c>
      <c r="C72" s="88">
        <v>2016</v>
      </c>
      <c r="D72" s="92" t="s">
        <v>21</v>
      </c>
      <c r="E72" s="88" t="s">
        <v>27</v>
      </c>
      <c r="F72" s="108" t="s">
        <v>558</v>
      </c>
      <c r="G72" s="92" t="s">
        <v>538</v>
      </c>
      <c r="H72" s="94"/>
      <c r="I72" s="94"/>
      <c r="J72" s="110">
        <f>(85181.56/2)</f>
        <v>42590.78</v>
      </c>
      <c r="K72" s="99">
        <v>189981.65</v>
      </c>
      <c r="L72" s="99">
        <f t="shared" ref="L72:L103" si="5">+K72+I72+H72</f>
        <v>189981.65</v>
      </c>
      <c r="M72" s="110"/>
      <c r="N72" s="99">
        <v>0</v>
      </c>
      <c r="O72" s="101" t="str">
        <f t="shared" ref="O72:O103" si="6">IF(N72=0,"",(K72+H72+I72)/N72)</f>
        <v/>
      </c>
      <c r="P72" s="92"/>
      <c r="Q72" s="92"/>
      <c r="R72" s="92"/>
      <c r="S72" s="92"/>
    </row>
    <row r="73" spans="1:19" s="111" customFormat="1" ht="105">
      <c r="A73" s="95">
        <f t="shared" si="4"/>
        <v>66</v>
      </c>
      <c r="B73" s="88" t="s">
        <v>32</v>
      </c>
      <c r="C73" s="88">
        <v>2016</v>
      </c>
      <c r="D73" s="92" t="s">
        <v>21</v>
      </c>
      <c r="E73" s="88" t="s">
        <v>30</v>
      </c>
      <c r="F73" s="108" t="s">
        <v>559</v>
      </c>
      <c r="G73" s="92" t="s">
        <v>539</v>
      </c>
      <c r="H73" s="94"/>
      <c r="I73" s="94"/>
      <c r="J73" s="94"/>
      <c r="K73" s="99">
        <v>23190.79</v>
      </c>
      <c r="L73" s="99">
        <f t="shared" si="5"/>
        <v>23190.79</v>
      </c>
      <c r="M73" s="110"/>
      <c r="N73" s="99">
        <v>0</v>
      </c>
      <c r="O73" s="101" t="str">
        <f t="shared" si="6"/>
        <v/>
      </c>
      <c r="P73" s="92"/>
      <c r="Q73" s="92"/>
      <c r="R73" s="92"/>
      <c r="S73" s="92"/>
    </row>
    <row r="74" spans="1:19" s="111" customFormat="1" ht="45">
      <c r="A74" s="95">
        <f t="shared" si="4"/>
        <v>67</v>
      </c>
      <c r="B74" s="88" t="s">
        <v>32</v>
      </c>
      <c r="C74" s="88">
        <v>2016</v>
      </c>
      <c r="D74" s="92" t="s">
        <v>21</v>
      </c>
      <c r="E74" s="88" t="s">
        <v>27</v>
      </c>
      <c r="F74" s="108" t="s">
        <v>540</v>
      </c>
      <c r="G74" s="92"/>
      <c r="H74" s="94"/>
      <c r="I74" s="94"/>
      <c r="J74" s="94"/>
      <c r="K74" s="99">
        <v>500000</v>
      </c>
      <c r="L74" s="99">
        <f t="shared" si="5"/>
        <v>500000</v>
      </c>
      <c r="M74" s="110"/>
      <c r="N74" s="99">
        <v>0</v>
      </c>
      <c r="O74" s="101" t="str">
        <f t="shared" si="6"/>
        <v/>
      </c>
      <c r="P74" s="92"/>
      <c r="Q74" s="92"/>
      <c r="R74" s="92"/>
      <c r="S74" s="92"/>
    </row>
    <row r="75" spans="1:19" s="111" customFormat="1" ht="150">
      <c r="A75" s="95">
        <f t="shared" si="4"/>
        <v>68</v>
      </c>
      <c r="B75" s="95" t="s">
        <v>32</v>
      </c>
      <c r="C75" s="95">
        <v>2016</v>
      </c>
      <c r="D75" s="96" t="s">
        <v>45</v>
      </c>
      <c r="E75" s="95" t="s">
        <v>10</v>
      </c>
      <c r="F75" s="97" t="s">
        <v>377</v>
      </c>
      <c r="G75" s="96" t="s">
        <v>378</v>
      </c>
      <c r="H75" s="94"/>
      <c r="I75" s="94">
        <v>330956</v>
      </c>
      <c r="J75" s="94">
        <v>49044</v>
      </c>
      <c r="K75" s="99">
        <v>49044</v>
      </c>
      <c r="L75" s="99">
        <f t="shared" si="5"/>
        <v>380000</v>
      </c>
      <c r="M75" s="110">
        <v>380000</v>
      </c>
      <c r="N75" s="99">
        <v>380000</v>
      </c>
      <c r="O75" s="101">
        <f t="shared" si="6"/>
        <v>1</v>
      </c>
      <c r="P75" s="96" t="s">
        <v>379</v>
      </c>
      <c r="Q75" s="96" t="s">
        <v>380</v>
      </c>
      <c r="R75" s="96" t="s">
        <v>603</v>
      </c>
      <c r="S75" s="96" t="s">
        <v>424</v>
      </c>
    </row>
    <row r="76" spans="1:19" s="111" customFormat="1" ht="120">
      <c r="A76" s="95">
        <f t="shared" si="4"/>
        <v>69</v>
      </c>
      <c r="B76" s="95" t="s">
        <v>32</v>
      </c>
      <c r="C76" s="95">
        <v>2016</v>
      </c>
      <c r="D76" s="96" t="s">
        <v>396</v>
      </c>
      <c r="E76" s="96" t="s">
        <v>10</v>
      </c>
      <c r="F76" s="103" t="s">
        <v>425</v>
      </c>
      <c r="G76" s="96" t="s">
        <v>274</v>
      </c>
      <c r="H76" s="99">
        <v>440000</v>
      </c>
      <c r="I76" s="94"/>
      <c r="J76" s="94"/>
      <c r="K76" s="99">
        <v>0</v>
      </c>
      <c r="L76" s="99">
        <f t="shared" si="5"/>
        <v>440000</v>
      </c>
      <c r="M76" s="110">
        <v>440000</v>
      </c>
      <c r="N76" s="99">
        <v>440000</v>
      </c>
      <c r="O76" s="101">
        <f t="shared" si="6"/>
        <v>1</v>
      </c>
      <c r="P76" s="96" t="s">
        <v>105</v>
      </c>
      <c r="Q76" s="96" t="s">
        <v>505</v>
      </c>
      <c r="R76" s="96"/>
      <c r="S76" s="96"/>
    </row>
    <row r="77" spans="1:19" s="111" customFormat="1" ht="240">
      <c r="A77" s="95">
        <f t="shared" si="4"/>
        <v>70</v>
      </c>
      <c r="B77" s="95" t="s">
        <v>32</v>
      </c>
      <c r="C77" s="95">
        <v>2016</v>
      </c>
      <c r="D77" s="96" t="s">
        <v>396</v>
      </c>
      <c r="E77" s="96" t="s">
        <v>10</v>
      </c>
      <c r="F77" s="93" t="s">
        <v>426</v>
      </c>
      <c r="G77" s="96" t="s">
        <v>512</v>
      </c>
      <c r="H77" s="99">
        <v>1300000</v>
      </c>
      <c r="I77" s="94"/>
      <c r="J77" s="94"/>
      <c r="K77" s="99">
        <v>0</v>
      </c>
      <c r="L77" s="99">
        <f t="shared" si="5"/>
        <v>1300000</v>
      </c>
      <c r="M77" s="110">
        <v>1300000</v>
      </c>
      <c r="N77" s="99">
        <v>1300000</v>
      </c>
      <c r="O77" s="101">
        <f t="shared" si="6"/>
        <v>1</v>
      </c>
      <c r="P77" s="96" t="s">
        <v>541</v>
      </c>
      <c r="Q77" s="96" t="s">
        <v>542</v>
      </c>
      <c r="R77" s="96"/>
      <c r="S77" s="96" t="s">
        <v>604</v>
      </c>
    </row>
    <row r="78" spans="1:19" s="111" customFormat="1" ht="60">
      <c r="A78" s="95">
        <f t="shared" si="4"/>
        <v>71</v>
      </c>
      <c r="B78" s="95" t="s">
        <v>32</v>
      </c>
      <c r="C78" s="95">
        <v>2016</v>
      </c>
      <c r="D78" s="96" t="s">
        <v>396</v>
      </c>
      <c r="E78" s="96" t="s">
        <v>30</v>
      </c>
      <c r="F78" s="93" t="s">
        <v>427</v>
      </c>
      <c r="G78" s="96" t="s">
        <v>285</v>
      </c>
      <c r="H78" s="99"/>
      <c r="I78" s="94">
        <v>2900000</v>
      </c>
      <c r="J78" s="94">
        <v>50000</v>
      </c>
      <c r="K78" s="99">
        <v>50000</v>
      </c>
      <c r="L78" s="99">
        <f t="shared" si="5"/>
        <v>2950000</v>
      </c>
      <c r="M78" s="110">
        <v>2950000</v>
      </c>
      <c r="N78" s="99">
        <v>2950000</v>
      </c>
      <c r="O78" s="101">
        <f t="shared" si="6"/>
        <v>1</v>
      </c>
      <c r="P78" s="96"/>
      <c r="Q78" s="96"/>
      <c r="R78" s="96"/>
      <c r="S78" s="96" t="s">
        <v>513</v>
      </c>
    </row>
    <row r="79" spans="1:19" s="111" customFormat="1" ht="90">
      <c r="A79" s="95">
        <f t="shared" si="4"/>
        <v>72</v>
      </c>
      <c r="B79" s="95" t="s">
        <v>32</v>
      </c>
      <c r="C79" s="95">
        <v>2016</v>
      </c>
      <c r="D79" s="96" t="s">
        <v>396</v>
      </c>
      <c r="E79" s="96" t="s">
        <v>30</v>
      </c>
      <c r="F79" s="93" t="s">
        <v>428</v>
      </c>
      <c r="G79" s="96" t="s">
        <v>357</v>
      </c>
      <c r="H79" s="99">
        <v>1088005</v>
      </c>
      <c r="I79" s="94"/>
      <c r="J79" s="94">
        <f>SUM(132517.18)</f>
        <v>132517.18</v>
      </c>
      <c r="K79" s="99">
        <v>132517.18</v>
      </c>
      <c r="L79" s="99">
        <f t="shared" si="5"/>
        <v>1220522.18</v>
      </c>
      <c r="M79" s="110">
        <f>1250000</f>
        <v>1250000</v>
      </c>
      <c r="N79" s="99">
        <v>1250000</v>
      </c>
      <c r="O79" s="101">
        <f t="shared" si="6"/>
        <v>0.97641774399999992</v>
      </c>
      <c r="P79" s="96" t="s">
        <v>128</v>
      </c>
      <c r="Q79" s="96" t="s">
        <v>508</v>
      </c>
      <c r="R79" s="96"/>
      <c r="S79" s="96"/>
    </row>
    <row r="80" spans="1:19" s="111" customFormat="1" ht="30">
      <c r="A80" s="95">
        <f t="shared" si="4"/>
        <v>73</v>
      </c>
      <c r="B80" s="95" t="s">
        <v>32</v>
      </c>
      <c r="C80" s="95">
        <v>2016</v>
      </c>
      <c r="D80" s="96" t="s">
        <v>396</v>
      </c>
      <c r="E80" s="96" t="s">
        <v>27</v>
      </c>
      <c r="F80" s="103" t="s">
        <v>429</v>
      </c>
      <c r="G80" s="96"/>
      <c r="H80" s="99">
        <v>1490000</v>
      </c>
      <c r="I80" s="94"/>
      <c r="J80" s="94"/>
      <c r="K80" s="99">
        <v>0</v>
      </c>
      <c r="L80" s="99">
        <f t="shared" si="5"/>
        <v>1490000</v>
      </c>
      <c r="M80" s="110">
        <v>1490000</v>
      </c>
      <c r="N80" s="99">
        <v>1490000</v>
      </c>
      <c r="O80" s="101">
        <f t="shared" si="6"/>
        <v>1</v>
      </c>
      <c r="P80" s="96"/>
      <c r="Q80" s="96"/>
      <c r="R80" s="96"/>
      <c r="S80" s="96"/>
    </row>
    <row r="81" spans="1:19" s="111" customFormat="1" ht="225">
      <c r="A81" s="95">
        <f t="shared" si="4"/>
        <v>74</v>
      </c>
      <c r="B81" s="95" t="s">
        <v>32</v>
      </c>
      <c r="C81" s="95">
        <v>2016</v>
      </c>
      <c r="D81" s="96" t="s">
        <v>396</v>
      </c>
      <c r="E81" s="96" t="s">
        <v>27</v>
      </c>
      <c r="F81" s="103" t="s">
        <v>543</v>
      </c>
      <c r="G81" s="96" t="s">
        <v>514</v>
      </c>
      <c r="H81" s="99">
        <v>260000</v>
      </c>
      <c r="I81" s="94"/>
      <c r="J81" s="94"/>
      <c r="K81" s="99">
        <v>0</v>
      </c>
      <c r="L81" s="99">
        <f t="shared" si="5"/>
        <v>260000</v>
      </c>
      <c r="M81" s="110">
        <v>260000</v>
      </c>
      <c r="N81" s="99">
        <v>260000</v>
      </c>
      <c r="O81" s="101">
        <f t="shared" si="6"/>
        <v>1</v>
      </c>
      <c r="P81" s="96" t="s">
        <v>544</v>
      </c>
      <c r="Q81" s="96" t="s">
        <v>545</v>
      </c>
      <c r="R81" s="96"/>
      <c r="S81" s="96" t="s">
        <v>605</v>
      </c>
    </row>
    <row r="82" spans="1:19" s="111" customFormat="1" ht="120">
      <c r="A82" s="95">
        <f t="shared" si="4"/>
        <v>75</v>
      </c>
      <c r="B82" s="95" t="s">
        <v>32</v>
      </c>
      <c r="C82" s="95">
        <v>2016</v>
      </c>
      <c r="D82" s="96" t="s">
        <v>396</v>
      </c>
      <c r="E82" s="96" t="s">
        <v>27</v>
      </c>
      <c r="F82" s="93" t="s">
        <v>430</v>
      </c>
      <c r="G82" s="96"/>
      <c r="H82" s="94">
        <v>6100000</v>
      </c>
      <c r="I82" s="94"/>
      <c r="J82" s="94"/>
      <c r="K82" s="99">
        <v>0</v>
      </c>
      <c r="L82" s="99">
        <f t="shared" si="5"/>
        <v>6100000</v>
      </c>
      <c r="M82" s="110">
        <v>0</v>
      </c>
      <c r="N82" s="99">
        <v>6100000</v>
      </c>
      <c r="O82" s="101">
        <f t="shared" si="6"/>
        <v>1</v>
      </c>
      <c r="P82" s="96"/>
      <c r="Q82" s="96"/>
      <c r="R82" s="96"/>
      <c r="S82" s="96" t="s">
        <v>606</v>
      </c>
    </row>
    <row r="83" spans="1:19" s="111" customFormat="1" ht="105">
      <c r="A83" s="95">
        <f t="shared" si="4"/>
        <v>76</v>
      </c>
      <c r="B83" s="95" t="s">
        <v>32</v>
      </c>
      <c r="C83" s="95">
        <v>2016</v>
      </c>
      <c r="D83" s="96" t="s">
        <v>396</v>
      </c>
      <c r="E83" s="96" t="s">
        <v>27</v>
      </c>
      <c r="F83" s="93" t="s">
        <v>431</v>
      </c>
      <c r="G83" s="96" t="s">
        <v>276</v>
      </c>
      <c r="H83" s="99">
        <v>500000</v>
      </c>
      <c r="I83" s="94"/>
      <c r="J83" s="94"/>
      <c r="K83" s="99">
        <v>0</v>
      </c>
      <c r="L83" s="99">
        <f t="shared" si="5"/>
        <v>500000</v>
      </c>
      <c r="M83" s="110">
        <v>500000</v>
      </c>
      <c r="N83" s="99">
        <v>500000</v>
      </c>
      <c r="O83" s="101">
        <f t="shared" si="6"/>
        <v>1</v>
      </c>
      <c r="P83" s="96" t="s">
        <v>112</v>
      </c>
      <c r="Q83" s="96" t="s">
        <v>277</v>
      </c>
      <c r="R83" s="96"/>
      <c r="S83" s="96" t="s">
        <v>546</v>
      </c>
    </row>
    <row r="84" spans="1:19" s="111" customFormat="1" ht="45">
      <c r="A84" s="95">
        <f t="shared" si="4"/>
        <v>77</v>
      </c>
      <c r="B84" s="95" t="s">
        <v>32</v>
      </c>
      <c r="C84" s="95">
        <v>2016</v>
      </c>
      <c r="D84" s="96" t="s">
        <v>396</v>
      </c>
      <c r="E84" s="96" t="s">
        <v>27</v>
      </c>
      <c r="F84" s="93" t="s">
        <v>432</v>
      </c>
      <c r="G84" s="96"/>
      <c r="H84" s="99">
        <v>499872</v>
      </c>
      <c r="I84" s="94"/>
      <c r="J84" s="94">
        <v>128.36000000000001</v>
      </c>
      <c r="K84" s="99">
        <v>128.36000000000001</v>
      </c>
      <c r="L84" s="99">
        <f t="shared" si="5"/>
        <v>500000.36</v>
      </c>
      <c r="M84" s="110">
        <v>500000</v>
      </c>
      <c r="N84" s="99">
        <v>500000</v>
      </c>
      <c r="O84" s="101">
        <f t="shared" si="6"/>
        <v>1.0000007200000001</v>
      </c>
      <c r="P84" s="96"/>
      <c r="Q84" s="96"/>
      <c r="R84" s="96"/>
      <c r="S84" s="96"/>
    </row>
    <row r="85" spans="1:19" s="111" customFormat="1" ht="30">
      <c r="A85" s="95">
        <f t="shared" si="4"/>
        <v>78</v>
      </c>
      <c r="B85" s="95" t="s">
        <v>32</v>
      </c>
      <c r="C85" s="95">
        <v>2017</v>
      </c>
      <c r="D85" s="96" t="s">
        <v>396</v>
      </c>
      <c r="E85" s="96" t="s">
        <v>10</v>
      </c>
      <c r="F85" s="103" t="s">
        <v>402</v>
      </c>
      <c r="G85" s="96"/>
      <c r="H85" s="99"/>
      <c r="I85" s="94"/>
      <c r="J85" s="94"/>
      <c r="K85" s="99">
        <v>0</v>
      </c>
      <c r="L85" s="99">
        <f t="shared" si="5"/>
        <v>0</v>
      </c>
      <c r="M85" s="110">
        <v>0</v>
      </c>
      <c r="N85" s="99">
        <v>3500000</v>
      </c>
      <c r="O85" s="101">
        <f t="shared" si="6"/>
        <v>0</v>
      </c>
      <c r="P85" s="96"/>
      <c r="Q85" s="96"/>
      <c r="R85" s="96"/>
      <c r="S85" s="96"/>
    </row>
    <row r="86" spans="1:19" s="111" customFormat="1" ht="120">
      <c r="A86" s="95">
        <f t="shared" si="4"/>
        <v>79</v>
      </c>
      <c r="B86" s="95" t="s">
        <v>32</v>
      </c>
      <c r="C86" s="95">
        <v>2017</v>
      </c>
      <c r="D86" s="96" t="s">
        <v>396</v>
      </c>
      <c r="E86" s="96" t="s">
        <v>10</v>
      </c>
      <c r="F86" s="103" t="s">
        <v>433</v>
      </c>
      <c r="G86" s="96" t="s">
        <v>274</v>
      </c>
      <c r="H86" s="99"/>
      <c r="I86" s="94"/>
      <c r="J86" s="94"/>
      <c r="K86" s="99">
        <v>0</v>
      </c>
      <c r="L86" s="99">
        <f t="shared" si="5"/>
        <v>0</v>
      </c>
      <c r="M86" s="110">
        <v>1006000</v>
      </c>
      <c r="N86" s="99">
        <v>1006000</v>
      </c>
      <c r="O86" s="101">
        <f t="shared" si="6"/>
        <v>0</v>
      </c>
      <c r="P86" s="96" t="s">
        <v>105</v>
      </c>
      <c r="Q86" s="96" t="s">
        <v>505</v>
      </c>
      <c r="R86" s="96"/>
      <c r="S86" s="96"/>
    </row>
    <row r="87" spans="1:19" s="111" customFormat="1" ht="330">
      <c r="A87" s="95">
        <f t="shared" si="4"/>
        <v>80</v>
      </c>
      <c r="B87" s="95" t="s">
        <v>32</v>
      </c>
      <c r="C87" s="95">
        <v>2017</v>
      </c>
      <c r="D87" s="96" t="s">
        <v>396</v>
      </c>
      <c r="E87" s="96" t="s">
        <v>10</v>
      </c>
      <c r="F87" s="104" t="s">
        <v>515</v>
      </c>
      <c r="G87" s="96" t="s">
        <v>529</v>
      </c>
      <c r="H87" s="99"/>
      <c r="I87" s="94"/>
      <c r="J87" s="94"/>
      <c r="K87" s="99">
        <v>0</v>
      </c>
      <c r="L87" s="99">
        <f t="shared" si="5"/>
        <v>0</v>
      </c>
      <c r="M87" s="110">
        <f>273800-44400</f>
        <v>229400</v>
      </c>
      <c r="N87" s="99">
        <v>257100</v>
      </c>
      <c r="O87" s="101">
        <f t="shared" si="6"/>
        <v>0</v>
      </c>
      <c r="P87" s="96"/>
      <c r="Q87" s="96"/>
      <c r="R87" s="96"/>
      <c r="S87" s="92" t="s">
        <v>530</v>
      </c>
    </row>
    <row r="88" spans="1:19" s="111" customFormat="1" ht="180">
      <c r="A88" s="95">
        <f t="shared" si="4"/>
        <v>81</v>
      </c>
      <c r="B88" s="95" t="s">
        <v>32</v>
      </c>
      <c r="C88" s="95">
        <v>2017</v>
      </c>
      <c r="D88" s="96" t="s">
        <v>396</v>
      </c>
      <c r="E88" s="88" t="s">
        <v>30</v>
      </c>
      <c r="F88" s="108" t="s">
        <v>534</v>
      </c>
      <c r="G88" s="92" t="s">
        <v>535</v>
      </c>
      <c r="H88" s="94"/>
      <c r="I88" s="94"/>
      <c r="J88" s="94"/>
      <c r="K88" s="99">
        <v>0</v>
      </c>
      <c r="L88" s="99">
        <f t="shared" si="5"/>
        <v>0</v>
      </c>
      <c r="M88" s="117">
        <v>44400</v>
      </c>
      <c r="N88" s="99">
        <v>44400</v>
      </c>
      <c r="O88" s="101">
        <f t="shared" si="6"/>
        <v>0</v>
      </c>
      <c r="P88" s="92" t="s">
        <v>536</v>
      </c>
      <c r="Q88" s="92" t="s">
        <v>537</v>
      </c>
      <c r="R88" s="92"/>
      <c r="S88" s="115"/>
    </row>
    <row r="89" spans="1:19" s="111" customFormat="1" ht="105">
      <c r="A89" s="95">
        <f t="shared" si="4"/>
        <v>82</v>
      </c>
      <c r="B89" s="95" t="s">
        <v>32</v>
      </c>
      <c r="C89" s="95">
        <v>2017</v>
      </c>
      <c r="D89" s="96" t="s">
        <v>396</v>
      </c>
      <c r="E89" s="96" t="s">
        <v>30</v>
      </c>
      <c r="F89" s="93" t="s">
        <v>434</v>
      </c>
      <c r="G89" s="96" t="s">
        <v>276</v>
      </c>
      <c r="H89" s="99"/>
      <c r="I89" s="94"/>
      <c r="J89" s="94"/>
      <c r="K89" s="99">
        <v>0</v>
      </c>
      <c r="L89" s="99">
        <f t="shared" si="5"/>
        <v>0</v>
      </c>
      <c r="M89" s="110">
        <v>472500</v>
      </c>
      <c r="N89" s="99">
        <v>472500</v>
      </c>
      <c r="O89" s="101">
        <f t="shared" si="6"/>
        <v>0</v>
      </c>
      <c r="P89" s="96" t="s">
        <v>112</v>
      </c>
      <c r="Q89" s="96" t="s">
        <v>277</v>
      </c>
      <c r="R89" s="96"/>
      <c r="S89" s="96" t="s">
        <v>547</v>
      </c>
    </row>
    <row r="90" spans="1:19" s="111" customFormat="1" ht="90">
      <c r="A90" s="95">
        <f t="shared" si="4"/>
        <v>83</v>
      </c>
      <c r="B90" s="95" t="s">
        <v>32</v>
      </c>
      <c r="C90" s="95">
        <v>2017</v>
      </c>
      <c r="D90" s="96" t="s">
        <v>396</v>
      </c>
      <c r="E90" s="95" t="s">
        <v>30</v>
      </c>
      <c r="F90" s="93" t="s">
        <v>435</v>
      </c>
      <c r="G90" s="96" t="s">
        <v>283</v>
      </c>
      <c r="H90" s="99"/>
      <c r="I90" s="94"/>
      <c r="J90" s="94"/>
      <c r="K90" s="99">
        <v>0</v>
      </c>
      <c r="L90" s="99">
        <f t="shared" si="5"/>
        <v>0</v>
      </c>
      <c r="M90" s="110">
        <f>1043000-212000</f>
        <v>831000</v>
      </c>
      <c r="N90" s="99">
        <v>1304800</v>
      </c>
      <c r="O90" s="101">
        <f t="shared" si="6"/>
        <v>0</v>
      </c>
      <c r="P90" s="96" t="s">
        <v>128</v>
      </c>
      <c r="Q90" s="96" t="s">
        <v>508</v>
      </c>
      <c r="R90" s="96"/>
      <c r="S90" s="96"/>
    </row>
    <row r="91" spans="1:19" s="111" customFormat="1" ht="60">
      <c r="A91" s="95">
        <f t="shared" si="4"/>
        <v>84</v>
      </c>
      <c r="B91" s="95" t="s">
        <v>32</v>
      </c>
      <c r="C91" s="88">
        <v>2017</v>
      </c>
      <c r="D91" s="92" t="s">
        <v>396</v>
      </c>
      <c r="E91" s="95" t="s">
        <v>30</v>
      </c>
      <c r="F91" s="97" t="s">
        <v>133</v>
      </c>
      <c r="G91" s="96" t="s">
        <v>533</v>
      </c>
      <c r="H91" s="99"/>
      <c r="I91" s="94"/>
      <c r="J91" s="94"/>
      <c r="K91" s="99">
        <v>0</v>
      </c>
      <c r="L91" s="99">
        <f t="shared" si="5"/>
        <v>0</v>
      </c>
      <c r="M91" s="110">
        <v>212000</v>
      </c>
      <c r="N91" s="99">
        <v>212000</v>
      </c>
      <c r="O91" s="101">
        <f t="shared" si="6"/>
        <v>0</v>
      </c>
      <c r="P91" s="96" t="s">
        <v>134</v>
      </c>
      <c r="Q91" s="96" t="s">
        <v>510</v>
      </c>
      <c r="R91" s="96"/>
      <c r="S91" s="116" t="s">
        <v>548</v>
      </c>
    </row>
    <row r="92" spans="1:19" s="111" customFormat="1" ht="75">
      <c r="A92" s="95">
        <f t="shared" si="4"/>
        <v>85</v>
      </c>
      <c r="B92" s="95" t="s">
        <v>32</v>
      </c>
      <c r="C92" s="95">
        <v>2017</v>
      </c>
      <c r="D92" s="96" t="s">
        <v>396</v>
      </c>
      <c r="E92" s="95" t="s">
        <v>30</v>
      </c>
      <c r="F92" s="93" t="s">
        <v>436</v>
      </c>
      <c r="G92" s="96" t="s">
        <v>275</v>
      </c>
      <c r="H92" s="99"/>
      <c r="I92" s="94"/>
      <c r="J92" s="94"/>
      <c r="K92" s="99">
        <v>0</v>
      </c>
      <c r="L92" s="99">
        <f t="shared" si="5"/>
        <v>0</v>
      </c>
      <c r="M92" s="110">
        <v>471300</v>
      </c>
      <c r="N92" s="99">
        <v>471300</v>
      </c>
      <c r="O92" s="101">
        <f t="shared" si="6"/>
        <v>0</v>
      </c>
      <c r="P92" s="96" t="s">
        <v>333</v>
      </c>
      <c r="Q92" s="96" t="s">
        <v>334</v>
      </c>
      <c r="R92" s="96"/>
      <c r="S92" s="96" t="s">
        <v>549</v>
      </c>
    </row>
    <row r="93" spans="1:19" s="111" customFormat="1" ht="75">
      <c r="A93" s="95">
        <f t="shared" si="4"/>
        <v>86</v>
      </c>
      <c r="B93" s="95" t="s">
        <v>32</v>
      </c>
      <c r="C93" s="95">
        <v>2017</v>
      </c>
      <c r="D93" s="96" t="s">
        <v>396</v>
      </c>
      <c r="E93" s="96" t="s">
        <v>27</v>
      </c>
      <c r="F93" s="104" t="s">
        <v>437</v>
      </c>
      <c r="G93" s="96" t="s">
        <v>273</v>
      </c>
      <c r="H93" s="99"/>
      <c r="I93" s="94"/>
      <c r="J93" s="94"/>
      <c r="K93" s="99">
        <v>0</v>
      </c>
      <c r="L93" s="99">
        <f t="shared" si="5"/>
        <v>0</v>
      </c>
      <c r="M93" s="110">
        <v>120000</v>
      </c>
      <c r="N93" s="99">
        <v>120000</v>
      </c>
      <c r="O93" s="101">
        <f t="shared" si="6"/>
        <v>0</v>
      </c>
      <c r="P93" s="96" t="s">
        <v>102</v>
      </c>
      <c r="Q93" s="96" t="s">
        <v>103</v>
      </c>
      <c r="R93" s="96"/>
      <c r="S93" s="96"/>
    </row>
    <row r="94" spans="1:19" s="111" customFormat="1" ht="30">
      <c r="A94" s="95">
        <f t="shared" si="4"/>
        <v>87</v>
      </c>
      <c r="B94" s="95" t="s">
        <v>32</v>
      </c>
      <c r="C94" s="95">
        <v>2017</v>
      </c>
      <c r="D94" s="96" t="s">
        <v>396</v>
      </c>
      <c r="E94" s="96" t="s">
        <v>27</v>
      </c>
      <c r="F94" s="93" t="s">
        <v>429</v>
      </c>
      <c r="G94" s="96"/>
      <c r="H94" s="99"/>
      <c r="I94" s="94"/>
      <c r="J94" s="94"/>
      <c r="K94" s="99">
        <v>0</v>
      </c>
      <c r="L94" s="99">
        <f t="shared" si="5"/>
        <v>0</v>
      </c>
      <c r="M94" s="110">
        <v>4245600</v>
      </c>
      <c r="N94" s="99">
        <v>6135000</v>
      </c>
      <c r="O94" s="101">
        <f t="shared" si="6"/>
        <v>0</v>
      </c>
      <c r="P94" s="96"/>
      <c r="Q94" s="96"/>
      <c r="R94" s="96"/>
      <c r="S94" s="96"/>
    </row>
    <row r="95" spans="1:19" s="111" customFormat="1" ht="180">
      <c r="A95" s="95">
        <f t="shared" si="4"/>
        <v>88</v>
      </c>
      <c r="B95" s="95" t="s">
        <v>32</v>
      </c>
      <c r="C95" s="95">
        <v>2017</v>
      </c>
      <c r="D95" s="96" t="s">
        <v>396</v>
      </c>
      <c r="E95" s="96" t="s">
        <v>27</v>
      </c>
      <c r="F95" s="103" t="s">
        <v>543</v>
      </c>
      <c r="G95" s="96" t="s">
        <v>514</v>
      </c>
      <c r="H95" s="99"/>
      <c r="I95" s="94"/>
      <c r="J95" s="94"/>
      <c r="K95" s="99">
        <v>0</v>
      </c>
      <c r="L95" s="99">
        <f t="shared" si="5"/>
        <v>0</v>
      </c>
      <c r="M95" s="110">
        <v>260000</v>
      </c>
      <c r="N95" s="99">
        <v>260000</v>
      </c>
      <c r="O95" s="101">
        <f t="shared" si="6"/>
        <v>0</v>
      </c>
      <c r="P95" s="96" t="s">
        <v>544</v>
      </c>
      <c r="Q95" s="96" t="s">
        <v>545</v>
      </c>
      <c r="R95" s="96"/>
      <c r="S95" s="96"/>
    </row>
    <row r="96" spans="1:19" s="111" customFormat="1">
      <c r="A96" s="95">
        <f t="shared" si="4"/>
        <v>89</v>
      </c>
      <c r="B96" s="95" t="s">
        <v>32</v>
      </c>
      <c r="C96" s="95">
        <v>2016</v>
      </c>
      <c r="D96" s="96" t="s">
        <v>385</v>
      </c>
      <c r="E96" s="95" t="s">
        <v>9</v>
      </c>
      <c r="F96" s="97" t="s">
        <v>387</v>
      </c>
      <c r="G96" s="96"/>
      <c r="H96" s="99"/>
      <c r="I96" s="94"/>
      <c r="J96" s="94"/>
      <c r="K96" s="99">
        <v>-2487746.83</v>
      </c>
      <c r="L96" s="99">
        <f t="shared" si="5"/>
        <v>-2487746.83</v>
      </c>
      <c r="M96" s="110"/>
      <c r="N96" s="99">
        <v>0</v>
      </c>
      <c r="O96" s="101" t="str">
        <f t="shared" si="6"/>
        <v/>
      </c>
      <c r="P96" s="96"/>
      <c r="Q96" s="96"/>
      <c r="R96" s="96"/>
      <c r="S96" s="96"/>
    </row>
    <row r="97" spans="1:19" s="111" customFormat="1" ht="240">
      <c r="A97" s="95">
        <f t="shared" si="4"/>
        <v>90</v>
      </c>
      <c r="B97" s="95" t="s">
        <v>32</v>
      </c>
      <c r="C97" s="95">
        <v>2016</v>
      </c>
      <c r="D97" s="96" t="s">
        <v>575</v>
      </c>
      <c r="E97" s="95" t="s">
        <v>30</v>
      </c>
      <c r="F97" s="97" t="s">
        <v>381</v>
      </c>
      <c r="G97" s="96" t="s">
        <v>272</v>
      </c>
      <c r="H97" s="99"/>
      <c r="I97" s="94"/>
      <c r="J97" s="94">
        <v>4470600</v>
      </c>
      <c r="K97" s="99">
        <v>4470600</v>
      </c>
      <c r="L97" s="99">
        <f t="shared" si="5"/>
        <v>4470600</v>
      </c>
      <c r="M97" s="110">
        <v>4470600</v>
      </c>
      <c r="N97" s="99">
        <v>4470600</v>
      </c>
      <c r="O97" s="101">
        <f t="shared" si="6"/>
        <v>1</v>
      </c>
      <c r="P97" s="96" t="s">
        <v>382</v>
      </c>
      <c r="Q97" s="96" t="s">
        <v>389</v>
      </c>
      <c r="R97" s="96" t="s">
        <v>550</v>
      </c>
      <c r="S97" s="96" t="s">
        <v>516</v>
      </c>
    </row>
    <row r="98" spans="1:19" s="111" customFormat="1" ht="30">
      <c r="A98" s="95">
        <f t="shared" si="4"/>
        <v>91</v>
      </c>
      <c r="B98" s="95" t="s">
        <v>32</v>
      </c>
      <c r="C98" s="95">
        <v>2016</v>
      </c>
      <c r="D98" s="96" t="s">
        <v>21</v>
      </c>
      <c r="E98" s="95" t="s">
        <v>30</v>
      </c>
      <c r="F98" s="97" t="s">
        <v>607</v>
      </c>
      <c r="G98" s="96"/>
      <c r="H98" s="99"/>
      <c r="I98" s="94"/>
      <c r="J98" s="94">
        <v>471745.07</v>
      </c>
      <c r="K98" s="99">
        <v>1886980.24</v>
      </c>
      <c r="L98" s="99">
        <f t="shared" si="5"/>
        <v>1886980.24</v>
      </c>
      <c r="M98" s="110"/>
      <c r="N98" s="99">
        <v>0</v>
      </c>
      <c r="O98" s="101" t="str">
        <f t="shared" si="6"/>
        <v/>
      </c>
      <c r="P98" s="96"/>
      <c r="Q98" s="96"/>
      <c r="R98" s="96"/>
      <c r="S98" s="96"/>
    </row>
    <row r="99" spans="1:19" s="111" customFormat="1" ht="30">
      <c r="A99" s="95">
        <f t="shared" si="4"/>
        <v>92</v>
      </c>
      <c r="B99" s="95" t="s">
        <v>32</v>
      </c>
      <c r="C99" s="95">
        <v>2016</v>
      </c>
      <c r="D99" s="96" t="s">
        <v>21</v>
      </c>
      <c r="E99" s="95" t="s">
        <v>27</v>
      </c>
      <c r="F99" s="97" t="s">
        <v>608</v>
      </c>
      <c r="G99" s="96" t="s">
        <v>609</v>
      </c>
      <c r="H99" s="99"/>
      <c r="I99" s="94"/>
      <c r="J99" s="94"/>
      <c r="K99" s="99">
        <v>85000</v>
      </c>
      <c r="L99" s="99">
        <f t="shared" si="5"/>
        <v>85000</v>
      </c>
      <c r="M99" s="110"/>
      <c r="N99" s="99">
        <v>0</v>
      </c>
      <c r="O99" s="101" t="str">
        <f t="shared" si="6"/>
        <v/>
      </c>
      <c r="P99" s="96"/>
      <c r="Q99" s="96"/>
      <c r="R99" s="96"/>
      <c r="S99" s="96"/>
    </row>
    <row r="100" spans="1:19" s="111" customFormat="1" ht="30">
      <c r="A100" s="95">
        <f t="shared" si="4"/>
        <v>93</v>
      </c>
      <c r="B100" s="95" t="s">
        <v>32</v>
      </c>
      <c r="C100" s="95">
        <v>2016</v>
      </c>
      <c r="D100" s="96" t="s">
        <v>21</v>
      </c>
      <c r="E100" s="95" t="s">
        <v>9</v>
      </c>
      <c r="F100" s="97" t="s">
        <v>383</v>
      </c>
      <c r="G100" s="96"/>
      <c r="H100" s="99"/>
      <c r="I100" s="94"/>
      <c r="J100" s="94">
        <v>796498.38</v>
      </c>
      <c r="K100" s="99">
        <v>796498.38</v>
      </c>
      <c r="L100" s="99">
        <f t="shared" si="5"/>
        <v>796498.38</v>
      </c>
      <c r="M100" s="110"/>
      <c r="N100" s="99">
        <v>0</v>
      </c>
      <c r="O100" s="101" t="str">
        <f t="shared" si="6"/>
        <v/>
      </c>
      <c r="P100" s="96"/>
      <c r="Q100" s="96"/>
      <c r="R100" s="96"/>
      <c r="S100" s="96"/>
    </row>
    <row r="101" spans="1:19" s="111" customFormat="1" ht="90">
      <c r="A101" s="95">
        <f t="shared" si="4"/>
        <v>94</v>
      </c>
      <c r="B101" s="95" t="s">
        <v>32</v>
      </c>
      <c r="C101" s="95">
        <v>2016</v>
      </c>
      <c r="D101" s="96" t="s">
        <v>21</v>
      </c>
      <c r="E101" s="95" t="s">
        <v>27</v>
      </c>
      <c r="F101" s="97" t="s">
        <v>517</v>
      </c>
      <c r="G101" s="96" t="s">
        <v>518</v>
      </c>
      <c r="H101" s="99"/>
      <c r="I101" s="94"/>
      <c r="J101" s="94">
        <v>321000</v>
      </c>
      <c r="K101" s="99">
        <v>321000</v>
      </c>
      <c r="L101" s="99">
        <f t="shared" si="5"/>
        <v>321000</v>
      </c>
      <c r="M101" s="110"/>
      <c r="N101" s="99">
        <v>0</v>
      </c>
      <c r="O101" s="101" t="str">
        <f t="shared" si="6"/>
        <v/>
      </c>
      <c r="P101" s="96" t="s">
        <v>519</v>
      </c>
      <c r="Q101" s="96"/>
      <c r="R101" s="96"/>
      <c r="S101" s="96" t="s">
        <v>520</v>
      </c>
    </row>
    <row r="102" spans="1:19" s="111" customFormat="1" ht="45">
      <c r="A102" s="95">
        <f t="shared" si="4"/>
        <v>95</v>
      </c>
      <c r="B102" s="95" t="s">
        <v>32</v>
      </c>
      <c r="C102" s="95">
        <v>2016</v>
      </c>
      <c r="D102" s="96" t="s">
        <v>21</v>
      </c>
      <c r="E102" s="95" t="s">
        <v>27</v>
      </c>
      <c r="F102" s="97" t="s">
        <v>521</v>
      </c>
      <c r="G102" s="96" t="s">
        <v>522</v>
      </c>
      <c r="H102" s="99"/>
      <c r="I102" s="94"/>
      <c r="J102" s="94">
        <v>5000</v>
      </c>
      <c r="K102" s="99">
        <v>10000</v>
      </c>
      <c r="L102" s="99">
        <f t="shared" si="5"/>
        <v>10000</v>
      </c>
      <c r="M102" s="110"/>
      <c r="N102" s="99">
        <v>0</v>
      </c>
      <c r="O102" s="101" t="str">
        <f t="shared" si="6"/>
        <v/>
      </c>
      <c r="P102" s="96"/>
      <c r="Q102" s="96"/>
      <c r="R102" s="96"/>
      <c r="S102" s="96"/>
    </row>
    <row r="103" spans="1:19" s="111" customFormat="1" ht="120">
      <c r="A103" s="95">
        <f t="shared" si="4"/>
        <v>96</v>
      </c>
      <c r="B103" s="95" t="s">
        <v>32</v>
      </c>
      <c r="C103" s="95">
        <v>2017</v>
      </c>
      <c r="D103" s="96" t="s">
        <v>396</v>
      </c>
      <c r="E103" s="95" t="s">
        <v>10</v>
      </c>
      <c r="F103" s="97" t="s">
        <v>377</v>
      </c>
      <c r="G103" s="96" t="s">
        <v>378</v>
      </c>
      <c r="H103" s="99"/>
      <c r="I103" s="94"/>
      <c r="J103" s="94"/>
      <c r="K103" s="99">
        <v>0</v>
      </c>
      <c r="L103" s="99">
        <f t="shared" si="5"/>
        <v>0</v>
      </c>
      <c r="M103" s="110">
        <v>380000</v>
      </c>
      <c r="N103" s="99">
        <v>380000</v>
      </c>
      <c r="O103" s="101">
        <f t="shared" si="6"/>
        <v>0</v>
      </c>
      <c r="P103" s="96" t="s">
        <v>379</v>
      </c>
      <c r="Q103" s="96" t="s">
        <v>380</v>
      </c>
      <c r="R103" s="96"/>
      <c r="S103" s="96" t="s">
        <v>424</v>
      </c>
    </row>
    <row r="104" spans="1:19" s="111" customFormat="1" ht="180">
      <c r="A104" s="95">
        <f t="shared" si="4"/>
        <v>97</v>
      </c>
      <c r="B104" s="95" t="s">
        <v>32</v>
      </c>
      <c r="C104" s="95">
        <v>2017</v>
      </c>
      <c r="D104" s="96" t="s">
        <v>396</v>
      </c>
      <c r="E104" s="95" t="s">
        <v>10</v>
      </c>
      <c r="F104" s="97" t="s">
        <v>100</v>
      </c>
      <c r="G104" s="96" t="s">
        <v>273</v>
      </c>
      <c r="H104" s="98"/>
      <c r="I104" s="109"/>
      <c r="J104" s="94"/>
      <c r="K104" s="99">
        <v>0</v>
      </c>
      <c r="L104" s="99">
        <f t="shared" ref="L104:L134" si="7">+K104+I104+H104</f>
        <v>0</v>
      </c>
      <c r="M104" s="110">
        <v>300000</v>
      </c>
      <c r="N104" s="99">
        <v>300000</v>
      </c>
      <c r="O104" s="101">
        <f t="shared" ref="O104:O134" si="8">IF(N104=0,"",(K104+H104+I104)/N104)</f>
        <v>0</v>
      </c>
      <c r="P104" s="96" t="s">
        <v>57</v>
      </c>
      <c r="Q104" s="96" t="s">
        <v>331</v>
      </c>
      <c r="R104" s="96"/>
      <c r="S104" s="96" t="s">
        <v>547</v>
      </c>
    </row>
    <row r="105" spans="1:19" s="111" customFormat="1" ht="90">
      <c r="A105" s="95">
        <f t="shared" si="4"/>
        <v>98</v>
      </c>
      <c r="B105" s="95" t="s">
        <v>32</v>
      </c>
      <c r="C105" s="95">
        <v>2017</v>
      </c>
      <c r="D105" s="96" t="s">
        <v>396</v>
      </c>
      <c r="E105" s="95" t="s">
        <v>27</v>
      </c>
      <c r="F105" s="97" t="s">
        <v>113</v>
      </c>
      <c r="G105" s="96" t="s">
        <v>76</v>
      </c>
      <c r="H105" s="99"/>
      <c r="I105" s="94"/>
      <c r="J105" s="94"/>
      <c r="K105" s="99">
        <v>0</v>
      </c>
      <c r="L105" s="99">
        <f t="shared" si="7"/>
        <v>0</v>
      </c>
      <c r="M105" s="110">
        <v>147000</v>
      </c>
      <c r="N105" s="99">
        <v>300000</v>
      </c>
      <c r="O105" s="101">
        <f t="shared" si="8"/>
        <v>0</v>
      </c>
      <c r="P105" s="96" t="s">
        <v>278</v>
      </c>
      <c r="Q105" s="96" t="s">
        <v>279</v>
      </c>
      <c r="R105" s="96"/>
      <c r="S105" s="96" t="s">
        <v>551</v>
      </c>
    </row>
    <row r="106" spans="1:19" s="111" customFormat="1" ht="90">
      <c r="A106" s="95">
        <f t="shared" si="4"/>
        <v>99</v>
      </c>
      <c r="B106" s="95" t="s">
        <v>32</v>
      </c>
      <c r="C106" s="95">
        <v>2017</v>
      </c>
      <c r="D106" s="96" t="s">
        <v>396</v>
      </c>
      <c r="E106" s="95" t="s">
        <v>30</v>
      </c>
      <c r="F106" s="97" t="s">
        <v>109</v>
      </c>
      <c r="G106" s="96" t="s">
        <v>275</v>
      </c>
      <c r="H106" s="99"/>
      <c r="I106" s="94"/>
      <c r="J106" s="94"/>
      <c r="K106" s="99">
        <v>0</v>
      </c>
      <c r="L106" s="99">
        <f t="shared" si="7"/>
        <v>0</v>
      </c>
      <c r="M106" s="110">
        <v>375000</v>
      </c>
      <c r="N106" s="99">
        <v>375000</v>
      </c>
      <c r="O106" s="101">
        <f t="shared" si="8"/>
        <v>0</v>
      </c>
      <c r="P106" s="96" t="s">
        <v>110</v>
      </c>
      <c r="Q106" s="96" t="s">
        <v>332</v>
      </c>
      <c r="R106" s="96"/>
      <c r="S106" s="96" t="s">
        <v>547</v>
      </c>
    </row>
    <row r="107" spans="1:19" s="111" customFormat="1" ht="30">
      <c r="A107" s="95">
        <f t="shared" si="4"/>
        <v>100</v>
      </c>
      <c r="B107" s="95" t="s">
        <v>32</v>
      </c>
      <c r="C107" s="95">
        <v>2016</v>
      </c>
      <c r="D107" s="96" t="s">
        <v>21</v>
      </c>
      <c r="E107" s="95" t="s">
        <v>30</v>
      </c>
      <c r="F107" s="97" t="s">
        <v>610</v>
      </c>
      <c r="G107" s="96" t="s">
        <v>611</v>
      </c>
      <c r="H107" s="99"/>
      <c r="I107" s="94"/>
      <c r="J107" s="94">
        <v>29580.57</v>
      </c>
      <c r="K107" s="99">
        <v>29580.57</v>
      </c>
      <c r="L107" s="99">
        <f t="shared" si="7"/>
        <v>29580.57</v>
      </c>
      <c r="M107" s="110"/>
      <c r="N107" s="99">
        <v>0</v>
      </c>
      <c r="O107" s="101" t="str">
        <f t="shared" si="8"/>
        <v/>
      </c>
      <c r="P107" s="96"/>
      <c r="Q107" s="96"/>
      <c r="R107" s="96"/>
      <c r="S107" s="96"/>
    </row>
    <row r="108" spans="1:19" s="111" customFormat="1" ht="330">
      <c r="A108" s="95">
        <f>+A107+1</f>
        <v>101</v>
      </c>
      <c r="B108" s="95" t="s">
        <v>48</v>
      </c>
      <c r="C108" s="95">
        <v>2016</v>
      </c>
      <c r="D108" s="96" t="s">
        <v>21</v>
      </c>
      <c r="E108" s="95" t="s">
        <v>27</v>
      </c>
      <c r="F108" s="97" t="s">
        <v>51</v>
      </c>
      <c r="G108" s="96"/>
      <c r="H108" s="98"/>
      <c r="I108" s="98"/>
      <c r="J108" s="99"/>
      <c r="K108" s="99">
        <v>5658.5694375000003</v>
      </c>
      <c r="L108" s="99">
        <f t="shared" si="7"/>
        <v>5658.5694375000003</v>
      </c>
      <c r="M108" s="100"/>
      <c r="N108" s="99">
        <v>0</v>
      </c>
      <c r="O108" s="101" t="str">
        <f t="shared" si="8"/>
        <v/>
      </c>
      <c r="P108" s="160" t="s">
        <v>327</v>
      </c>
      <c r="Q108" s="160" t="s">
        <v>328</v>
      </c>
      <c r="R108" s="160" t="s">
        <v>499</v>
      </c>
      <c r="S108" s="160" t="s">
        <v>500</v>
      </c>
    </row>
    <row r="109" spans="1:19" s="29" customFormat="1" ht="369.75">
      <c r="A109" s="95">
        <f t="shared" ref="A109:A164" si="9">+A108+1</f>
        <v>102</v>
      </c>
      <c r="B109" s="95" t="s">
        <v>34</v>
      </c>
      <c r="C109" s="95">
        <v>2016</v>
      </c>
      <c r="D109" s="96" t="s">
        <v>44</v>
      </c>
      <c r="E109" s="95" t="s">
        <v>9</v>
      </c>
      <c r="F109" s="97" t="s">
        <v>139</v>
      </c>
      <c r="G109" s="93"/>
      <c r="H109" s="98"/>
      <c r="I109" s="98"/>
      <c r="J109" s="99"/>
      <c r="K109" s="99">
        <v>199606.32</v>
      </c>
      <c r="L109" s="99">
        <f t="shared" si="7"/>
        <v>199606.32</v>
      </c>
      <c r="M109" s="100"/>
      <c r="N109" s="99">
        <v>200000</v>
      </c>
      <c r="O109" s="161">
        <f t="shared" si="8"/>
        <v>0.99803160000000002</v>
      </c>
      <c r="P109" s="96" t="s">
        <v>140</v>
      </c>
      <c r="Q109" s="162" t="s">
        <v>390</v>
      </c>
      <c r="R109" s="163" t="s">
        <v>564</v>
      </c>
      <c r="S109" s="96" t="s">
        <v>391</v>
      </c>
    </row>
    <row r="110" spans="1:19" s="29" customFormat="1">
      <c r="A110" s="95">
        <f t="shared" si="9"/>
        <v>103</v>
      </c>
      <c r="B110" s="95" t="s">
        <v>34</v>
      </c>
      <c r="C110" s="95">
        <v>2016</v>
      </c>
      <c r="D110" s="96" t="s">
        <v>385</v>
      </c>
      <c r="E110" s="95" t="s">
        <v>9</v>
      </c>
      <c r="F110" s="97" t="s">
        <v>387</v>
      </c>
      <c r="G110" s="162"/>
      <c r="H110" s="98"/>
      <c r="I110" s="100"/>
      <c r="J110" s="99">
        <v>-23584.38</v>
      </c>
      <c r="K110" s="99">
        <v>-23584.38</v>
      </c>
      <c r="L110" s="99">
        <f t="shared" si="7"/>
        <v>-23584.38</v>
      </c>
      <c r="M110" s="100"/>
      <c r="N110" s="99">
        <v>0</v>
      </c>
      <c r="O110" s="101" t="str">
        <f t="shared" si="8"/>
        <v/>
      </c>
      <c r="P110" s="96"/>
      <c r="Q110" s="96"/>
      <c r="R110" s="96"/>
      <c r="S110" s="96"/>
    </row>
    <row r="111" spans="1:19" s="29" customFormat="1" ht="210">
      <c r="A111" s="95">
        <f t="shared" si="9"/>
        <v>104</v>
      </c>
      <c r="B111" s="92" t="s">
        <v>34</v>
      </c>
      <c r="C111" s="92">
        <v>2016</v>
      </c>
      <c r="D111" s="92" t="s">
        <v>45</v>
      </c>
      <c r="E111" s="92" t="s">
        <v>9</v>
      </c>
      <c r="F111" s="92" t="s">
        <v>141</v>
      </c>
      <c r="G111" s="92" t="s">
        <v>290</v>
      </c>
      <c r="H111" s="164"/>
      <c r="I111" s="109">
        <v>136874.87</v>
      </c>
      <c r="J111" s="109">
        <v>1117834.46</v>
      </c>
      <c r="K111" s="99">
        <v>1117834.46</v>
      </c>
      <c r="L111" s="99">
        <f t="shared" si="7"/>
        <v>1254709.33</v>
      </c>
      <c r="M111" s="109">
        <v>2000000</v>
      </c>
      <c r="N111" s="99">
        <v>2000000</v>
      </c>
      <c r="O111" s="101">
        <f t="shared" si="8"/>
        <v>0.62735466500000003</v>
      </c>
      <c r="P111" s="92" t="s">
        <v>142</v>
      </c>
      <c r="Q111" s="92" t="s">
        <v>438</v>
      </c>
      <c r="R111" s="92" t="s">
        <v>358</v>
      </c>
      <c r="S111" s="92" t="s">
        <v>359</v>
      </c>
    </row>
    <row r="112" spans="1:19" s="165" customFormat="1" ht="60">
      <c r="A112" s="95">
        <f t="shared" si="9"/>
        <v>105</v>
      </c>
      <c r="B112" s="88" t="s">
        <v>35</v>
      </c>
      <c r="C112" s="88">
        <v>2016</v>
      </c>
      <c r="D112" s="92" t="s">
        <v>45</v>
      </c>
      <c r="E112" s="88" t="s">
        <v>9</v>
      </c>
      <c r="F112" s="108" t="s">
        <v>72</v>
      </c>
      <c r="G112" s="92" t="s">
        <v>291</v>
      </c>
      <c r="H112" s="109">
        <v>0</v>
      </c>
      <c r="I112" s="109">
        <v>0</v>
      </c>
      <c r="J112" s="94">
        <v>2476834</v>
      </c>
      <c r="K112" s="99">
        <v>2476834</v>
      </c>
      <c r="L112" s="99">
        <f t="shared" si="7"/>
        <v>2476834</v>
      </c>
      <c r="M112" s="94">
        <v>2000000</v>
      </c>
      <c r="N112" s="99">
        <v>2000000</v>
      </c>
      <c r="O112" s="101">
        <f t="shared" si="8"/>
        <v>1.2384170000000001</v>
      </c>
      <c r="P112" s="92" t="s">
        <v>143</v>
      </c>
      <c r="Q112" s="92" t="s">
        <v>144</v>
      </c>
      <c r="R112" s="92" t="s">
        <v>368</v>
      </c>
      <c r="S112" s="92" t="s">
        <v>145</v>
      </c>
    </row>
    <row r="113" spans="1:19" s="165" customFormat="1" ht="45">
      <c r="A113" s="95">
        <f t="shared" si="9"/>
        <v>106</v>
      </c>
      <c r="B113" s="88" t="s">
        <v>35</v>
      </c>
      <c r="C113" s="88">
        <v>2016</v>
      </c>
      <c r="D113" s="92" t="s">
        <v>21</v>
      </c>
      <c r="E113" s="88" t="s">
        <v>9</v>
      </c>
      <c r="F113" s="108" t="s">
        <v>439</v>
      </c>
      <c r="G113" s="92" t="s">
        <v>291</v>
      </c>
      <c r="H113" s="109">
        <v>0</v>
      </c>
      <c r="I113" s="109">
        <v>0</v>
      </c>
      <c r="J113" s="94">
        <v>65111.17</v>
      </c>
      <c r="K113" s="99">
        <v>65111.17</v>
      </c>
      <c r="L113" s="99">
        <f t="shared" si="7"/>
        <v>65111.17</v>
      </c>
      <c r="M113" s="94">
        <v>0</v>
      </c>
      <c r="N113" s="99">
        <v>0</v>
      </c>
      <c r="O113" s="101" t="str">
        <f t="shared" si="8"/>
        <v/>
      </c>
      <c r="P113" s="92" t="s">
        <v>343</v>
      </c>
      <c r="Q113" s="92" t="s">
        <v>53</v>
      </c>
      <c r="R113" s="92" t="s">
        <v>569</v>
      </c>
      <c r="S113" s="92" t="s">
        <v>344</v>
      </c>
    </row>
    <row r="114" spans="1:19" s="111" customFormat="1" ht="75">
      <c r="A114" s="95">
        <f t="shared" si="9"/>
        <v>107</v>
      </c>
      <c r="B114" s="95" t="s">
        <v>36</v>
      </c>
      <c r="C114" s="95">
        <v>2016</v>
      </c>
      <c r="D114" s="96" t="s">
        <v>21</v>
      </c>
      <c r="E114" s="95" t="s">
        <v>9</v>
      </c>
      <c r="F114" s="97" t="s">
        <v>146</v>
      </c>
      <c r="G114" s="96" t="s">
        <v>272</v>
      </c>
      <c r="H114" s="96"/>
      <c r="I114" s="96"/>
      <c r="J114" s="99">
        <v>70.239999999031156</v>
      </c>
      <c r="K114" s="99">
        <v>1262.0099999991703</v>
      </c>
      <c r="L114" s="99">
        <f t="shared" si="7"/>
        <v>1262.0099999991703</v>
      </c>
      <c r="M114" s="100"/>
      <c r="N114" s="99">
        <v>0</v>
      </c>
      <c r="O114" s="101" t="str">
        <f t="shared" si="8"/>
        <v/>
      </c>
      <c r="P114" s="96" t="s">
        <v>147</v>
      </c>
      <c r="Q114" s="96" t="s">
        <v>53</v>
      </c>
      <c r="R114" s="96" t="s">
        <v>552</v>
      </c>
      <c r="S114" s="96" t="s">
        <v>63</v>
      </c>
    </row>
    <row r="115" spans="1:19" s="111" customFormat="1" ht="45">
      <c r="A115" s="95">
        <f t="shared" si="9"/>
        <v>108</v>
      </c>
      <c r="B115" s="95" t="s">
        <v>36</v>
      </c>
      <c r="C115" s="95">
        <v>2016</v>
      </c>
      <c r="D115" s="96" t="s">
        <v>396</v>
      </c>
      <c r="E115" s="95" t="s">
        <v>9</v>
      </c>
      <c r="F115" s="97" t="s">
        <v>440</v>
      </c>
      <c r="G115" s="96" t="s">
        <v>441</v>
      </c>
      <c r="H115" s="99"/>
      <c r="I115" s="99"/>
      <c r="J115" s="99">
        <v>249999.98</v>
      </c>
      <c r="K115" s="99">
        <v>249999.98</v>
      </c>
      <c r="L115" s="99">
        <f t="shared" si="7"/>
        <v>249999.98</v>
      </c>
      <c r="M115" s="100">
        <v>250000</v>
      </c>
      <c r="N115" s="99">
        <v>250000</v>
      </c>
      <c r="O115" s="101">
        <f t="shared" si="8"/>
        <v>0.99999992000000004</v>
      </c>
      <c r="P115" s="96" t="s">
        <v>442</v>
      </c>
      <c r="Q115" s="96" t="s">
        <v>53</v>
      </c>
      <c r="R115" s="96" t="s">
        <v>561</v>
      </c>
      <c r="S115" s="96" t="s">
        <v>561</v>
      </c>
    </row>
    <row r="116" spans="1:19" s="111" customFormat="1" ht="75">
      <c r="A116" s="95">
        <f t="shared" si="9"/>
        <v>109</v>
      </c>
      <c r="B116" s="166" t="s">
        <v>443</v>
      </c>
      <c r="C116" s="167">
        <v>2016</v>
      </c>
      <c r="D116" s="166" t="s">
        <v>444</v>
      </c>
      <c r="E116" s="88" t="s">
        <v>27</v>
      </c>
      <c r="F116" s="147" t="s">
        <v>445</v>
      </c>
      <c r="G116" s="96" t="s">
        <v>495</v>
      </c>
      <c r="H116" s="94">
        <v>8300000</v>
      </c>
      <c r="I116" s="94">
        <v>0</v>
      </c>
      <c r="J116" s="94">
        <f>900000</f>
        <v>900000</v>
      </c>
      <c r="K116" s="99">
        <v>900000</v>
      </c>
      <c r="L116" s="99">
        <f t="shared" si="7"/>
        <v>9200000</v>
      </c>
      <c r="M116" s="168">
        <v>9200000</v>
      </c>
      <c r="N116" s="99">
        <v>9200000</v>
      </c>
      <c r="O116" s="101">
        <f t="shared" si="8"/>
        <v>1</v>
      </c>
      <c r="P116" s="96" t="s">
        <v>495</v>
      </c>
      <c r="Q116" s="96" t="s">
        <v>495</v>
      </c>
      <c r="R116" s="96" t="s">
        <v>495</v>
      </c>
      <c r="S116" s="96" t="s">
        <v>495</v>
      </c>
    </row>
    <row r="117" spans="1:19" s="111" customFormat="1" ht="60">
      <c r="A117" s="95">
        <f t="shared" si="9"/>
        <v>110</v>
      </c>
      <c r="B117" s="166" t="s">
        <v>443</v>
      </c>
      <c r="C117" s="167">
        <v>2017</v>
      </c>
      <c r="D117" s="166" t="s">
        <v>444</v>
      </c>
      <c r="E117" s="88" t="s">
        <v>10</v>
      </c>
      <c r="F117" s="93" t="s">
        <v>446</v>
      </c>
      <c r="G117" s="96" t="s">
        <v>495</v>
      </c>
      <c r="H117" s="94">
        <v>0</v>
      </c>
      <c r="I117" s="94">
        <v>0</v>
      </c>
      <c r="J117" s="94">
        <v>0</v>
      </c>
      <c r="K117" s="99">
        <v>0</v>
      </c>
      <c r="L117" s="99">
        <f t="shared" si="7"/>
        <v>0</v>
      </c>
      <c r="M117" s="168">
        <v>137500</v>
      </c>
      <c r="N117" s="99">
        <v>137500</v>
      </c>
      <c r="O117" s="101">
        <f t="shared" si="8"/>
        <v>0</v>
      </c>
      <c r="P117" s="96" t="s">
        <v>495</v>
      </c>
      <c r="Q117" s="96" t="s">
        <v>495</v>
      </c>
      <c r="R117" s="96" t="s">
        <v>495</v>
      </c>
      <c r="S117" s="96" t="s">
        <v>495</v>
      </c>
    </row>
    <row r="118" spans="1:19" s="111" customFormat="1" ht="60">
      <c r="A118" s="95">
        <f t="shared" si="9"/>
        <v>111</v>
      </c>
      <c r="B118" s="166" t="s">
        <v>443</v>
      </c>
      <c r="C118" s="167">
        <v>2017</v>
      </c>
      <c r="D118" s="166" t="s">
        <v>444</v>
      </c>
      <c r="E118" s="88" t="s">
        <v>30</v>
      </c>
      <c r="F118" s="93" t="s">
        <v>447</v>
      </c>
      <c r="G118" s="96" t="s">
        <v>495</v>
      </c>
      <c r="H118" s="94">
        <v>0</v>
      </c>
      <c r="I118" s="94">
        <v>0</v>
      </c>
      <c r="J118" s="94">
        <v>0</v>
      </c>
      <c r="K118" s="99">
        <v>0</v>
      </c>
      <c r="L118" s="99">
        <f t="shared" si="7"/>
        <v>0</v>
      </c>
      <c r="M118" s="168">
        <v>317500</v>
      </c>
      <c r="N118" s="99">
        <v>317500</v>
      </c>
      <c r="O118" s="101">
        <f t="shared" si="8"/>
        <v>0</v>
      </c>
      <c r="P118" s="96" t="s">
        <v>495</v>
      </c>
      <c r="Q118" s="96" t="s">
        <v>495</v>
      </c>
      <c r="R118" s="96" t="s">
        <v>495</v>
      </c>
      <c r="S118" s="96" t="s">
        <v>495</v>
      </c>
    </row>
    <row r="119" spans="1:19" s="111" customFormat="1" ht="60">
      <c r="A119" s="95">
        <f t="shared" si="9"/>
        <v>112</v>
      </c>
      <c r="B119" s="166" t="s">
        <v>443</v>
      </c>
      <c r="C119" s="167">
        <v>2017</v>
      </c>
      <c r="D119" s="166" t="s">
        <v>444</v>
      </c>
      <c r="E119" s="88" t="s">
        <v>27</v>
      </c>
      <c r="F119" s="93" t="s">
        <v>448</v>
      </c>
      <c r="G119" s="96" t="s">
        <v>495</v>
      </c>
      <c r="H119" s="94">
        <v>0</v>
      </c>
      <c r="I119" s="94">
        <v>0</v>
      </c>
      <c r="J119" s="94">
        <v>0</v>
      </c>
      <c r="K119" s="99">
        <v>0</v>
      </c>
      <c r="L119" s="99">
        <f t="shared" si="7"/>
        <v>0</v>
      </c>
      <c r="M119" s="168">
        <v>6400000</v>
      </c>
      <c r="N119" s="99">
        <v>6400100</v>
      </c>
      <c r="O119" s="101">
        <f t="shared" si="8"/>
        <v>0</v>
      </c>
      <c r="P119" s="96" t="s">
        <v>495</v>
      </c>
      <c r="Q119" s="96" t="s">
        <v>495</v>
      </c>
      <c r="R119" s="96" t="s">
        <v>495</v>
      </c>
      <c r="S119" s="96" t="s">
        <v>495</v>
      </c>
    </row>
    <row r="120" spans="1:19" s="111" customFormat="1" ht="90">
      <c r="A120" s="95">
        <f t="shared" si="9"/>
        <v>113</v>
      </c>
      <c r="B120" s="166" t="s">
        <v>443</v>
      </c>
      <c r="C120" s="167">
        <v>2017</v>
      </c>
      <c r="D120" s="166" t="s">
        <v>444</v>
      </c>
      <c r="E120" s="88" t="s">
        <v>27</v>
      </c>
      <c r="F120" s="93" t="s">
        <v>449</v>
      </c>
      <c r="G120" s="96" t="s">
        <v>495</v>
      </c>
      <c r="H120" s="94">
        <v>0</v>
      </c>
      <c r="I120" s="94">
        <v>0</v>
      </c>
      <c r="J120" s="94">
        <v>0</v>
      </c>
      <c r="K120" s="99">
        <v>0</v>
      </c>
      <c r="L120" s="99">
        <f t="shared" si="7"/>
        <v>0</v>
      </c>
      <c r="M120" s="168">
        <v>812500</v>
      </c>
      <c r="N120" s="99">
        <v>812500</v>
      </c>
      <c r="O120" s="101">
        <f t="shared" si="8"/>
        <v>0</v>
      </c>
      <c r="P120" s="96" t="s">
        <v>495</v>
      </c>
      <c r="Q120" s="96" t="s">
        <v>495</v>
      </c>
      <c r="R120" s="96" t="s">
        <v>495</v>
      </c>
      <c r="S120" s="96" t="s">
        <v>495</v>
      </c>
    </row>
    <row r="121" spans="1:19" s="111" customFormat="1" ht="60">
      <c r="A121" s="95">
        <f t="shared" si="9"/>
        <v>114</v>
      </c>
      <c r="B121" s="166" t="s">
        <v>443</v>
      </c>
      <c r="C121" s="167">
        <v>2017</v>
      </c>
      <c r="D121" s="166" t="s">
        <v>444</v>
      </c>
      <c r="E121" s="88" t="s">
        <v>27</v>
      </c>
      <c r="F121" s="93" t="s">
        <v>450</v>
      </c>
      <c r="G121" s="96" t="s">
        <v>495</v>
      </c>
      <c r="H121" s="94">
        <v>0</v>
      </c>
      <c r="I121" s="94">
        <v>0</v>
      </c>
      <c r="J121" s="94">
        <v>0</v>
      </c>
      <c r="K121" s="99">
        <v>0</v>
      </c>
      <c r="L121" s="99">
        <f t="shared" si="7"/>
        <v>0</v>
      </c>
      <c r="M121" s="168">
        <v>975000</v>
      </c>
      <c r="N121" s="99">
        <v>975000</v>
      </c>
      <c r="O121" s="101">
        <f t="shared" si="8"/>
        <v>0</v>
      </c>
      <c r="P121" s="96" t="s">
        <v>495</v>
      </c>
      <c r="Q121" s="96" t="s">
        <v>495</v>
      </c>
      <c r="R121" s="96" t="s">
        <v>495</v>
      </c>
      <c r="S121" s="96" t="s">
        <v>495</v>
      </c>
    </row>
    <row r="122" spans="1:19" s="111" customFormat="1" ht="60">
      <c r="A122" s="95">
        <f t="shared" si="9"/>
        <v>115</v>
      </c>
      <c r="B122" s="166" t="s">
        <v>443</v>
      </c>
      <c r="C122" s="167">
        <v>2017</v>
      </c>
      <c r="D122" s="166" t="s">
        <v>444</v>
      </c>
      <c r="E122" s="88" t="s">
        <v>27</v>
      </c>
      <c r="F122" s="93" t="s">
        <v>451</v>
      </c>
      <c r="G122" s="96" t="s">
        <v>495</v>
      </c>
      <c r="H122" s="94">
        <v>0</v>
      </c>
      <c r="I122" s="94">
        <v>0</v>
      </c>
      <c r="J122" s="94">
        <v>0</v>
      </c>
      <c r="K122" s="99">
        <v>0</v>
      </c>
      <c r="L122" s="99">
        <f t="shared" si="7"/>
        <v>0</v>
      </c>
      <c r="M122" s="168">
        <v>1500000</v>
      </c>
      <c r="N122" s="99">
        <v>1500000</v>
      </c>
      <c r="O122" s="101">
        <f t="shared" si="8"/>
        <v>0</v>
      </c>
      <c r="P122" s="96" t="s">
        <v>495</v>
      </c>
      <c r="Q122" s="96" t="s">
        <v>495</v>
      </c>
      <c r="R122" s="96" t="s">
        <v>495</v>
      </c>
      <c r="S122" s="96" t="s">
        <v>495</v>
      </c>
    </row>
    <row r="123" spans="1:19" s="111" customFormat="1" ht="75">
      <c r="A123" s="95">
        <f t="shared" si="9"/>
        <v>116</v>
      </c>
      <c r="B123" s="95" t="s">
        <v>37</v>
      </c>
      <c r="C123" s="95">
        <v>2016</v>
      </c>
      <c r="D123" s="96" t="s">
        <v>21</v>
      </c>
      <c r="E123" s="95" t="s">
        <v>9</v>
      </c>
      <c r="F123" s="97" t="s">
        <v>148</v>
      </c>
      <c r="G123" s="96"/>
      <c r="H123" s="98"/>
      <c r="I123" s="98"/>
      <c r="J123" s="99" t="s">
        <v>149</v>
      </c>
      <c r="K123" s="99">
        <v>3131</v>
      </c>
      <c r="L123" s="99">
        <f t="shared" si="7"/>
        <v>3131</v>
      </c>
      <c r="M123" s="100"/>
      <c r="N123" s="99">
        <v>0</v>
      </c>
      <c r="O123" s="101" t="str">
        <f t="shared" si="8"/>
        <v/>
      </c>
      <c r="P123" s="96" t="s">
        <v>150</v>
      </c>
      <c r="Q123" s="96" t="s">
        <v>53</v>
      </c>
      <c r="R123" s="96" t="s">
        <v>151</v>
      </c>
      <c r="S123" s="96" t="s">
        <v>63</v>
      </c>
    </row>
    <row r="124" spans="1:19" s="111" customFormat="1" ht="105">
      <c r="A124" s="95">
        <f t="shared" si="9"/>
        <v>117</v>
      </c>
      <c r="B124" s="95" t="s">
        <v>38</v>
      </c>
      <c r="C124" s="95">
        <v>2016</v>
      </c>
      <c r="D124" s="96" t="s">
        <v>45</v>
      </c>
      <c r="E124" s="95" t="s">
        <v>9</v>
      </c>
      <c r="F124" s="97" t="s">
        <v>152</v>
      </c>
      <c r="G124" s="96"/>
      <c r="H124" s="98"/>
      <c r="I124" s="98"/>
      <c r="J124" s="99">
        <v>7042.7000000000007</v>
      </c>
      <c r="K124" s="99">
        <v>7042.7000000000007</v>
      </c>
      <c r="L124" s="99">
        <f t="shared" si="7"/>
        <v>7042.7000000000007</v>
      </c>
      <c r="M124" s="100">
        <v>100000</v>
      </c>
      <c r="N124" s="99">
        <v>100000</v>
      </c>
      <c r="O124" s="101">
        <f t="shared" si="8"/>
        <v>7.0427000000000003E-2</v>
      </c>
      <c r="P124" s="96" t="s">
        <v>153</v>
      </c>
      <c r="Q124" s="96" t="s">
        <v>251</v>
      </c>
      <c r="R124" s="96" t="s">
        <v>233</v>
      </c>
      <c r="S124" s="96"/>
    </row>
    <row r="125" spans="1:19" s="111" customFormat="1" ht="90">
      <c r="A125" s="95">
        <f t="shared" si="9"/>
        <v>118</v>
      </c>
      <c r="B125" s="95" t="s">
        <v>38</v>
      </c>
      <c r="C125" s="95">
        <v>2016</v>
      </c>
      <c r="D125" s="96" t="s">
        <v>21</v>
      </c>
      <c r="E125" s="95" t="s">
        <v>9</v>
      </c>
      <c r="F125" s="97" t="s">
        <v>384</v>
      </c>
      <c r="G125" s="96"/>
      <c r="H125" s="98"/>
      <c r="I125" s="98"/>
      <c r="J125" s="99"/>
      <c r="K125" s="99">
        <v>988462.51</v>
      </c>
      <c r="L125" s="99">
        <f t="shared" si="7"/>
        <v>988462.51</v>
      </c>
      <c r="M125" s="100"/>
      <c r="N125" s="99">
        <v>0</v>
      </c>
      <c r="O125" s="101" t="str">
        <f t="shared" si="8"/>
        <v/>
      </c>
      <c r="P125" s="96" t="s">
        <v>154</v>
      </c>
      <c r="Q125" s="96" t="s">
        <v>53</v>
      </c>
      <c r="R125" s="96" t="s">
        <v>553</v>
      </c>
      <c r="S125" s="96" t="s">
        <v>247</v>
      </c>
    </row>
    <row r="126" spans="1:19" s="111" customFormat="1" ht="75">
      <c r="A126" s="95">
        <f t="shared" si="9"/>
        <v>119</v>
      </c>
      <c r="B126" s="95" t="s">
        <v>38</v>
      </c>
      <c r="C126" s="95">
        <v>2016</v>
      </c>
      <c r="D126" s="96" t="s">
        <v>21</v>
      </c>
      <c r="E126" s="95" t="s">
        <v>9</v>
      </c>
      <c r="F126" s="97" t="s">
        <v>232</v>
      </c>
      <c r="G126" s="96" t="s">
        <v>292</v>
      </c>
      <c r="H126" s="98"/>
      <c r="I126" s="98"/>
      <c r="J126" s="99"/>
      <c r="K126" s="99">
        <v>701509.42000000214</v>
      </c>
      <c r="L126" s="99">
        <f t="shared" si="7"/>
        <v>701509.42000000214</v>
      </c>
      <c r="M126" s="100"/>
      <c r="N126" s="99">
        <v>0</v>
      </c>
      <c r="O126" s="101" t="str">
        <f t="shared" si="8"/>
        <v/>
      </c>
      <c r="P126" s="96" t="s">
        <v>234</v>
      </c>
      <c r="Q126" s="96" t="s">
        <v>53</v>
      </c>
      <c r="R126" s="96" t="s">
        <v>235</v>
      </c>
      <c r="S126" s="96" t="s">
        <v>248</v>
      </c>
    </row>
    <row r="127" spans="1:19" s="111" customFormat="1" ht="45">
      <c r="A127" s="95">
        <f t="shared" si="9"/>
        <v>120</v>
      </c>
      <c r="B127" s="95" t="s">
        <v>38</v>
      </c>
      <c r="C127" s="95">
        <v>2016</v>
      </c>
      <c r="D127" s="96" t="s">
        <v>396</v>
      </c>
      <c r="E127" s="95" t="s">
        <v>9</v>
      </c>
      <c r="F127" s="97" t="s">
        <v>452</v>
      </c>
      <c r="G127" s="96"/>
      <c r="H127" s="98"/>
      <c r="I127" s="98">
        <v>5359</v>
      </c>
      <c r="J127" s="99">
        <v>2292069</v>
      </c>
      <c r="K127" s="99">
        <v>2292069</v>
      </c>
      <c r="L127" s="99">
        <f t="shared" si="7"/>
        <v>2297428</v>
      </c>
      <c r="M127" s="100">
        <v>6000000</v>
      </c>
      <c r="N127" s="99">
        <v>6000000</v>
      </c>
      <c r="O127" s="101">
        <f t="shared" si="8"/>
        <v>0.38290466666666667</v>
      </c>
      <c r="P127" s="96" t="s">
        <v>501</v>
      </c>
      <c r="Q127" s="96" t="s">
        <v>502</v>
      </c>
      <c r="R127" s="96"/>
      <c r="S127" s="96"/>
    </row>
    <row r="128" spans="1:19" s="111" customFormat="1">
      <c r="A128" s="95">
        <f t="shared" si="9"/>
        <v>121</v>
      </c>
      <c r="B128" s="95" t="s">
        <v>38</v>
      </c>
      <c r="C128" s="95">
        <v>2016</v>
      </c>
      <c r="D128" s="96" t="s">
        <v>385</v>
      </c>
      <c r="E128" s="95" t="s">
        <v>9</v>
      </c>
      <c r="F128" s="97" t="s">
        <v>567</v>
      </c>
      <c r="G128" s="96"/>
      <c r="H128" s="98"/>
      <c r="I128" s="98"/>
      <c r="J128" s="99"/>
      <c r="K128" s="99">
        <v>8463.5</v>
      </c>
      <c r="L128" s="99">
        <f t="shared" si="7"/>
        <v>8463.5</v>
      </c>
      <c r="M128" s="100"/>
      <c r="N128" s="99">
        <v>0</v>
      </c>
      <c r="O128" s="101" t="str">
        <f t="shared" si="8"/>
        <v/>
      </c>
      <c r="P128" s="96"/>
      <c r="Q128" s="96"/>
      <c r="R128" s="96"/>
      <c r="S128" s="96"/>
    </row>
    <row r="129" spans="1:19" s="111" customFormat="1">
      <c r="A129" s="95">
        <f t="shared" si="9"/>
        <v>122</v>
      </c>
      <c r="B129" s="95" t="s">
        <v>38</v>
      </c>
      <c r="C129" s="95">
        <v>2016</v>
      </c>
      <c r="D129" s="96" t="s">
        <v>385</v>
      </c>
      <c r="E129" s="95" t="s">
        <v>9</v>
      </c>
      <c r="F129" s="97" t="s">
        <v>554</v>
      </c>
      <c r="G129" s="96"/>
      <c r="H129" s="98"/>
      <c r="I129" s="98"/>
      <c r="J129" s="99"/>
      <c r="K129" s="99">
        <v>792870.40999999992</v>
      </c>
      <c r="L129" s="99">
        <f t="shared" si="7"/>
        <v>792870.40999999992</v>
      </c>
      <c r="M129" s="100"/>
      <c r="N129" s="99">
        <v>0</v>
      </c>
      <c r="O129" s="101" t="str">
        <f t="shared" si="8"/>
        <v/>
      </c>
      <c r="P129" s="96"/>
      <c r="Q129" s="96"/>
      <c r="R129" s="96"/>
      <c r="S129" s="96"/>
    </row>
    <row r="130" spans="1:19" s="111" customFormat="1">
      <c r="A130" s="95">
        <f t="shared" si="9"/>
        <v>123</v>
      </c>
      <c r="B130" s="95" t="s">
        <v>38</v>
      </c>
      <c r="C130" s="95">
        <v>2016</v>
      </c>
      <c r="D130" s="96" t="s">
        <v>385</v>
      </c>
      <c r="E130" s="95" t="s">
        <v>9</v>
      </c>
      <c r="F130" s="97" t="s">
        <v>453</v>
      </c>
      <c r="G130" s="96"/>
      <c r="H130" s="98"/>
      <c r="I130" s="98"/>
      <c r="J130" s="99"/>
      <c r="K130" s="99">
        <v>2487746.83</v>
      </c>
      <c r="L130" s="99">
        <f t="shared" si="7"/>
        <v>2487746.83</v>
      </c>
      <c r="M130" s="100"/>
      <c r="N130" s="99">
        <v>0</v>
      </c>
      <c r="O130" s="101" t="str">
        <f t="shared" si="8"/>
        <v/>
      </c>
      <c r="P130" s="96"/>
      <c r="Q130" s="96"/>
      <c r="R130" s="96"/>
      <c r="S130" s="96"/>
    </row>
    <row r="131" spans="1:19" s="111" customFormat="1">
      <c r="A131" s="95">
        <f t="shared" si="9"/>
        <v>124</v>
      </c>
      <c r="B131" s="95" t="s">
        <v>38</v>
      </c>
      <c r="C131" s="95">
        <v>2016</v>
      </c>
      <c r="D131" s="96" t="s">
        <v>385</v>
      </c>
      <c r="E131" s="95" t="s">
        <v>9</v>
      </c>
      <c r="F131" s="97" t="s">
        <v>555</v>
      </c>
      <c r="G131" s="96"/>
      <c r="H131" s="98"/>
      <c r="I131" s="98"/>
      <c r="J131" s="99"/>
      <c r="K131" s="99">
        <v>755148.73</v>
      </c>
      <c r="L131" s="99">
        <f t="shared" si="7"/>
        <v>755148.73</v>
      </c>
      <c r="M131" s="100"/>
      <c r="N131" s="99">
        <v>0</v>
      </c>
      <c r="O131" s="101" t="str">
        <f t="shared" si="8"/>
        <v/>
      </c>
      <c r="P131" s="96"/>
      <c r="Q131" s="96"/>
      <c r="R131" s="96"/>
      <c r="S131" s="96"/>
    </row>
    <row r="132" spans="1:19" s="111" customFormat="1">
      <c r="A132" s="95">
        <f t="shared" si="9"/>
        <v>125</v>
      </c>
      <c r="B132" s="95" t="s">
        <v>38</v>
      </c>
      <c r="C132" s="95">
        <v>2016</v>
      </c>
      <c r="D132" s="96" t="s">
        <v>385</v>
      </c>
      <c r="E132" s="95" t="s">
        <v>9</v>
      </c>
      <c r="F132" s="97" t="s">
        <v>503</v>
      </c>
      <c r="G132" s="96"/>
      <c r="H132" s="98"/>
      <c r="I132" s="98"/>
      <c r="J132" s="99"/>
      <c r="K132" s="99">
        <v>694095.99</v>
      </c>
      <c r="L132" s="99">
        <f t="shared" si="7"/>
        <v>694095.99</v>
      </c>
      <c r="M132" s="100"/>
      <c r="N132" s="99">
        <v>0</v>
      </c>
      <c r="O132" s="101" t="str">
        <f t="shared" si="8"/>
        <v/>
      </c>
      <c r="P132" s="96"/>
      <c r="Q132" s="96"/>
      <c r="R132" s="96"/>
      <c r="S132" s="96"/>
    </row>
    <row r="133" spans="1:19" s="111" customFormat="1" ht="30">
      <c r="A133" s="95">
        <f t="shared" si="9"/>
        <v>126</v>
      </c>
      <c r="B133" s="95" t="s">
        <v>38</v>
      </c>
      <c r="C133" s="95">
        <v>2016</v>
      </c>
      <c r="D133" s="96" t="s">
        <v>385</v>
      </c>
      <c r="E133" s="95" t="s">
        <v>9</v>
      </c>
      <c r="F133" s="97" t="s">
        <v>386</v>
      </c>
      <c r="G133" s="96"/>
      <c r="H133" s="98"/>
      <c r="I133" s="98"/>
      <c r="J133" s="99"/>
      <c r="K133" s="99">
        <v>3049302.81</v>
      </c>
      <c r="L133" s="99">
        <f t="shared" si="7"/>
        <v>3049302.81</v>
      </c>
      <c r="M133" s="100"/>
      <c r="N133" s="99">
        <v>0</v>
      </c>
      <c r="O133" s="101" t="str">
        <f t="shared" si="8"/>
        <v/>
      </c>
      <c r="P133" s="96"/>
      <c r="Q133" s="96"/>
      <c r="R133" s="96"/>
      <c r="S133" s="96"/>
    </row>
    <row r="134" spans="1:19" s="111" customFormat="1">
      <c r="A134" s="95">
        <f t="shared" si="9"/>
        <v>127</v>
      </c>
      <c r="B134" s="95" t="s">
        <v>38</v>
      </c>
      <c r="C134" s="95">
        <v>2016</v>
      </c>
      <c r="D134" s="96" t="s">
        <v>385</v>
      </c>
      <c r="E134" s="95" t="s">
        <v>9</v>
      </c>
      <c r="F134" s="97" t="s">
        <v>556</v>
      </c>
      <c r="G134" s="96"/>
      <c r="H134" s="98"/>
      <c r="I134" s="98"/>
      <c r="J134" s="99"/>
      <c r="K134" s="99">
        <v>23584.38</v>
      </c>
      <c r="L134" s="99">
        <f t="shared" si="7"/>
        <v>23584.38</v>
      </c>
      <c r="M134" s="100"/>
      <c r="N134" s="99">
        <v>0</v>
      </c>
      <c r="O134" s="101" t="str">
        <f t="shared" si="8"/>
        <v/>
      </c>
      <c r="P134" s="96"/>
      <c r="Q134" s="96"/>
      <c r="R134" s="96"/>
      <c r="S134" s="96"/>
    </row>
    <row r="135" spans="1:19" s="111" customFormat="1" ht="60">
      <c r="A135" s="95">
        <f t="shared" si="9"/>
        <v>128</v>
      </c>
      <c r="B135" s="95" t="s">
        <v>155</v>
      </c>
      <c r="C135" s="95">
        <v>2016</v>
      </c>
      <c r="D135" s="96" t="s">
        <v>21</v>
      </c>
      <c r="E135" s="96" t="s">
        <v>187</v>
      </c>
      <c r="F135" s="97" t="s">
        <v>156</v>
      </c>
      <c r="G135" s="93"/>
      <c r="H135" s="98"/>
      <c r="I135" s="98"/>
      <c r="J135" s="99">
        <v>127543.56</v>
      </c>
      <c r="K135" s="99">
        <v>127543.56</v>
      </c>
      <c r="L135" s="99">
        <f t="shared" ref="L135:L166" si="10">+K135+I135+H135</f>
        <v>127543.56</v>
      </c>
      <c r="M135" s="100"/>
      <c r="N135" s="99">
        <v>0</v>
      </c>
      <c r="O135" s="101" t="str">
        <f t="shared" ref="O135:O166" si="11">IF(N135=0,"",(K135+H135+I135)/N135)</f>
        <v/>
      </c>
      <c r="P135" s="96" t="s">
        <v>241</v>
      </c>
      <c r="Q135" s="96" t="s">
        <v>241</v>
      </c>
      <c r="R135" s="96" t="s">
        <v>242</v>
      </c>
      <c r="S135" s="96" t="s">
        <v>242</v>
      </c>
    </row>
    <row r="136" spans="1:19" s="111" customFormat="1" ht="409.5">
      <c r="A136" s="95">
        <f t="shared" si="9"/>
        <v>129</v>
      </c>
      <c r="B136" s="95" t="s">
        <v>155</v>
      </c>
      <c r="C136" s="95">
        <v>2016</v>
      </c>
      <c r="D136" s="169" t="s">
        <v>21</v>
      </c>
      <c r="E136" s="96" t="s">
        <v>187</v>
      </c>
      <c r="F136" s="97" t="s">
        <v>238</v>
      </c>
      <c r="G136" s="162" t="s">
        <v>354</v>
      </c>
      <c r="H136" s="98">
        <f>7500000-3372241</f>
        <v>4127759</v>
      </c>
      <c r="I136" s="100"/>
      <c r="J136" s="99"/>
      <c r="K136" s="99">
        <v>3372241.03</v>
      </c>
      <c r="L136" s="99">
        <f t="shared" si="10"/>
        <v>7500000.0299999993</v>
      </c>
      <c r="M136" s="100"/>
      <c r="N136" s="99">
        <v>0</v>
      </c>
      <c r="O136" s="101" t="str">
        <f t="shared" si="11"/>
        <v/>
      </c>
      <c r="P136" s="96" t="s">
        <v>157</v>
      </c>
      <c r="Q136" s="96" t="s">
        <v>240</v>
      </c>
      <c r="R136" s="162" t="s">
        <v>570</v>
      </c>
      <c r="S136" s="96" t="s">
        <v>293</v>
      </c>
    </row>
    <row r="137" spans="1:19" s="111" customFormat="1" ht="30">
      <c r="A137" s="95">
        <f t="shared" si="9"/>
        <v>130</v>
      </c>
      <c r="B137" s="95" t="s">
        <v>294</v>
      </c>
      <c r="C137" s="95">
        <v>2016</v>
      </c>
      <c r="D137" s="169" t="s">
        <v>21</v>
      </c>
      <c r="E137" s="96" t="s">
        <v>187</v>
      </c>
      <c r="F137" s="97" t="s">
        <v>295</v>
      </c>
      <c r="G137" s="162"/>
      <c r="H137" s="98"/>
      <c r="I137" s="100"/>
      <c r="J137" s="99">
        <v>5500000</v>
      </c>
      <c r="K137" s="99">
        <v>5500000</v>
      </c>
      <c r="L137" s="99">
        <f t="shared" si="10"/>
        <v>5500000</v>
      </c>
      <c r="M137" s="100"/>
      <c r="N137" s="99">
        <v>0</v>
      </c>
      <c r="O137" s="101" t="str">
        <f t="shared" si="11"/>
        <v/>
      </c>
      <c r="P137" s="96" t="s">
        <v>296</v>
      </c>
      <c r="Q137" s="96" t="s">
        <v>297</v>
      </c>
      <c r="R137" s="96"/>
      <c r="S137" s="96" t="s">
        <v>298</v>
      </c>
    </row>
    <row r="138" spans="1:19" s="111" customFormat="1" ht="105">
      <c r="A138" s="95">
        <f t="shared" si="9"/>
        <v>131</v>
      </c>
      <c r="B138" s="95" t="s">
        <v>185</v>
      </c>
      <c r="C138" s="95">
        <v>2016</v>
      </c>
      <c r="D138" s="169" t="s">
        <v>188</v>
      </c>
      <c r="E138" s="96" t="s">
        <v>187</v>
      </c>
      <c r="F138" s="97" t="s">
        <v>523</v>
      </c>
      <c r="G138" s="162" t="s">
        <v>299</v>
      </c>
      <c r="H138" s="98"/>
      <c r="I138" s="100"/>
      <c r="J138" s="99"/>
      <c r="K138" s="99">
        <v>70000</v>
      </c>
      <c r="L138" s="99">
        <f t="shared" si="10"/>
        <v>70000</v>
      </c>
      <c r="M138" s="100"/>
      <c r="N138" s="99">
        <v>0</v>
      </c>
      <c r="O138" s="101" t="str">
        <f t="shared" si="11"/>
        <v/>
      </c>
      <c r="P138" s="96" t="s">
        <v>524</v>
      </c>
      <c r="Q138" s="96" t="s">
        <v>239</v>
      </c>
      <c r="R138" s="96" t="s">
        <v>257</v>
      </c>
      <c r="S138" s="96"/>
    </row>
    <row r="139" spans="1:19" s="111" customFormat="1" ht="75">
      <c r="A139" s="95">
        <f t="shared" si="9"/>
        <v>132</v>
      </c>
      <c r="B139" s="95" t="s">
        <v>294</v>
      </c>
      <c r="C139" s="95">
        <v>2016</v>
      </c>
      <c r="D139" s="169" t="s">
        <v>188</v>
      </c>
      <c r="E139" s="96" t="s">
        <v>187</v>
      </c>
      <c r="F139" s="97" t="s">
        <v>345</v>
      </c>
      <c r="G139" s="97" t="s">
        <v>346</v>
      </c>
      <c r="H139" s="98"/>
      <c r="I139" s="100">
        <v>1500000</v>
      </c>
      <c r="J139" s="99"/>
      <c r="K139" s="99">
        <v>2750000</v>
      </c>
      <c r="L139" s="99">
        <f t="shared" si="10"/>
        <v>4250000</v>
      </c>
      <c r="M139" s="100"/>
      <c r="N139" s="99">
        <v>0</v>
      </c>
      <c r="O139" s="101" t="str">
        <f t="shared" si="11"/>
        <v/>
      </c>
      <c r="P139" s="96" t="s">
        <v>347</v>
      </c>
      <c r="Q139" s="96" t="s">
        <v>348</v>
      </c>
      <c r="R139" s="96"/>
      <c r="S139" s="96" t="s">
        <v>571</v>
      </c>
    </row>
    <row r="140" spans="1:19" s="111" customFormat="1" ht="90">
      <c r="A140" s="95">
        <f t="shared" si="9"/>
        <v>133</v>
      </c>
      <c r="B140" s="96" t="s">
        <v>186</v>
      </c>
      <c r="C140" s="96">
        <v>2016</v>
      </c>
      <c r="D140" s="96" t="s">
        <v>188</v>
      </c>
      <c r="E140" s="96" t="s">
        <v>187</v>
      </c>
      <c r="F140" s="93" t="s">
        <v>300</v>
      </c>
      <c r="G140" s="96" t="s">
        <v>301</v>
      </c>
      <c r="H140" s="98">
        <v>25000</v>
      </c>
      <c r="I140" s="100"/>
      <c r="J140" s="99"/>
      <c r="K140" s="99">
        <v>25440</v>
      </c>
      <c r="L140" s="99">
        <f t="shared" si="10"/>
        <v>50440</v>
      </c>
      <c r="M140" s="100"/>
      <c r="N140" s="99">
        <v>0</v>
      </c>
      <c r="O140" s="101" t="str">
        <f t="shared" si="11"/>
        <v/>
      </c>
      <c r="P140" s="100" t="s">
        <v>302</v>
      </c>
      <c r="Q140" s="100" t="s">
        <v>303</v>
      </c>
      <c r="R140" s="100" t="s">
        <v>304</v>
      </c>
      <c r="S140" s="100" t="s">
        <v>305</v>
      </c>
    </row>
    <row r="141" spans="1:19" s="111" customFormat="1" ht="150">
      <c r="A141" s="95">
        <f t="shared" si="9"/>
        <v>134</v>
      </c>
      <c r="B141" s="96" t="s">
        <v>186</v>
      </c>
      <c r="C141" s="96">
        <v>2016</v>
      </c>
      <c r="D141" s="96" t="s">
        <v>188</v>
      </c>
      <c r="E141" s="96" t="s">
        <v>9</v>
      </c>
      <c r="F141" s="93" t="s">
        <v>306</v>
      </c>
      <c r="G141" s="96"/>
      <c r="H141" s="98"/>
      <c r="I141" s="100"/>
      <c r="J141" s="99"/>
      <c r="K141" s="99">
        <v>39415</v>
      </c>
      <c r="L141" s="99">
        <f t="shared" si="10"/>
        <v>39415</v>
      </c>
      <c r="M141" s="100"/>
      <c r="N141" s="99">
        <v>0</v>
      </c>
      <c r="O141" s="101" t="str">
        <f t="shared" si="11"/>
        <v/>
      </c>
      <c r="P141" s="100" t="s">
        <v>307</v>
      </c>
      <c r="Q141" s="100" t="s">
        <v>323</v>
      </c>
      <c r="R141" s="100" t="s">
        <v>308</v>
      </c>
      <c r="S141" s="100" t="s">
        <v>309</v>
      </c>
    </row>
    <row r="142" spans="1:19" s="111" customFormat="1" ht="90">
      <c r="A142" s="95">
        <f t="shared" si="9"/>
        <v>135</v>
      </c>
      <c r="B142" s="96" t="s">
        <v>186</v>
      </c>
      <c r="C142" s="96">
        <v>2016</v>
      </c>
      <c r="D142" s="96" t="s">
        <v>188</v>
      </c>
      <c r="E142" s="96" t="s">
        <v>187</v>
      </c>
      <c r="F142" s="93" t="s">
        <v>310</v>
      </c>
      <c r="G142" s="96"/>
      <c r="H142" s="98"/>
      <c r="I142" s="100"/>
      <c r="J142" s="99"/>
      <c r="K142" s="99">
        <v>7365</v>
      </c>
      <c r="L142" s="99">
        <f t="shared" si="10"/>
        <v>7365</v>
      </c>
      <c r="M142" s="100"/>
      <c r="N142" s="99">
        <v>0</v>
      </c>
      <c r="O142" s="101" t="str">
        <f t="shared" si="11"/>
        <v/>
      </c>
      <c r="P142" s="100" t="s">
        <v>365</v>
      </c>
      <c r="Q142" s="100" t="s">
        <v>366</v>
      </c>
      <c r="R142" s="100" t="s">
        <v>367</v>
      </c>
      <c r="S142" s="100" t="s">
        <v>352</v>
      </c>
    </row>
    <row r="143" spans="1:19" s="111" customFormat="1" ht="75">
      <c r="A143" s="95">
        <f t="shared" si="9"/>
        <v>136</v>
      </c>
      <c r="B143" s="96" t="s">
        <v>186</v>
      </c>
      <c r="C143" s="96">
        <v>2016</v>
      </c>
      <c r="D143" s="96" t="s">
        <v>188</v>
      </c>
      <c r="E143" s="96" t="s">
        <v>187</v>
      </c>
      <c r="F143" s="93" t="s">
        <v>349</v>
      </c>
      <c r="G143" s="96"/>
      <c r="H143" s="98"/>
      <c r="I143" s="100"/>
      <c r="J143" s="99"/>
      <c r="K143" s="99">
        <v>10570</v>
      </c>
      <c r="L143" s="99">
        <f t="shared" si="10"/>
        <v>10570</v>
      </c>
      <c r="M143" s="100"/>
      <c r="N143" s="99">
        <v>0</v>
      </c>
      <c r="O143" s="101" t="str">
        <f t="shared" si="11"/>
        <v/>
      </c>
      <c r="P143" s="100" t="s">
        <v>350</v>
      </c>
      <c r="Q143" s="100" t="s">
        <v>351</v>
      </c>
      <c r="R143" s="100"/>
      <c r="S143" s="100" t="s">
        <v>352</v>
      </c>
    </row>
    <row r="144" spans="1:19" s="111" customFormat="1" ht="75">
      <c r="A144" s="95">
        <f t="shared" si="9"/>
        <v>137</v>
      </c>
      <c r="B144" s="96" t="s">
        <v>294</v>
      </c>
      <c r="C144" s="96">
        <v>2016</v>
      </c>
      <c r="D144" s="96" t="s">
        <v>188</v>
      </c>
      <c r="E144" s="96" t="s">
        <v>187</v>
      </c>
      <c r="F144" s="93" t="s">
        <v>360</v>
      </c>
      <c r="G144" s="96" t="s">
        <v>299</v>
      </c>
      <c r="H144" s="98"/>
      <c r="I144" s="100">
        <v>100000</v>
      </c>
      <c r="J144" s="99"/>
      <c r="K144" s="99">
        <v>0</v>
      </c>
      <c r="L144" s="99">
        <f t="shared" si="10"/>
        <v>100000</v>
      </c>
      <c r="M144" s="100"/>
      <c r="N144" s="99">
        <v>0</v>
      </c>
      <c r="O144" s="101" t="str">
        <f t="shared" si="11"/>
        <v/>
      </c>
      <c r="P144" s="96" t="s">
        <v>361</v>
      </c>
      <c r="Q144" s="100"/>
      <c r="R144" s="100"/>
      <c r="S144" s="96" t="s">
        <v>298</v>
      </c>
    </row>
    <row r="145" spans="1:19" s="111" customFormat="1" ht="90">
      <c r="A145" s="95">
        <f t="shared" si="9"/>
        <v>138</v>
      </c>
      <c r="B145" s="96" t="s">
        <v>186</v>
      </c>
      <c r="C145" s="96">
        <v>2016</v>
      </c>
      <c r="D145" s="96" t="s">
        <v>188</v>
      </c>
      <c r="E145" s="96" t="s">
        <v>187</v>
      </c>
      <c r="F145" s="93" t="s">
        <v>478</v>
      </c>
      <c r="G145" s="96"/>
      <c r="H145" s="98"/>
      <c r="I145" s="100"/>
      <c r="J145" s="99"/>
      <c r="K145" s="99">
        <v>1161</v>
      </c>
      <c r="L145" s="99">
        <f t="shared" si="10"/>
        <v>1161</v>
      </c>
      <c r="M145" s="100"/>
      <c r="N145" s="99">
        <v>0</v>
      </c>
      <c r="O145" s="101" t="str">
        <f t="shared" si="11"/>
        <v/>
      </c>
      <c r="P145" s="96" t="s">
        <v>479</v>
      </c>
      <c r="Q145" s="100" t="s">
        <v>480</v>
      </c>
      <c r="R145" s="100" t="s">
        <v>481</v>
      </c>
      <c r="S145" s="100" t="s">
        <v>352</v>
      </c>
    </row>
    <row r="146" spans="1:19" s="111" customFormat="1" ht="150">
      <c r="A146" s="95">
        <f t="shared" si="9"/>
        <v>139</v>
      </c>
      <c r="B146" s="96" t="s">
        <v>186</v>
      </c>
      <c r="C146" s="96">
        <v>2016</v>
      </c>
      <c r="D146" s="96" t="s">
        <v>188</v>
      </c>
      <c r="E146" s="96" t="s">
        <v>30</v>
      </c>
      <c r="F146" s="93" t="s">
        <v>482</v>
      </c>
      <c r="G146" s="96"/>
      <c r="H146" s="98"/>
      <c r="I146" s="100"/>
      <c r="J146" s="99"/>
      <c r="K146" s="99">
        <v>249</v>
      </c>
      <c r="L146" s="99">
        <f t="shared" si="10"/>
        <v>249</v>
      </c>
      <c r="M146" s="100"/>
      <c r="N146" s="99">
        <v>0</v>
      </c>
      <c r="O146" s="101" t="str">
        <f t="shared" si="11"/>
        <v/>
      </c>
      <c r="P146" s="96" t="s">
        <v>483</v>
      </c>
      <c r="Q146" s="100" t="s">
        <v>484</v>
      </c>
      <c r="R146" s="100"/>
      <c r="S146" s="96" t="s">
        <v>352</v>
      </c>
    </row>
    <row r="147" spans="1:19" s="111" customFormat="1" ht="330">
      <c r="A147" s="95">
        <f t="shared" si="9"/>
        <v>140</v>
      </c>
      <c r="B147" s="95" t="s">
        <v>39</v>
      </c>
      <c r="C147" s="95">
        <v>2016</v>
      </c>
      <c r="D147" s="96" t="s">
        <v>21</v>
      </c>
      <c r="E147" s="96" t="s">
        <v>9</v>
      </c>
      <c r="F147" s="97" t="s">
        <v>311</v>
      </c>
      <c r="G147" s="96" t="s">
        <v>312</v>
      </c>
      <c r="H147" s="153"/>
      <c r="I147" s="153">
        <v>0</v>
      </c>
      <c r="J147" s="170"/>
      <c r="K147" s="99">
        <v>3049302.81</v>
      </c>
      <c r="L147" s="99">
        <f t="shared" si="10"/>
        <v>3049302.81</v>
      </c>
      <c r="M147" s="99"/>
      <c r="N147" s="99">
        <v>0</v>
      </c>
      <c r="O147" s="101" t="str">
        <f t="shared" si="11"/>
        <v/>
      </c>
      <c r="P147" s="96" t="s">
        <v>313</v>
      </c>
      <c r="Q147" s="96" t="s">
        <v>158</v>
      </c>
      <c r="R147" s="96" t="s">
        <v>159</v>
      </c>
      <c r="S147" s="96" t="s">
        <v>160</v>
      </c>
    </row>
    <row r="148" spans="1:19" s="111" customFormat="1" ht="30">
      <c r="A148" s="95">
        <f t="shared" si="9"/>
        <v>141</v>
      </c>
      <c r="B148" s="95" t="s">
        <v>39</v>
      </c>
      <c r="C148" s="95">
        <v>2016</v>
      </c>
      <c r="D148" s="96" t="s">
        <v>396</v>
      </c>
      <c r="E148" s="96" t="s">
        <v>9</v>
      </c>
      <c r="F148" s="97" t="s">
        <v>574</v>
      </c>
      <c r="G148" s="96"/>
      <c r="H148" s="153"/>
      <c r="I148" s="153"/>
      <c r="J148" s="170"/>
      <c r="K148" s="99">
        <v>0</v>
      </c>
      <c r="L148" s="99">
        <f t="shared" si="10"/>
        <v>0</v>
      </c>
      <c r="M148" s="99">
        <v>18900000</v>
      </c>
      <c r="N148" s="99">
        <v>18900000</v>
      </c>
      <c r="O148" s="101">
        <f t="shared" si="11"/>
        <v>0</v>
      </c>
      <c r="P148" s="96"/>
      <c r="Q148" s="96"/>
      <c r="R148" s="96"/>
      <c r="S148" s="96"/>
    </row>
    <row r="149" spans="1:19" s="111" customFormat="1">
      <c r="A149" s="95">
        <f t="shared" si="9"/>
        <v>142</v>
      </c>
      <c r="B149" s="95" t="s">
        <v>39</v>
      </c>
      <c r="C149" s="95">
        <v>2016</v>
      </c>
      <c r="D149" s="96" t="s">
        <v>385</v>
      </c>
      <c r="E149" s="96" t="s">
        <v>9</v>
      </c>
      <c r="F149" s="97" t="s">
        <v>387</v>
      </c>
      <c r="G149" s="96"/>
      <c r="H149" s="153"/>
      <c r="I149" s="153"/>
      <c r="J149" s="170"/>
      <c r="K149" s="99">
        <v>-3049302.81</v>
      </c>
      <c r="L149" s="99">
        <f t="shared" si="10"/>
        <v>-3049302.81</v>
      </c>
      <c r="M149" s="99"/>
      <c r="N149" s="99">
        <v>0</v>
      </c>
      <c r="O149" s="101" t="str">
        <f t="shared" si="11"/>
        <v/>
      </c>
      <c r="P149" s="96"/>
      <c r="Q149" s="96"/>
      <c r="R149" s="96"/>
      <c r="S149" s="96"/>
    </row>
    <row r="150" spans="1:19" s="111" customFormat="1" ht="165">
      <c r="A150" s="95">
        <f t="shared" si="9"/>
        <v>143</v>
      </c>
      <c r="B150" s="167" t="s">
        <v>40</v>
      </c>
      <c r="C150" s="167">
        <v>2016</v>
      </c>
      <c r="D150" s="166" t="s">
        <v>21</v>
      </c>
      <c r="E150" s="88" t="s">
        <v>9</v>
      </c>
      <c r="F150" s="171" t="s">
        <v>161</v>
      </c>
      <c r="G150" s="166" t="s">
        <v>454</v>
      </c>
      <c r="H150" s="172"/>
      <c r="I150" s="109">
        <v>0</v>
      </c>
      <c r="J150" s="94"/>
      <c r="K150" s="99">
        <v>694135.23</v>
      </c>
      <c r="L150" s="99">
        <f t="shared" si="10"/>
        <v>694135.23</v>
      </c>
      <c r="M150" s="168"/>
      <c r="N150" s="99">
        <v>0</v>
      </c>
      <c r="O150" s="101" t="str">
        <f t="shared" si="11"/>
        <v/>
      </c>
      <c r="P150" s="92" t="s">
        <v>314</v>
      </c>
      <c r="Q150" s="92" t="s">
        <v>315</v>
      </c>
      <c r="R150" s="173" t="s">
        <v>557</v>
      </c>
      <c r="S150" s="166" t="s">
        <v>316</v>
      </c>
    </row>
    <row r="151" spans="1:19" s="111" customFormat="1">
      <c r="A151" s="95">
        <f t="shared" si="9"/>
        <v>144</v>
      </c>
      <c r="B151" s="167" t="s">
        <v>40</v>
      </c>
      <c r="C151" s="167">
        <v>2016</v>
      </c>
      <c r="D151" s="166" t="s">
        <v>385</v>
      </c>
      <c r="E151" s="88" t="s">
        <v>9</v>
      </c>
      <c r="F151" s="171" t="s">
        <v>387</v>
      </c>
      <c r="G151" s="166"/>
      <c r="H151" s="172"/>
      <c r="I151" s="172"/>
      <c r="J151" s="94"/>
      <c r="K151" s="99">
        <v>-694095.99</v>
      </c>
      <c r="L151" s="99">
        <f t="shared" si="10"/>
        <v>-694095.99</v>
      </c>
      <c r="M151" s="168"/>
      <c r="N151" s="99">
        <v>0</v>
      </c>
      <c r="O151" s="101" t="str">
        <f t="shared" si="11"/>
        <v/>
      </c>
      <c r="P151" s="92"/>
      <c r="Q151" s="92"/>
      <c r="R151" s="173"/>
      <c r="S151" s="166"/>
    </row>
    <row r="152" spans="1:19" s="111" customFormat="1" ht="45">
      <c r="A152" s="95">
        <f t="shared" si="9"/>
        <v>145</v>
      </c>
      <c r="B152" s="95" t="s">
        <v>41</v>
      </c>
      <c r="C152" s="95">
        <v>2016</v>
      </c>
      <c r="D152" s="96" t="s">
        <v>21</v>
      </c>
      <c r="E152" s="95" t="s">
        <v>9</v>
      </c>
      <c r="F152" s="97" t="s">
        <v>162</v>
      </c>
      <c r="G152" s="96" t="s">
        <v>271</v>
      </c>
      <c r="H152" s="98"/>
      <c r="I152" s="98"/>
      <c r="J152" s="99"/>
      <c r="K152" s="99">
        <v>2000000</v>
      </c>
      <c r="L152" s="99">
        <f t="shared" si="10"/>
        <v>2000000</v>
      </c>
      <c r="M152" s="100"/>
      <c r="N152" s="99">
        <v>0</v>
      </c>
      <c r="O152" s="101" t="str">
        <f t="shared" si="11"/>
        <v/>
      </c>
      <c r="P152" s="96" t="s">
        <v>162</v>
      </c>
      <c r="Q152" s="96" t="s">
        <v>162</v>
      </c>
      <c r="R152" s="96"/>
      <c r="S152" s="96" t="s">
        <v>163</v>
      </c>
    </row>
    <row r="153" spans="1:19" s="111" customFormat="1" ht="60">
      <c r="A153" s="95">
        <f t="shared" si="9"/>
        <v>146</v>
      </c>
      <c r="B153" s="95" t="s">
        <v>41</v>
      </c>
      <c r="C153" s="95">
        <v>2016</v>
      </c>
      <c r="D153" s="96" t="s">
        <v>393</v>
      </c>
      <c r="E153" s="95" t="s">
        <v>9</v>
      </c>
      <c r="F153" s="97" t="s">
        <v>164</v>
      </c>
      <c r="G153" s="96" t="s">
        <v>317</v>
      </c>
      <c r="H153" s="98">
        <v>10000</v>
      </c>
      <c r="I153" s="98"/>
      <c r="J153" s="170"/>
      <c r="K153" s="99">
        <v>0</v>
      </c>
      <c r="L153" s="99">
        <f t="shared" si="10"/>
        <v>10000</v>
      </c>
      <c r="M153" s="100"/>
      <c r="N153" s="99">
        <v>0</v>
      </c>
      <c r="O153" s="101" t="str">
        <f t="shared" si="11"/>
        <v/>
      </c>
      <c r="P153" s="96" t="s">
        <v>249</v>
      </c>
      <c r="Q153" s="96" t="s">
        <v>165</v>
      </c>
      <c r="R153" s="95"/>
      <c r="S153" s="96" t="s">
        <v>455</v>
      </c>
    </row>
    <row r="154" spans="1:19" s="111" customFormat="1" ht="90">
      <c r="A154" s="95">
        <f t="shared" si="9"/>
        <v>147</v>
      </c>
      <c r="B154" s="95" t="s">
        <v>41</v>
      </c>
      <c r="C154" s="95">
        <v>2016</v>
      </c>
      <c r="D154" s="96" t="s">
        <v>49</v>
      </c>
      <c r="E154" s="96" t="s">
        <v>43</v>
      </c>
      <c r="F154" s="97" t="s">
        <v>456</v>
      </c>
      <c r="G154" s="96" t="s">
        <v>271</v>
      </c>
      <c r="H154" s="98"/>
      <c r="I154" s="98"/>
      <c r="J154" s="170">
        <v>30000000</v>
      </c>
      <c r="K154" s="99">
        <v>30000000</v>
      </c>
      <c r="L154" s="99">
        <f t="shared" si="10"/>
        <v>30000000</v>
      </c>
      <c r="M154" s="100">
        <v>30000000</v>
      </c>
      <c r="N154" s="99">
        <v>30000000</v>
      </c>
      <c r="O154" s="101">
        <f t="shared" si="11"/>
        <v>1</v>
      </c>
      <c r="P154" s="96" t="s">
        <v>250</v>
      </c>
      <c r="Q154" s="96" t="s">
        <v>166</v>
      </c>
      <c r="R154" s="95"/>
      <c r="S154" s="96" t="s">
        <v>457</v>
      </c>
    </row>
    <row r="155" spans="1:19" s="111" customFormat="1" ht="45">
      <c r="A155" s="95">
        <f t="shared" si="9"/>
        <v>148</v>
      </c>
      <c r="B155" s="95" t="s">
        <v>41</v>
      </c>
      <c r="C155" s="95">
        <v>2016</v>
      </c>
      <c r="D155" s="96" t="s">
        <v>396</v>
      </c>
      <c r="E155" s="96" t="s">
        <v>9</v>
      </c>
      <c r="F155" s="93" t="s">
        <v>458</v>
      </c>
      <c r="G155" s="96" t="s">
        <v>271</v>
      </c>
      <c r="H155" s="98"/>
      <c r="I155" s="98"/>
      <c r="J155" s="170">
        <v>51090.33</v>
      </c>
      <c r="K155" s="99">
        <v>51090.33</v>
      </c>
      <c r="L155" s="99">
        <f t="shared" si="10"/>
        <v>51090.33</v>
      </c>
      <c r="M155" s="100">
        <v>1380000</v>
      </c>
      <c r="N155" s="99">
        <v>1380000</v>
      </c>
      <c r="O155" s="101">
        <f t="shared" si="11"/>
        <v>3.7021978260869566E-2</v>
      </c>
      <c r="P155" s="96" t="s">
        <v>459</v>
      </c>
      <c r="Q155" s="96" t="s">
        <v>460</v>
      </c>
      <c r="R155" s="95"/>
      <c r="S155" s="96" t="s">
        <v>461</v>
      </c>
    </row>
    <row r="156" spans="1:19" s="111" customFormat="1" ht="60">
      <c r="A156" s="95">
        <f t="shared" si="9"/>
        <v>149</v>
      </c>
      <c r="B156" s="95" t="s">
        <v>41</v>
      </c>
      <c r="C156" s="95">
        <v>2016</v>
      </c>
      <c r="D156" s="96" t="s">
        <v>396</v>
      </c>
      <c r="E156" s="96" t="s">
        <v>43</v>
      </c>
      <c r="F156" s="97" t="s">
        <v>456</v>
      </c>
      <c r="G156" s="96" t="s">
        <v>271</v>
      </c>
      <c r="H156" s="98"/>
      <c r="I156" s="98"/>
      <c r="J156" s="170">
        <v>1080157</v>
      </c>
      <c r="K156" s="99">
        <v>1080157</v>
      </c>
      <c r="L156" s="99">
        <f t="shared" si="10"/>
        <v>1080157</v>
      </c>
      <c r="M156" s="100">
        <v>12750000</v>
      </c>
      <c r="N156" s="99">
        <v>12750000</v>
      </c>
      <c r="O156" s="101">
        <f t="shared" si="11"/>
        <v>8.4718196078431368E-2</v>
      </c>
      <c r="P156" s="96" t="s">
        <v>250</v>
      </c>
      <c r="Q156" s="96" t="s">
        <v>166</v>
      </c>
      <c r="R156" s="95"/>
      <c r="S156" s="96" t="s">
        <v>461</v>
      </c>
    </row>
    <row r="157" spans="1:19" s="111" customFormat="1" ht="75">
      <c r="A157" s="95">
        <f t="shared" si="9"/>
        <v>150</v>
      </c>
      <c r="B157" s="95" t="s">
        <v>41</v>
      </c>
      <c r="C157" s="95">
        <v>2016</v>
      </c>
      <c r="D157" s="96" t="s">
        <v>393</v>
      </c>
      <c r="E157" s="96" t="s">
        <v>9</v>
      </c>
      <c r="F157" s="97" t="s">
        <v>363</v>
      </c>
      <c r="G157" s="96" t="s">
        <v>364</v>
      </c>
      <c r="H157" s="98"/>
      <c r="I157" s="98"/>
      <c r="J157" s="170">
        <v>90794.95</v>
      </c>
      <c r="K157" s="99">
        <v>90794.95</v>
      </c>
      <c r="L157" s="99">
        <f t="shared" si="10"/>
        <v>90794.95</v>
      </c>
      <c r="M157" s="100"/>
      <c r="N157" s="99">
        <v>0</v>
      </c>
      <c r="O157" s="101" t="str">
        <f t="shared" si="11"/>
        <v/>
      </c>
      <c r="P157" s="96" t="s">
        <v>462</v>
      </c>
      <c r="Q157" s="96" t="s">
        <v>463</v>
      </c>
      <c r="R157" s="95"/>
      <c r="S157" s="96" t="s">
        <v>464</v>
      </c>
    </row>
    <row r="158" spans="1:19" s="111" customFormat="1" ht="75">
      <c r="A158" s="95">
        <f t="shared" si="9"/>
        <v>151</v>
      </c>
      <c r="B158" s="88" t="s">
        <v>41</v>
      </c>
      <c r="C158" s="88">
        <v>2016</v>
      </c>
      <c r="D158" s="92" t="s">
        <v>393</v>
      </c>
      <c r="E158" s="92" t="s">
        <v>9</v>
      </c>
      <c r="F158" s="108" t="s">
        <v>465</v>
      </c>
      <c r="G158" s="92" t="s">
        <v>466</v>
      </c>
      <c r="H158" s="109"/>
      <c r="I158" s="109"/>
      <c r="J158" s="174">
        <v>5053.08</v>
      </c>
      <c r="K158" s="99">
        <v>5053.08</v>
      </c>
      <c r="L158" s="99">
        <f t="shared" si="10"/>
        <v>5053.08</v>
      </c>
      <c r="M158" s="110"/>
      <c r="N158" s="99">
        <v>0</v>
      </c>
      <c r="O158" s="101" t="str">
        <f t="shared" si="11"/>
        <v/>
      </c>
      <c r="P158" s="92" t="s">
        <v>467</v>
      </c>
      <c r="Q158" s="92" t="s">
        <v>468</v>
      </c>
      <c r="R158" s="88"/>
      <c r="S158" s="92" t="s">
        <v>469</v>
      </c>
    </row>
    <row r="159" spans="1:19" s="111" customFormat="1" ht="90">
      <c r="A159" s="95">
        <f t="shared" si="9"/>
        <v>152</v>
      </c>
      <c r="B159" s="95" t="s">
        <v>41</v>
      </c>
      <c r="C159" s="95">
        <v>2016</v>
      </c>
      <c r="D159" s="96" t="s">
        <v>393</v>
      </c>
      <c r="E159" s="96" t="s">
        <v>9</v>
      </c>
      <c r="F159" s="97" t="s">
        <v>470</v>
      </c>
      <c r="G159" s="96" t="s">
        <v>471</v>
      </c>
      <c r="H159" s="98"/>
      <c r="I159" s="98"/>
      <c r="J159" s="170">
        <v>29800</v>
      </c>
      <c r="K159" s="99">
        <v>29800</v>
      </c>
      <c r="L159" s="99">
        <f t="shared" si="10"/>
        <v>29800</v>
      </c>
      <c r="M159" s="100"/>
      <c r="N159" s="99">
        <v>0</v>
      </c>
      <c r="O159" s="101" t="str">
        <f t="shared" si="11"/>
        <v/>
      </c>
      <c r="P159" s="96" t="s">
        <v>472</v>
      </c>
      <c r="Q159" s="96" t="s">
        <v>473</v>
      </c>
      <c r="R159" s="95"/>
      <c r="S159" s="96" t="s">
        <v>469</v>
      </c>
    </row>
    <row r="160" spans="1:19" s="111" customFormat="1" ht="75">
      <c r="A160" s="95">
        <f t="shared" si="9"/>
        <v>153</v>
      </c>
      <c r="B160" s="88" t="s">
        <v>41</v>
      </c>
      <c r="C160" s="88">
        <v>2016</v>
      </c>
      <c r="D160" s="92" t="s">
        <v>393</v>
      </c>
      <c r="E160" s="92" t="s">
        <v>9</v>
      </c>
      <c r="F160" s="108" t="s">
        <v>485</v>
      </c>
      <c r="G160" s="92" t="s">
        <v>486</v>
      </c>
      <c r="H160" s="109"/>
      <c r="I160" s="109">
        <f>50000-J160</f>
        <v>28762.639999999999</v>
      </c>
      <c r="J160" s="174">
        <v>21237.360000000001</v>
      </c>
      <c r="K160" s="99">
        <v>21237.360000000001</v>
      </c>
      <c r="L160" s="99">
        <f t="shared" si="10"/>
        <v>50000</v>
      </c>
      <c r="M160" s="110"/>
      <c r="N160" s="99">
        <v>0</v>
      </c>
      <c r="O160" s="101" t="str">
        <f t="shared" si="11"/>
        <v/>
      </c>
      <c r="P160" s="92" t="s">
        <v>487</v>
      </c>
      <c r="Q160" s="92" t="s">
        <v>488</v>
      </c>
      <c r="R160" s="88"/>
      <c r="S160" s="92" t="s">
        <v>489</v>
      </c>
    </row>
    <row r="161" spans="1:19" s="111" customFormat="1" ht="90">
      <c r="A161" s="95">
        <f t="shared" si="9"/>
        <v>154</v>
      </c>
      <c r="B161" s="88" t="s">
        <v>41</v>
      </c>
      <c r="C161" s="88">
        <v>2016</v>
      </c>
      <c r="D161" s="92" t="s">
        <v>393</v>
      </c>
      <c r="E161" s="92" t="s">
        <v>9</v>
      </c>
      <c r="F161" s="108" t="s">
        <v>490</v>
      </c>
      <c r="G161" s="92" t="s">
        <v>271</v>
      </c>
      <c r="H161" s="109"/>
      <c r="I161" s="109"/>
      <c r="J161" s="174">
        <v>21818.03</v>
      </c>
      <c r="K161" s="99">
        <v>21818.03</v>
      </c>
      <c r="L161" s="99">
        <f t="shared" si="10"/>
        <v>21818.03</v>
      </c>
      <c r="M161" s="110"/>
      <c r="N161" s="99">
        <v>0</v>
      </c>
      <c r="O161" s="101" t="str">
        <f t="shared" si="11"/>
        <v/>
      </c>
      <c r="P161" s="92" t="s">
        <v>491</v>
      </c>
      <c r="Q161" s="92" t="s">
        <v>473</v>
      </c>
      <c r="R161" s="88"/>
      <c r="S161" s="92" t="s">
        <v>469</v>
      </c>
    </row>
    <row r="162" spans="1:19" s="111" customFormat="1" ht="90">
      <c r="A162" s="95">
        <f t="shared" si="9"/>
        <v>155</v>
      </c>
      <c r="B162" s="88" t="s">
        <v>41</v>
      </c>
      <c r="C162" s="88">
        <v>2016</v>
      </c>
      <c r="D162" s="92" t="s">
        <v>393</v>
      </c>
      <c r="E162" s="92" t="s">
        <v>9</v>
      </c>
      <c r="F162" s="108" t="s">
        <v>492</v>
      </c>
      <c r="G162" s="92" t="s">
        <v>493</v>
      </c>
      <c r="H162" s="109"/>
      <c r="I162" s="109"/>
      <c r="J162" s="174">
        <v>28648</v>
      </c>
      <c r="K162" s="99">
        <v>28648</v>
      </c>
      <c r="L162" s="99">
        <f t="shared" si="10"/>
        <v>28648</v>
      </c>
      <c r="M162" s="110"/>
      <c r="N162" s="99">
        <v>0</v>
      </c>
      <c r="O162" s="101" t="str">
        <f t="shared" si="11"/>
        <v/>
      </c>
      <c r="P162" s="92" t="s">
        <v>494</v>
      </c>
      <c r="Q162" s="92" t="s">
        <v>473</v>
      </c>
      <c r="R162" s="88"/>
      <c r="S162" s="92" t="s">
        <v>469</v>
      </c>
    </row>
    <row r="163" spans="1:19" s="111" customFormat="1" ht="90">
      <c r="A163" s="95">
        <f t="shared" si="9"/>
        <v>156</v>
      </c>
      <c r="B163" s="88" t="s">
        <v>41</v>
      </c>
      <c r="C163" s="88">
        <v>2016</v>
      </c>
      <c r="D163" s="92" t="s">
        <v>393</v>
      </c>
      <c r="E163" s="92" t="s">
        <v>9</v>
      </c>
      <c r="F163" s="108" t="s">
        <v>318</v>
      </c>
      <c r="G163" s="92" t="s">
        <v>319</v>
      </c>
      <c r="H163" s="109"/>
      <c r="I163" s="109">
        <f>80000-J163</f>
        <v>18675.21</v>
      </c>
      <c r="J163" s="174">
        <v>61324.79</v>
      </c>
      <c r="K163" s="99">
        <v>61324.79</v>
      </c>
      <c r="L163" s="99">
        <f t="shared" si="10"/>
        <v>80000</v>
      </c>
      <c r="M163" s="110"/>
      <c r="N163" s="99">
        <v>0</v>
      </c>
      <c r="O163" s="101" t="str">
        <f t="shared" si="11"/>
        <v/>
      </c>
      <c r="P163" s="92" t="s">
        <v>320</v>
      </c>
      <c r="Q163" s="92" t="s">
        <v>321</v>
      </c>
      <c r="R163" s="88"/>
      <c r="S163" s="92" t="s">
        <v>474</v>
      </c>
    </row>
    <row r="164" spans="1:19" s="111" customFormat="1" ht="45">
      <c r="A164" s="95">
        <f t="shared" si="9"/>
        <v>157</v>
      </c>
      <c r="B164" s="95" t="s">
        <v>42</v>
      </c>
      <c r="C164" s="95">
        <v>2016</v>
      </c>
      <c r="D164" s="96" t="s">
        <v>21</v>
      </c>
      <c r="E164" s="95" t="s">
        <v>9</v>
      </c>
      <c r="F164" s="97" t="s">
        <v>51</v>
      </c>
      <c r="G164" s="96"/>
      <c r="H164" s="98"/>
      <c r="I164" s="98"/>
      <c r="J164" s="99"/>
      <c r="K164" s="99">
        <v>3541</v>
      </c>
      <c r="L164" s="99">
        <f t="shared" si="10"/>
        <v>3541</v>
      </c>
      <c r="M164" s="100"/>
      <c r="N164" s="99">
        <v>0</v>
      </c>
      <c r="O164" s="101" t="str">
        <f t="shared" si="11"/>
        <v/>
      </c>
      <c r="P164" s="96" t="s">
        <v>52</v>
      </c>
      <c r="Q164" s="96" t="s">
        <v>315</v>
      </c>
      <c r="R164" s="96"/>
      <c r="S164" s="96" t="s">
        <v>316</v>
      </c>
    </row>
    <row r="165" spans="1:19">
      <c r="A165" s="114"/>
      <c r="B165" s="114"/>
      <c r="C165" s="114"/>
      <c r="D165" s="114"/>
      <c r="E165" s="114"/>
      <c r="F165" s="112"/>
      <c r="G165" s="175"/>
      <c r="H165" s="176">
        <f>SUM(H8:H164)</f>
        <v>60122948.719999999</v>
      </c>
      <c r="I165" s="176">
        <f>SUM(I8:I164)</f>
        <v>5859452.2199999997</v>
      </c>
      <c r="J165" s="176">
        <f>SUM(J8:J164)</f>
        <v>79246557.670000017</v>
      </c>
      <c r="K165" s="176">
        <v>104041651.04943751</v>
      </c>
      <c r="L165" s="176">
        <f>SUM(L8:L164)</f>
        <v>170024051.98943752</v>
      </c>
      <c r="M165" s="176">
        <f>SUM(M8:M164)</f>
        <v>185408800</v>
      </c>
      <c r="N165" s="176">
        <v>234100000</v>
      </c>
    </row>
    <row r="166" spans="1:19">
      <c r="A166" s="114"/>
      <c r="B166" s="114"/>
      <c r="C166" s="114"/>
      <c r="D166" s="114"/>
      <c r="E166" s="114"/>
      <c r="F166" s="114"/>
      <c r="G166" s="114"/>
      <c r="H166" s="177"/>
      <c r="I166" s="177"/>
      <c r="K166" s="178"/>
    </row>
    <row r="167" spans="1:19">
      <c r="A167" s="114"/>
      <c r="B167" s="114"/>
      <c r="C167" s="114"/>
      <c r="D167" s="114"/>
      <c r="E167" s="114"/>
      <c r="F167" s="114"/>
      <c r="G167" s="114"/>
      <c r="H167" s="177"/>
      <c r="I167" s="177"/>
    </row>
    <row r="168" spans="1:19" ht="26.25">
      <c r="A168" s="114"/>
      <c r="B168" s="114"/>
      <c r="C168" s="114"/>
      <c r="D168" s="114"/>
      <c r="E168" s="114"/>
      <c r="F168" s="114"/>
      <c r="H168" s="179" t="s">
        <v>167</v>
      </c>
      <c r="I168" s="180" t="s">
        <v>168</v>
      </c>
      <c r="J168" s="181" t="s">
        <v>169</v>
      </c>
      <c r="K168" s="180" t="s">
        <v>170</v>
      </c>
      <c r="L168" s="182" t="s">
        <v>171</v>
      </c>
    </row>
    <row r="169" spans="1:19">
      <c r="A169" s="114"/>
      <c r="B169" s="114"/>
      <c r="C169" s="114"/>
      <c r="D169" s="114"/>
      <c r="E169" s="114"/>
      <c r="F169" s="114"/>
      <c r="H169" s="183" t="s">
        <v>17</v>
      </c>
      <c r="I169" s="3">
        <f>SUMIF($B$8:$B$164,"MDARD",N$8:N$164)</f>
        <v>0</v>
      </c>
      <c r="J169" s="3">
        <f>SUMIF($B$8:$B$164,"MDARD",K$8:K$164)</f>
        <v>450834</v>
      </c>
      <c r="K169" s="3">
        <v>0</v>
      </c>
      <c r="L169" s="3">
        <f>SUMIF($B$8:$B$164,"MDARD",L$8:L$164)</f>
        <v>450834</v>
      </c>
    </row>
    <row r="170" spans="1:19">
      <c r="A170" s="114"/>
      <c r="B170" s="114"/>
      <c r="C170" s="114"/>
      <c r="D170" s="114"/>
      <c r="E170" s="114"/>
      <c r="F170" s="114"/>
      <c r="H170" s="183" t="s">
        <v>322</v>
      </c>
      <c r="I170" s="3">
        <f>SUMIF($B$8:$B$164,"AG",N$8:N$164)</f>
        <v>1300000</v>
      </c>
      <c r="J170" s="3">
        <f>SUMIF($B$8:$B$164,"AG",K$8:K$164)</f>
        <v>2719432.23</v>
      </c>
      <c r="K170" s="3">
        <v>130333</v>
      </c>
      <c r="L170" s="3">
        <f>SUMIF($B$8:$B$164,"AG",L$8:L$164)</f>
        <v>2849765.23</v>
      </c>
    </row>
    <row r="171" spans="1:19">
      <c r="A171" s="114"/>
      <c r="B171" s="114"/>
      <c r="C171" s="114"/>
      <c r="D171" s="114"/>
      <c r="E171" s="114"/>
      <c r="F171" s="114"/>
      <c r="H171" s="183" t="s">
        <v>172</v>
      </c>
      <c r="I171" s="3">
        <f>SUMIF($B$8:$B$164,"MDCR",N$8:N$164)</f>
        <v>0</v>
      </c>
      <c r="J171" s="3">
        <f>SUMIF($B$8:$B$164,"MDCR",K$8:K$164)</f>
        <v>37557.449999999997</v>
      </c>
      <c r="K171" s="3">
        <v>0</v>
      </c>
      <c r="L171" s="3">
        <f>SUMIF($B$8:$B$164,"MDCR",L$8:L$164)</f>
        <v>37557.449999999997</v>
      </c>
    </row>
    <row r="172" spans="1:19">
      <c r="A172" s="114"/>
      <c r="B172" s="114"/>
      <c r="C172" s="114"/>
      <c r="D172" s="114"/>
      <c r="E172" s="114"/>
      <c r="F172" s="114"/>
      <c r="H172" s="183" t="s">
        <v>173</v>
      </c>
      <c r="I172" s="3">
        <f>SUMIF($B$8:$B$164,"DOC",N$8:N$164)</f>
        <v>0</v>
      </c>
      <c r="J172" s="3">
        <f>SUMIF($B$8:$B$164,"DOC",K$8:K$164)</f>
        <v>831289.27</v>
      </c>
      <c r="K172" s="3">
        <v>0</v>
      </c>
      <c r="L172" s="3">
        <f>SUMIF($B$8:$B$164,"DOC",L$8:L$164)</f>
        <v>831289.27</v>
      </c>
    </row>
    <row r="173" spans="1:19">
      <c r="A173" s="114"/>
      <c r="B173" s="114"/>
      <c r="C173" s="114"/>
      <c r="D173" s="114"/>
      <c r="E173" s="114"/>
      <c r="F173" s="114"/>
      <c r="H173" s="183" t="s">
        <v>174</v>
      </c>
      <c r="I173" s="3">
        <f>SUMIF($B$8:$B$164,"MDE",N$8:N$164)</f>
        <v>36335100</v>
      </c>
      <c r="J173" s="3">
        <f>SUMIF($B$8:$B$164,"MDE",K$8:K$164)</f>
        <v>2030764.8200000005</v>
      </c>
      <c r="K173" s="3">
        <v>697699.71999999951</v>
      </c>
      <c r="L173" s="3">
        <f>SUMIF($B$8:$B$164,"MDE",L$8:L$164)</f>
        <v>2728464.54</v>
      </c>
    </row>
    <row r="174" spans="1:19">
      <c r="A174" s="114"/>
      <c r="B174" s="114"/>
      <c r="C174" s="114"/>
      <c r="D174" s="114"/>
      <c r="E174" s="114"/>
      <c r="F174" s="114"/>
      <c r="H174" s="183" t="s">
        <v>31</v>
      </c>
      <c r="I174" s="3">
        <f>SUMIF($B$8:$B$164,"DEQ",N$8:N$164)</f>
        <v>51836600</v>
      </c>
      <c r="J174" s="3">
        <f>SUMIF($B$8:$B$164,"DEQ",K$8:K$164)</f>
        <v>18044306.59</v>
      </c>
      <c r="K174" s="3">
        <v>29554597.000000004</v>
      </c>
      <c r="L174" s="3">
        <f>SUMIF($B$8:$B$164,"DEQ",L$8:L$164)</f>
        <v>47598903.590000004</v>
      </c>
    </row>
    <row r="175" spans="1:19">
      <c r="A175" s="114"/>
      <c r="B175" s="114"/>
      <c r="C175" s="114"/>
      <c r="D175" s="114"/>
      <c r="E175" s="114"/>
      <c r="F175" s="114"/>
      <c r="H175" s="183" t="s">
        <v>32</v>
      </c>
      <c r="I175" s="3">
        <f>SUMIF($B$8:$B$164,"DHHS",N$8:N$164)</f>
        <v>51705700</v>
      </c>
      <c r="J175" s="3">
        <f>SUMIF($B$8:$B$164,"DHHS",K$8:K$164)</f>
        <v>17833828.91</v>
      </c>
      <c r="K175" s="3">
        <v>21347340.499999996</v>
      </c>
      <c r="L175" s="3">
        <f>SUMIF($B$8:$B$164,"DHHS",L$8:L$164)</f>
        <v>39181169.410000004</v>
      </c>
    </row>
    <row r="176" spans="1:19">
      <c r="A176" s="114"/>
      <c r="B176" s="114"/>
      <c r="C176" s="114"/>
      <c r="D176" s="114"/>
      <c r="E176" s="114"/>
      <c r="F176" s="114"/>
      <c r="H176" s="183" t="s">
        <v>48</v>
      </c>
      <c r="I176" s="3">
        <f>SUMIF($B$8:$B$164,"DIFS",N$8:N$164)</f>
        <v>0</v>
      </c>
      <c r="J176" s="3">
        <f>SUMIF($B$8:$B$164,"DIFS",K$8:K$164)</f>
        <v>5658.5694375000003</v>
      </c>
      <c r="K176" s="3">
        <v>0</v>
      </c>
      <c r="L176" s="3">
        <f>SUMIF($B$8:$B$164,"DIFS",L$8:L$164)</f>
        <v>5658.5694375000003</v>
      </c>
    </row>
    <row r="177" spans="1:13">
      <c r="A177" s="114"/>
      <c r="B177" s="114"/>
      <c r="C177" s="114"/>
      <c r="D177" s="114"/>
      <c r="E177" s="114"/>
      <c r="F177" s="114"/>
      <c r="H177" s="183" t="s">
        <v>34</v>
      </c>
      <c r="I177" s="3">
        <f>SUMIF($B$8:$B$164,"LARA",N$8:N$164)</f>
        <v>2200000</v>
      </c>
      <c r="J177" s="3">
        <f>SUMIF($B$8:$B$164,"LARA",K$8:K$164)</f>
        <v>1293856.3999999999</v>
      </c>
      <c r="K177" s="3">
        <v>136874.87000000011</v>
      </c>
      <c r="L177" s="3">
        <f>SUMIF($B$8:$B$164,"LARA",L$8:L$164)</f>
        <v>1430731.27</v>
      </c>
    </row>
    <row r="178" spans="1:13">
      <c r="A178" s="114"/>
      <c r="B178" s="114"/>
      <c r="C178" s="114"/>
      <c r="D178" s="114"/>
      <c r="E178" s="114"/>
      <c r="F178" s="114"/>
      <c r="H178" s="183" t="s">
        <v>35</v>
      </c>
      <c r="I178" s="3">
        <f>SUMIF($B$8:$B$164,"DMVA",N$8:N$164)</f>
        <v>2000000</v>
      </c>
      <c r="J178" s="3">
        <f>SUMIF($B$8:$B$164,"DMVA",K$8:K$164)</f>
        <v>2541945.17</v>
      </c>
      <c r="K178" s="3">
        <v>0</v>
      </c>
      <c r="L178" s="3">
        <f>SUMIF($B$8:$B$164,"DMVA",L$8:L$164)</f>
        <v>2541945.17</v>
      </c>
    </row>
    <row r="179" spans="1:13">
      <c r="A179" s="114"/>
      <c r="B179" s="114"/>
      <c r="C179" s="114"/>
      <c r="D179" s="114"/>
      <c r="E179" s="114"/>
      <c r="F179" s="114"/>
      <c r="H179" s="183" t="s">
        <v>36</v>
      </c>
      <c r="I179" s="3">
        <f>SUMIF($B$8:$B$164,"DNR",N$8:N$164)</f>
        <v>250000</v>
      </c>
      <c r="J179" s="3">
        <f>SUMIF($B$8:$B$164,"DNR",K$8:K$164)</f>
        <v>251261.98999999918</v>
      </c>
      <c r="K179" s="3">
        <v>0</v>
      </c>
      <c r="L179" s="3">
        <f>SUMIF($B$8:$B$164,"DNR",L$8:L$164)</f>
        <v>251261.98999999918</v>
      </c>
    </row>
    <row r="180" spans="1:13">
      <c r="A180" s="114"/>
      <c r="B180" s="114"/>
      <c r="C180" s="114"/>
      <c r="D180" s="114"/>
      <c r="E180" s="114"/>
      <c r="F180" s="114"/>
      <c r="H180" s="183" t="s">
        <v>443</v>
      </c>
      <c r="I180" s="3">
        <f>SUMIF($B$8:$B$164,"School Aid",N$8:N$164)</f>
        <v>19342600</v>
      </c>
      <c r="J180" s="3">
        <f>SUMIF($B$8:$B$164,"School Aid",K$8:K$164)</f>
        <v>900000</v>
      </c>
      <c r="K180" s="3">
        <v>8300000</v>
      </c>
      <c r="L180" s="3">
        <f>SUMIF($B$8:$B$164,"School Aid",L$8:L$164)</f>
        <v>9200000</v>
      </c>
    </row>
    <row r="181" spans="1:13">
      <c r="A181" s="114"/>
      <c r="B181" s="114"/>
      <c r="C181" s="114"/>
      <c r="D181" s="114"/>
      <c r="E181" s="114"/>
      <c r="F181" s="114"/>
      <c r="H181" s="183" t="s">
        <v>175</v>
      </c>
      <c r="I181" s="3">
        <f>SUMIF($B$8:$B$164,"MDOS",N$8:N$164)</f>
        <v>0</v>
      </c>
      <c r="J181" s="3">
        <f>SUMIF($B$8:$B$164,"MDOS",K$8:K$164)</f>
        <v>3131</v>
      </c>
      <c r="K181" s="3">
        <v>0</v>
      </c>
      <c r="L181" s="3">
        <f>SUMIF($B$8:$B$164,"MDOS",L$8:L$164)</f>
        <v>3131</v>
      </c>
    </row>
    <row r="182" spans="1:13">
      <c r="A182" s="114"/>
      <c r="B182" s="114"/>
      <c r="C182" s="114"/>
      <c r="D182" s="114"/>
      <c r="E182" s="114"/>
      <c r="F182" s="114"/>
      <c r="H182" s="183" t="s">
        <v>38</v>
      </c>
      <c r="I182" s="3">
        <f>SUMIF($B$8:$B$164,"MSP",N$8:N$164)</f>
        <v>6100000</v>
      </c>
      <c r="J182" s="3">
        <f>SUMIF($B$8:$B$164,"MSP",K$8:K$164)</f>
        <v>11800296.280000003</v>
      </c>
      <c r="K182" s="3">
        <v>5359</v>
      </c>
      <c r="L182" s="3">
        <f>SUMIF($B$8:$B$164,"MSP",L$8:L$164)</f>
        <v>11805655.280000003</v>
      </c>
    </row>
    <row r="183" spans="1:13">
      <c r="A183" s="114"/>
      <c r="B183" s="114"/>
      <c r="C183" s="114"/>
      <c r="D183" s="114"/>
      <c r="E183" s="114"/>
      <c r="F183" s="114"/>
      <c r="H183" s="183" t="s">
        <v>155</v>
      </c>
      <c r="I183" s="3">
        <f>SUMIF($B$8:$B$164,"TED",N$8:N$164)</f>
        <v>0</v>
      </c>
      <c r="J183" s="3">
        <f>SUMIF($B$8:$B$164,"TED",K$8:K$164)</f>
        <v>3499784.59</v>
      </c>
      <c r="K183" s="3">
        <v>4127758.9999999991</v>
      </c>
      <c r="L183" s="3">
        <f>SUMIF($B$8:$B$164,"TED",L$8:L$164)</f>
        <v>7627543.5899999989</v>
      </c>
    </row>
    <row r="184" spans="1:13">
      <c r="A184" s="114"/>
      <c r="B184" s="114"/>
      <c r="C184" s="114"/>
      <c r="D184" s="114"/>
      <c r="E184" s="114"/>
      <c r="F184" s="114"/>
      <c r="H184" s="183" t="s">
        <v>294</v>
      </c>
      <c r="I184" s="3">
        <f>SUMIF($B$8:$B$164,"MSF",N$8:N$164)</f>
        <v>0</v>
      </c>
      <c r="J184" s="3">
        <f>SUMIF($B$8:$B$164,"MSF",K$8:K$164)</f>
        <v>8250000</v>
      </c>
      <c r="K184" s="3">
        <v>1600000</v>
      </c>
      <c r="L184" s="3">
        <f>SUMIF($B$8:$B$164,"MSF",L$8:L$164)</f>
        <v>9850000</v>
      </c>
    </row>
    <row r="185" spans="1:13">
      <c r="A185" s="114"/>
      <c r="B185" s="114"/>
      <c r="C185" s="114"/>
      <c r="D185" s="114"/>
      <c r="E185" s="114"/>
      <c r="F185" s="114"/>
      <c r="H185" s="183" t="s">
        <v>185</v>
      </c>
      <c r="I185" s="3">
        <f>SUMIF($B$8:$B$164,"MEDC",N$8:N$164)</f>
        <v>0</v>
      </c>
      <c r="J185" s="3">
        <f>SUMIF($B$8:$B$164,"MEDC",K$8:K$164)</f>
        <v>70000</v>
      </c>
      <c r="K185" s="3">
        <v>0</v>
      </c>
      <c r="L185" s="3">
        <f>SUMIF($B$8:$B$164,"MEDC",L$8:L$164)</f>
        <v>70000</v>
      </c>
    </row>
    <row r="186" spans="1:13">
      <c r="A186" s="114"/>
      <c r="B186" s="114"/>
      <c r="C186" s="114"/>
      <c r="D186" s="114"/>
      <c r="E186" s="114"/>
      <c r="F186" s="114"/>
      <c r="H186" s="183" t="s">
        <v>186</v>
      </c>
      <c r="I186" s="3">
        <f>SUMIF($B$8:$B$164,"MSHDA",N$8:N$164)</f>
        <v>0</v>
      </c>
      <c r="J186" s="3">
        <f>SUMIF($B$8:$B$164,"MSHDA",K$8:K$164)</f>
        <v>84200</v>
      </c>
      <c r="K186" s="3">
        <v>25000</v>
      </c>
      <c r="L186" s="3">
        <f>SUMIF($B$8:$B$164,"MSHDA",L$8:L$164)</f>
        <v>109200</v>
      </c>
    </row>
    <row r="187" spans="1:13">
      <c r="A187" s="114"/>
      <c r="B187" s="114"/>
      <c r="C187" s="114"/>
      <c r="D187" s="114"/>
      <c r="E187" s="114"/>
      <c r="F187" s="114"/>
      <c r="H187" s="183" t="s">
        <v>39</v>
      </c>
      <c r="I187" s="3">
        <f>SUMIF($B$8:$B$164,"DTMB",N$8:N$164)</f>
        <v>18900000</v>
      </c>
      <c r="J187" s="3">
        <f>SUMIF($B$8:$B$164,"DTMB",K$8:K$164)</f>
        <v>0</v>
      </c>
      <c r="K187" s="3">
        <v>0</v>
      </c>
      <c r="L187" s="3">
        <f>SUMIF($B$8:$B$164,"DTMB",L$8:L$164)</f>
        <v>0</v>
      </c>
    </row>
    <row r="188" spans="1:13">
      <c r="A188" s="114"/>
      <c r="B188" s="114"/>
      <c r="C188" s="114"/>
      <c r="D188" s="114"/>
      <c r="E188" s="114"/>
      <c r="F188" s="114"/>
      <c r="H188" s="183" t="s">
        <v>40</v>
      </c>
      <c r="I188" s="3">
        <f>SUMIF($B$8:$B$164,"MDOT",N$8:N$164)</f>
        <v>0</v>
      </c>
      <c r="J188" s="3">
        <f>SUMIF($B$8:$B$164,"MDOT",K$8:K$164)</f>
        <v>39.239999999990687</v>
      </c>
      <c r="K188" s="3">
        <v>0</v>
      </c>
      <c r="L188" s="3">
        <f>SUMIF($B$8:$B$164,"MDOT",L$8:L$164)</f>
        <v>39.239999999990687</v>
      </c>
    </row>
    <row r="189" spans="1:13">
      <c r="A189" s="114"/>
      <c r="B189" s="114"/>
      <c r="C189" s="114"/>
      <c r="D189" s="114"/>
      <c r="E189" s="114"/>
      <c r="F189" s="114"/>
      <c r="H189" s="183" t="s">
        <v>41</v>
      </c>
      <c r="I189" s="3">
        <f>SUMIF($B$8:$B$164,"Treasury",N$8:N$164)</f>
        <v>44130000</v>
      </c>
      <c r="J189" s="3">
        <f>SUMIF($B$8:$B$164,"Treasury",K$8:K$164)</f>
        <v>33389923.539999995</v>
      </c>
      <c r="K189" s="3">
        <v>57437.85000000149</v>
      </c>
      <c r="L189" s="3">
        <f>SUMIF($B$8:$B$164,"Treasury",L$8:L$164)</f>
        <v>33447361.389999997</v>
      </c>
    </row>
    <row r="190" spans="1:13">
      <c r="A190" s="114"/>
      <c r="B190" s="114"/>
      <c r="C190" s="114"/>
      <c r="D190" s="114"/>
      <c r="E190" s="114"/>
      <c r="F190" s="114"/>
      <c r="H190" s="184" t="s">
        <v>176</v>
      </c>
      <c r="I190" s="3">
        <f>SUMIF($B$8:$B$164,"MGCB",N$8:N$164)</f>
        <v>0</v>
      </c>
      <c r="J190" s="3">
        <f>SUMIF($B$8:$B$164,"MGCB",K$8:K$164)</f>
        <v>3541</v>
      </c>
      <c r="K190" s="3">
        <v>0</v>
      </c>
      <c r="L190" s="3">
        <f>SUMIF($B$8:$B$164,"MGCB",L$8:L$164)</f>
        <v>3541</v>
      </c>
    </row>
    <row r="191" spans="1:13">
      <c r="A191" s="114"/>
      <c r="B191" s="114"/>
      <c r="C191" s="114"/>
      <c r="D191" s="114"/>
      <c r="E191" s="114"/>
      <c r="F191" s="114"/>
      <c r="H191" s="185" t="s">
        <v>171</v>
      </c>
      <c r="I191" s="186">
        <f>SUM(I169:I190)</f>
        <v>234100000</v>
      </c>
      <c r="J191" s="186">
        <f>SUM(J169:J190)</f>
        <v>104041651.04943748</v>
      </c>
      <c r="K191" s="186">
        <v>65982400.939999998</v>
      </c>
      <c r="L191" s="186">
        <f>SUM(L169:L190)</f>
        <v>170024051.98943752</v>
      </c>
    </row>
    <row r="192" spans="1:13">
      <c r="A192" s="114"/>
      <c r="B192" s="114"/>
      <c r="C192" s="114"/>
      <c r="D192" s="114"/>
      <c r="E192" s="114"/>
      <c r="F192" s="114"/>
      <c r="H192" s="187"/>
      <c r="I192" s="187" t="str">
        <f>IF(I191=N165,"","oops")</f>
        <v/>
      </c>
      <c r="J192" s="187" t="str">
        <f>IF(ROUND(J191,3)=ROUND(K165,3),"","oops")</f>
        <v/>
      </c>
      <c r="K192" s="187" t="s">
        <v>362</v>
      </c>
      <c r="L192" s="187" t="str">
        <f>IF(ROUND(L191,5)=ROUND(L165,5),"","oops")</f>
        <v/>
      </c>
      <c r="M192" s="178"/>
    </row>
    <row r="193" spans="1:12" ht="26.25">
      <c r="A193" s="114"/>
      <c r="B193" s="114"/>
      <c r="C193" s="114"/>
      <c r="D193" s="114"/>
      <c r="E193" s="114"/>
      <c r="F193" s="114"/>
      <c r="H193" s="188" t="s">
        <v>177</v>
      </c>
      <c r="I193" s="189" t="s">
        <v>168</v>
      </c>
      <c r="J193" s="189" t="s">
        <v>169</v>
      </c>
      <c r="K193" s="182" t="s">
        <v>178</v>
      </c>
      <c r="L193" s="189" t="s">
        <v>171</v>
      </c>
    </row>
    <row r="194" spans="1:12">
      <c r="A194" s="114"/>
      <c r="B194" s="114"/>
      <c r="C194" s="114"/>
      <c r="D194" s="114"/>
      <c r="E194" s="114"/>
      <c r="F194" s="114"/>
      <c r="H194" s="190" t="s">
        <v>187</v>
      </c>
      <c r="I194" s="3">
        <f>SUMIF($E$8:$E$164,"Econ Develop",N$8:N$164)</f>
        <v>0</v>
      </c>
      <c r="J194" s="3">
        <f>SUMIF($E$8:$E$164,"Econ Develop",K$8:K$164)</f>
        <v>11864320.59</v>
      </c>
      <c r="K194" s="3">
        <v>5752759</v>
      </c>
      <c r="L194" s="3">
        <f>SUMIF($E$8:$E$164,"Econ Develop",L$8:L$164)</f>
        <v>17617079.59</v>
      </c>
    </row>
    <row r="195" spans="1:12">
      <c r="A195" s="114"/>
      <c r="B195" s="114"/>
      <c r="C195" s="114"/>
      <c r="D195" s="114"/>
      <c r="E195" s="114"/>
      <c r="F195" s="114"/>
      <c r="H195" s="191" t="s">
        <v>10</v>
      </c>
      <c r="I195" s="3">
        <f>SUMIF($E$8:$E$164,"Food",N$8:N$164)</f>
        <v>19654800</v>
      </c>
      <c r="J195" s="3">
        <f>SUMIF($E$8:$E$164,"Food",K$8:K$164)</f>
        <v>1598726.56</v>
      </c>
      <c r="K195" s="3">
        <v>3021427.22</v>
      </c>
      <c r="L195" s="3">
        <f>SUMIF($E$8:$E$164,"food",L$8:L$164)</f>
        <v>4620153.78</v>
      </c>
    </row>
    <row r="196" spans="1:12">
      <c r="A196" s="114"/>
      <c r="B196" s="114"/>
      <c r="C196" s="114"/>
      <c r="D196" s="114"/>
      <c r="E196" s="114"/>
      <c r="F196" s="114"/>
      <c r="H196" s="191" t="s">
        <v>30</v>
      </c>
      <c r="I196" s="3">
        <f>SUMIF($E$8:$E$164,"Physical",N$8:N$164)</f>
        <v>16478100</v>
      </c>
      <c r="J196" s="3">
        <f>SUMIF($E$8:$E$164,"Physical",K$8:K$164)</f>
        <v>9522148.9600000009</v>
      </c>
      <c r="K196" s="3">
        <v>6085724.3100000005</v>
      </c>
      <c r="L196" s="3">
        <f>SUMIF($E$8:$E$164,"Physical",L$8:L$164)</f>
        <v>15607873.270000001</v>
      </c>
    </row>
    <row r="197" spans="1:12">
      <c r="A197" s="114"/>
      <c r="B197" s="114"/>
      <c r="C197" s="114"/>
      <c r="D197" s="114"/>
      <c r="E197" s="114"/>
      <c r="F197" s="114"/>
      <c r="H197" s="191" t="s">
        <v>27</v>
      </c>
      <c r="I197" s="3">
        <f>SUMIF($E$8:$E$164,"Social",N$8:N$164)</f>
        <v>66937700</v>
      </c>
      <c r="J197" s="3">
        <f>SUMIF($E$8:$E$164,"Social",K$8:K$164)</f>
        <v>7310940.3294375008</v>
      </c>
      <c r="K197" s="3">
        <v>21368221.689999998</v>
      </c>
      <c r="L197" s="3">
        <f>SUMIF($E$8:$E$164,"Social",L$8:L$164)</f>
        <v>28679162.019437499</v>
      </c>
    </row>
    <row r="198" spans="1:12">
      <c r="A198" s="114"/>
      <c r="B198" s="114"/>
      <c r="C198" s="114"/>
      <c r="D198" s="114"/>
      <c r="E198" s="114"/>
      <c r="F198" s="114"/>
      <c r="H198" s="191" t="s">
        <v>9</v>
      </c>
      <c r="I198" s="3">
        <f>SUMIF($E$8:$E$164,"Water",N$8:N$164)</f>
        <v>88279400</v>
      </c>
      <c r="J198" s="3">
        <f>SUMIF($E$8:$E$164,"Water",K$8:K$164)</f>
        <v>42665357.609999999</v>
      </c>
      <c r="K198" s="3">
        <v>29754268.719999999</v>
      </c>
      <c r="L198" s="3">
        <f>SUMIF($E$8:$E$164,"Water",L$8:L$164)</f>
        <v>72419626.329999998</v>
      </c>
    </row>
    <row r="199" spans="1:12">
      <c r="A199" s="114"/>
      <c r="B199" s="114"/>
      <c r="C199" s="114"/>
      <c r="D199" s="114"/>
      <c r="E199" s="114"/>
      <c r="F199" s="114"/>
      <c r="H199" s="191" t="s">
        <v>43</v>
      </c>
      <c r="I199" s="3">
        <f>SUMIF($E$8:$E$164,"Water Bill Credits",N$8:N$164)</f>
        <v>42750000</v>
      </c>
      <c r="J199" s="3">
        <f>SUMIF($E$8:$E$164,"Water Bill Credits",K$8:K$164)</f>
        <v>31080157</v>
      </c>
      <c r="K199" s="3">
        <v>0</v>
      </c>
      <c r="L199" s="3">
        <f>SUMIF($E$8:$E$164,"Water Bill Credits",L$8:L$164)</f>
        <v>31080157</v>
      </c>
    </row>
    <row r="200" spans="1:12">
      <c r="A200" s="114"/>
      <c r="B200" s="114"/>
      <c r="C200" s="114"/>
      <c r="D200" s="114"/>
      <c r="E200" s="114"/>
      <c r="F200" s="114"/>
      <c r="H200" s="192" t="s">
        <v>171</v>
      </c>
      <c r="I200" s="4">
        <f>SUM(I194:I199)</f>
        <v>234100000</v>
      </c>
      <c r="J200" s="4">
        <f>SUM(J194:J199)</f>
        <v>104041651.04943749</v>
      </c>
      <c r="K200" s="4">
        <v>65982400.939999998</v>
      </c>
      <c r="L200" s="4">
        <f>SUM(L194:L199)</f>
        <v>170024051.98943749</v>
      </c>
    </row>
    <row r="201" spans="1:12">
      <c r="A201" s="114"/>
      <c r="B201" s="114"/>
      <c r="C201" s="114"/>
      <c r="D201" s="114"/>
      <c r="E201" s="114"/>
      <c r="F201" s="114"/>
      <c r="H201" s="193"/>
      <c r="I201" s="194" t="str">
        <f>IF(I200=I191,"","oops")</f>
        <v/>
      </c>
      <c r="J201" s="194" t="str">
        <f>IF(ROUND(J200,3)=ROUND(J191,3),"","oops")</f>
        <v/>
      </c>
      <c r="K201" s="194" t="s">
        <v>362</v>
      </c>
      <c r="L201" s="194" t="str">
        <f>IF(ROUND(L200,3)=ROUND(L191,3),"","oops")</f>
        <v/>
      </c>
    </row>
    <row r="202" spans="1:12" ht="26.25">
      <c r="A202" s="114"/>
      <c r="B202" s="114"/>
      <c r="C202" s="114"/>
      <c r="D202" s="114"/>
      <c r="E202" s="114"/>
      <c r="F202" s="114"/>
      <c r="H202" s="188" t="s">
        <v>179</v>
      </c>
      <c r="I202" s="189" t="s">
        <v>168</v>
      </c>
      <c r="J202" s="189" t="s">
        <v>180</v>
      </c>
      <c r="K202" s="182" t="s">
        <v>178</v>
      </c>
      <c r="L202" s="182" t="s">
        <v>171</v>
      </c>
    </row>
    <row r="203" spans="1:12">
      <c r="A203" s="114"/>
      <c r="B203" s="114"/>
      <c r="C203" s="114"/>
      <c r="D203" s="114"/>
      <c r="E203" s="114"/>
      <c r="F203" s="114"/>
      <c r="H203" s="191" t="s">
        <v>44</v>
      </c>
      <c r="I203" s="3">
        <f>SUMIF($D$8:$D$164,"PA 143 of 2015",N$8:N$164)</f>
        <v>9350000</v>
      </c>
      <c r="J203" s="3">
        <f>SUMIF($D$8:$D$164,"PA 143 of 2015",K$8:K$164)</f>
        <v>9251478.5399999991</v>
      </c>
      <c r="K203" s="3">
        <v>197256.5</v>
      </c>
      <c r="L203" s="3">
        <f>SUMIF($D$8:$D$164,"PA 143 of 2015",L$8:L$164)</f>
        <v>9448735.0399999991</v>
      </c>
    </row>
    <row r="204" spans="1:12">
      <c r="A204" s="114"/>
      <c r="B204" s="114"/>
      <c r="C204" s="114"/>
      <c r="D204" s="114"/>
      <c r="E204" s="114"/>
      <c r="F204" s="114"/>
      <c r="H204" s="191" t="s">
        <v>45</v>
      </c>
      <c r="I204" s="3">
        <f>SUMIF($D$8:$D$164,"PA 3 of 2016",N$8:N$164)</f>
        <v>28028500</v>
      </c>
      <c r="J204" s="3">
        <f>SUMIF($D$8:$D$164,"PA 3 of 2016",K$8:K$164)</f>
        <v>16911221.710000001</v>
      </c>
      <c r="K204" s="3">
        <v>9761378.5899999999</v>
      </c>
      <c r="L204" s="3">
        <f>SUMIF($D$8:$D$164,"PA 3 of 2016",L$8:L$164)</f>
        <v>26672600.300000001</v>
      </c>
    </row>
    <row r="205" spans="1:12">
      <c r="A205" s="114"/>
      <c r="B205" s="114"/>
      <c r="C205" s="114"/>
      <c r="D205" s="114"/>
      <c r="E205" s="114"/>
      <c r="F205" s="114"/>
      <c r="H205" s="191" t="s">
        <v>49</v>
      </c>
      <c r="I205" s="3">
        <f>SUMIF($D$8:$D$164,"PA 24 of 2016",N$8:N$164)</f>
        <v>30000000</v>
      </c>
      <c r="J205" s="3">
        <f>SUMIF($D$8:$D$164,"PA 24 of 2016",K$8:K$164)</f>
        <v>30000000</v>
      </c>
      <c r="K205" s="3">
        <v>0</v>
      </c>
      <c r="L205" s="3">
        <f>SUMIF($D$8:$D$164,"PA 24 of 2016",L$8:L$164)</f>
        <v>30000000</v>
      </c>
    </row>
    <row r="206" spans="1:12">
      <c r="A206" s="114"/>
      <c r="B206" s="114"/>
      <c r="C206" s="114"/>
      <c r="D206" s="114"/>
      <c r="E206" s="114"/>
      <c r="F206" s="114"/>
      <c r="H206" s="191" t="s">
        <v>396</v>
      </c>
      <c r="I206" s="3">
        <f>SUMIF($D$8:$D$164,"PA 268 of 2016",N$8:N$164)</f>
        <v>142908300</v>
      </c>
      <c r="J206" s="3">
        <f>SUMIF($D$8:$D$164,"PA 268 of 2016",K$8:K$164)</f>
        <v>10798922.890000001</v>
      </c>
      <c r="K206" s="3">
        <v>41783235.999999993</v>
      </c>
      <c r="L206" s="3">
        <f>SUMIF($D$8:$D$164,"PA 268 of 2016",L$8:L$164)</f>
        <v>52582158.889999993</v>
      </c>
    </row>
    <row r="207" spans="1:12">
      <c r="A207" s="114"/>
      <c r="B207" s="114"/>
      <c r="C207" s="114"/>
      <c r="D207" s="114"/>
      <c r="E207" s="114"/>
      <c r="F207" s="114"/>
      <c r="H207" s="191" t="s">
        <v>444</v>
      </c>
      <c r="I207" s="3">
        <f>SUMIF($D$8:$D$164,"PA 249 of 2016",N$8:N$164)</f>
        <v>19342600</v>
      </c>
      <c r="J207" s="3">
        <f>SUMIF($D$8:$D$164,"PA 249 of 2016",K$8:K$164)</f>
        <v>900000</v>
      </c>
      <c r="K207" s="3">
        <v>8300000</v>
      </c>
      <c r="L207" s="3">
        <f>SUMIF($D$8:$D$164,"PA 249 of 2016",L$8:L$164)</f>
        <v>9200000</v>
      </c>
    </row>
    <row r="208" spans="1:12">
      <c r="A208" s="114"/>
      <c r="B208" s="114"/>
      <c r="C208" s="114"/>
      <c r="D208" s="114"/>
      <c r="E208" s="114"/>
      <c r="F208" s="114"/>
      <c r="H208" s="191" t="s">
        <v>575</v>
      </c>
      <c r="I208" s="3">
        <f>SUMIF($D$8:$D$164,"internal transfer",N$8:N$164)</f>
        <v>4470600</v>
      </c>
      <c r="J208" s="3">
        <f>SUMIF($D$8:$D$164,"internal transfer",K$8:K$164)</f>
        <v>4470600</v>
      </c>
      <c r="K208" s="3">
        <v>0</v>
      </c>
      <c r="L208" s="3">
        <f>SUMIF($D$8:$D$164,"internal transfer",L$8:L$164)</f>
        <v>4470600</v>
      </c>
    </row>
    <row r="209" spans="1:12">
      <c r="A209" s="114"/>
      <c r="B209" s="114"/>
      <c r="C209" s="114"/>
      <c r="D209" s="114"/>
      <c r="E209" s="114"/>
      <c r="F209" s="114"/>
      <c r="H209" s="191" t="s">
        <v>181</v>
      </c>
      <c r="I209" s="3">
        <f>SUMIF($D$8:$D$164,"AY15 work project",N$8:N$164)</f>
        <v>0</v>
      </c>
      <c r="J209" s="3">
        <f>SUMIF($D$8:$D$164,"AY15 work project",K$8:K$164)</f>
        <v>1137055</v>
      </c>
      <c r="K209" s="3">
        <v>0</v>
      </c>
      <c r="L209" s="3">
        <f>SUMIF($D$8:$D$164,"AY15 work project",L$8:L$164)</f>
        <v>1137055</v>
      </c>
    </row>
    <row r="210" spans="1:12">
      <c r="A210" s="114"/>
      <c r="B210" s="114"/>
      <c r="C210" s="114"/>
      <c r="D210" s="114"/>
      <c r="E210" s="114"/>
      <c r="F210" s="114"/>
      <c r="H210" s="191" t="s">
        <v>392</v>
      </c>
      <c r="I210" s="3">
        <f>SUMIF($D$8:$D$164,"AY13 work project",N$8:N$164)</f>
        <v>0</v>
      </c>
      <c r="J210" s="3">
        <f>SUMIF($D$8:$D$164,"AY13 work project",K$8:K$164)</f>
        <v>258676.21000000002</v>
      </c>
      <c r="K210" s="3">
        <v>57437.849999999977</v>
      </c>
      <c r="L210" s="3">
        <f>SUMIF($D$8:$D$164,"AY13 work project",L$8:L$164)</f>
        <v>316114.06</v>
      </c>
    </row>
    <row r="211" spans="1:12">
      <c r="A211" s="114"/>
      <c r="B211" s="114"/>
      <c r="C211" s="114"/>
      <c r="D211" s="114"/>
      <c r="E211" s="114"/>
      <c r="F211" s="114"/>
      <c r="H211" s="191" t="s">
        <v>21</v>
      </c>
      <c r="I211" s="3">
        <f>SUMIF($D$8:$D$164,"Current Approps",N$8:N$164)</f>
        <v>0</v>
      </c>
      <c r="J211" s="3">
        <f>SUMIF($D$8:$D$164,"Current Approps",K$8:K$164)</f>
        <v>27409496.699437499</v>
      </c>
      <c r="K211" s="3">
        <v>4258092</v>
      </c>
      <c r="L211" s="3">
        <f>SUMIF($D$8:$D$164,"Current Approps",L$8:L$164)</f>
        <v>31667588.699437499</v>
      </c>
    </row>
    <row r="212" spans="1:12">
      <c r="A212" s="114"/>
      <c r="B212" s="114"/>
      <c r="C212" s="114"/>
      <c r="D212" s="114"/>
      <c r="E212" s="114"/>
      <c r="F212" s="114"/>
      <c r="H212" s="191" t="s">
        <v>188</v>
      </c>
      <c r="I212" s="3">
        <f>SUMIF($D$8:$D$164,"Component Unit",N$8:N$164)</f>
        <v>0</v>
      </c>
      <c r="J212" s="3">
        <f>SUMIF($D$8:$D$164,"Component Unit",K$8:K$164)</f>
        <v>2904200</v>
      </c>
      <c r="K212" s="3">
        <v>1625000</v>
      </c>
      <c r="L212" s="3">
        <f>SUMIF($D$8:$D$164,"Component Unit",L$8:L$164)</f>
        <v>4529200</v>
      </c>
    </row>
    <row r="213" spans="1:12">
      <c r="A213" s="114"/>
      <c r="B213" s="114"/>
      <c r="C213" s="114"/>
      <c r="D213" s="114"/>
      <c r="E213" s="114"/>
      <c r="F213" s="114"/>
      <c r="H213" s="192" t="s">
        <v>171</v>
      </c>
      <c r="I213" s="4">
        <f>SUM(I203:I212)</f>
        <v>234100000</v>
      </c>
      <c r="J213" s="4">
        <f>SUM(J203:J212)</f>
        <v>104041651.04943749</v>
      </c>
      <c r="K213" s="4">
        <v>65982400.93999999</v>
      </c>
      <c r="L213" s="4">
        <f>SUM(L203:L212)</f>
        <v>170024051.98943749</v>
      </c>
    </row>
    <row r="214" spans="1:12">
      <c r="A214" s="114"/>
      <c r="B214" s="114"/>
      <c r="C214" s="114"/>
      <c r="D214" s="114"/>
      <c r="E214" s="114"/>
      <c r="F214" s="114"/>
      <c r="H214" s="29"/>
      <c r="I214" s="29" t="str">
        <f>IF(I213=I200,"","oops")</f>
        <v/>
      </c>
      <c r="J214" s="29" t="str">
        <f>IF(J213=J200,"","oops")</f>
        <v/>
      </c>
      <c r="K214" s="29" t="s">
        <v>362</v>
      </c>
      <c r="L214" s="29" t="str">
        <f>IF(ROUND(L213,0)=ROUND(L200,0),"","oops")</f>
        <v/>
      </c>
    </row>
    <row r="215" spans="1:12">
      <c r="A215" s="114"/>
      <c r="B215" s="114"/>
      <c r="C215" s="114"/>
      <c r="D215" s="114"/>
      <c r="E215" s="114"/>
      <c r="F215" s="114"/>
      <c r="H215" s="114"/>
      <c r="I215" s="114"/>
      <c r="J215" s="114"/>
      <c r="K215" s="29"/>
      <c r="L215" s="195"/>
    </row>
    <row r="216" spans="1:12">
      <c r="A216" s="114"/>
      <c r="B216" s="114"/>
      <c r="C216" s="114"/>
      <c r="D216" s="114"/>
      <c r="E216" s="114"/>
      <c r="F216" s="114"/>
      <c r="H216" s="114"/>
      <c r="I216" s="114"/>
      <c r="J216" s="114"/>
      <c r="K216" s="114"/>
      <c r="L216" s="114"/>
    </row>
    <row r="217" spans="1:12">
      <c r="A217" s="114"/>
      <c r="B217" s="114"/>
      <c r="C217" s="114"/>
      <c r="D217" s="114"/>
      <c r="E217" s="114"/>
      <c r="F217" s="114"/>
      <c r="H217" s="114"/>
      <c r="I217" s="114"/>
      <c r="J217" s="114"/>
      <c r="K217" s="114"/>
      <c r="L217" s="114"/>
    </row>
    <row r="218" spans="1:12">
      <c r="A218" s="114"/>
      <c r="B218" s="114"/>
      <c r="C218" s="114"/>
      <c r="D218" s="114"/>
      <c r="E218" s="114"/>
      <c r="F218" s="114"/>
      <c r="H218" s="114"/>
      <c r="I218" s="114"/>
      <c r="J218" s="114"/>
      <c r="K218" s="114"/>
      <c r="L218" s="114"/>
    </row>
    <row r="219" spans="1:12">
      <c r="A219" s="114"/>
      <c r="B219" s="114"/>
      <c r="C219" s="114"/>
      <c r="D219" s="114"/>
      <c r="E219" s="114"/>
      <c r="F219" s="114"/>
      <c r="H219" s="114"/>
      <c r="I219" s="114"/>
      <c r="J219" s="114"/>
      <c r="K219" s="114"/>
      <c r="L219" s="114"/>
    </row>
    <row r="220" spans="1:12">
      <c r="A220" s="114"/>
      <c r="B220" s="114"/>
      <c r="C220" s="114"/>
      <c r="D220" s="114"/>
      <c r="E220" s="114"/>
      <c r="F220" s="114"/>
      <c r="H220" s="114"/>
      <c r="I220" s="114"/>
      <c r="J220" s="114"/>
      <c r="K220" s="114"/>
      <c r="L220" s="114"/>
    </row>
    <row r="221" spans="1:12">
      <c r="A221" s="114"/>
      <c r="B221" s="114"/>
      <c r="C221" s="114"/>
      <c r="D221" s="114"/>
      <c r="E221" s="114"/>
      <c r="F221" s="114"/>
      <c r="H221" s="114"/>
      <c r="I221" s="114"/>
      <c r="J221" s="114"/>
      <c r="K221" s="114"/>
      <c r="L221" s="114"/>
    </row>
    <row r="222" spans="1:12">
      <c r="A222" s="114"/>
      <c r="B222" s="114"/>
      <c r="C222" s="114"/>
      <c r="D222" s="114"/>
      <c r="E222" s="114"/>
      <c r="F222" s="114"/>
      <c r="H222" s="114"/>
      <c r="I222" s="114"/>
      <c r="J222" s="114"/>
      <c r="K222" s="114"/>
      <c r="L222" s="114"/>
    </row>
    <row r="223" spans="1:12">
      <c r="A223" s="114"/>
      <c r="B223" s="114"/>
      <c r="C223" s="114"/>
      <c r="D223" s="114"/>
      <c r="E223" s="114"/>
      <c r="F223" s="114"/>
      <c r="H223" s="114"/>
      <c r="I223" s="114"/>
      <c r="J223" s="114"/>
      <c r="K223" s="114"/>
      <c r="L223" s="114"/>
    </row>
    <row r="224" spans="1:12">
      <c r="A224" s="114"/>
      <c r="B224" s="114"/>
      <c r="C224" s="114"/>
      <c r="D224" s="114"/>
      <c r="E224" s="114"/>
      <c r="F224" s="114"/>
      <c r="H224" s="114"/>
      <c r="I224" s="114"/>
      <c r="J224" s="114"/>
      <c r="K224" s="114"/>
      <c r="L224" s="114"/>
    </row>
    <row r="225" spans="1:12">
      <c r="A225" s="114"/>
      <c r="B225" s="114"/>
      <c r="C225" s="114"/>
      <c r="D225" s="114"/>
      <c r="E225" s="114"/>
      <c r="F225" s="114"/>
      <c r="H225" s="114"/>
      <c r="I225" s="114"/>
      <c r="J225" s="114"/>
      <c r="K225" s="114"/>
      <c r="L225" s="114"/>
    </row>
    <row r="226" spans="1:12">
      <c r="A226" s="114"/>
      <c r="B226" s="114"/>
      <c r="C226" s="114"/>
      <c r="D226" s="114"/>
      <c r="E226" s="114"/>
      <c r="F226" s="114"/>
      <c r="H226" s="114"/>
      <c r="I226" s="114"/>
      <c r="J226" s="114"/>
      <c r="K226" s="114"/>
      <c r="L226" s="114"/>
    </row>
    <row r="227" spans="1:12">
      <c r="A227" s="114"/>
      <c r="B227" s="114"/>
      <c r="C227" s="114"/>
      <c r="D227" s="114"/>
      <c r="E227" s="114"/>
      <c r="F227" s="114"/>
      <c r="H227" s="114"/>
      <c r="I227" s="114"/>
      <c r="J227" s="114"/>
      <c r="K227" s="114"/>
      <c r="L227" s="114"/>
    </row>
    <row r="228" spans="1:12">
      <c r="A228" s="114"/>
      <c r="B228" s="114"/>
      <c r="C228" s="114"/>
      <c r="D228" s="114"/>
      <c r="E228" s="114"/>
      <c r="F228" s="114"/>
      <c r="H228" s="114"/>
      <c r="I228" s="114"/>
      <c r="J228" s="114"/>
      <c r="K228" s="114"/>
      <c r="L228" s="114"/>
    </row>
    <row r="229" spans="1:12">
      <c r="A229" s="114"/>
      <c r="B229" s="114"/>
      <c r="C229" s="114"/>
      <c r="D229" s="114"/>
      <c r="E229" s="114"/>
      <c r="F229" s="114"/>
      <c r="H229" s="114"/>
      <c r="I229" s="114"/>
      <c r="J229" s="114"/>
      <c r="K229" s="114"/>
      <c r="L229" s="114"/>
    </row>
    <row r="230" spans="1:12">
      <c r="A230" s="114"/>
      <c r="B230" s="114"/>
      <c r="C230" s="114"/>
      <c r="D230" s="114"/>
      <c r="E230" s="114"/>
      <c r="F230" s="114"/>
      <c r="H230" s="114"/>
      <c r="I230" s="114"/>
      <c r="J230" s="114"/>
      <c r="K230" s="114"/>
      <c r="L230" s="114"/>
    </row>
    <row r="231" spans="1:12">
      <c r="A231" s="114"/>
      <c r="B231" s="114"/>
      <c r="C231" s="114"/>
      <c r="D231" s="114"/>
      <c r="E231" s="114"/>
      <c r="F231" s="114"/>
      <c r="H231" s="114"/>
      <c r="I231" s="114"/>
      <c r="J231" s="114"/>
      <c r="K231" s="114"/>
      <c r="L231" s="114"/>
    </row>
    <row r="232" spans="1:12">
      <c r="A232" s="114"/>
      <c r="B232" s="114"/>
      <c r="C232" s="114"/>
      <c r="D232" s="114"/>
      <c r="E232" s="114"/>
      <c r="F232" s="114"/>
      <c r="H232" s="114"/>
      <c r="I232" s="114"/>
      <c r="J232" s="114"/>
    </row>
    <row r="233" spans="1:12">
      <c r="A233" s="114"/>
      <c r="B233" s="114"/>
      <c r="C233" s="114"/>
      <c r="D233" s="114"/>
      <c r="E233" s="114"/>
      <c r="F233" s="114"/>
      <c r="H233" s="114"/>
      <c r="I233" s="114"/>
      <c r="J233" s="114"/>
    </row>
    <row r="234" spans="1:12">
      <c r="A234" s="114"/>
      <c r="B234" s="114"/>
      <c r="C234" s="114"/>
      <c r="D234" s="114"/>
      <c r="E234" s="114"/>
      <c r="F234" s="114"/>
      <c r="H234" s="114"/>
      <c r="I234" s="114"/>
      <c r="J234" s="114"/>
    </row>
    <row r="235" spans="1:12">
      <c r="A235" s="114"/>
      <c r="B235" s="114"/>
      <c r="C235" s="114"/>
      <c r="D235" s="114"/>
      <c r="E235" s="114"/>
      <c r="F235" s="114"/>
      <c r="H235" s="114"/>
      <c r="I235" s="114"/>
      <c r="J235" s="114"/>
    </row>
    <row r="236" spans="1:12">
      <c r="A236" s="114"/>
      <c r="B236" s="114"/>
      <c r="C236" s="114"/>
      <c r="D236" s="114"/>
      <c r="E236" s="114"/>
      <c r="F236" s="114"/>
      <c r="H236" s="114"/>
      <c r="I236" s="114"/>
      <c r="J236" s="114"/>
    </row>
    <row r="237" spans="1:12">
      <c r="A237" s="114"/>
      <c r="B237" s="114"/>
      <c r="C237" s="114"/>
      <c r="D237" s="114"/>
      <c r="E237" s="114"/>
      <c r="F237" s="114"/>
      <c r="H237" s="114"/>
      <c r="I237" s="114"/>
      <c r="J237" s="114"/>
    </row>
    <row r="238" spans="1:12">
      <c r="A238" s="114"/>
      <c r="B238" s="114"/>
      <c r="C238" s="114"/>
      <c r="D238" s="114"/>
      <c r="E238" s="114"/>
      <c r="F238" s="114"/>
      <c r="H238" s="114"/>
      <c r="I238" s="114"/>
      <c r="J238" s="114"/>
    </row>
    <row r="239" spans="1:12">
      <c r="A239" s="114"/>
      <c r="B239" s="114"/>
      <c r="C239" s="114"/>
      <c r="D239" s="114"/>
      <c r="E239" s="114"/>
      <c r="F239" s="114"/>
      <c r="H239" s="114"/>
      <c r="I239" s="114"/>
      <c r="J239" s="114"/>
    </row>
    <row r="240" spans="1:12">
      <c r="A240" s="114"/>
      <c r="B240" s="114"/>
      <c r="C240" s="114"/>
      <c r="D240" s="114"/>
      <c r="E240" s="114"/>
      <c r="F240" s="114"/>
      <c r="H240" s="114"/>
      <c r="I240" s="114"/>
      <c r="J240" s="114"/>
    </row>
    <row r="241" spans="1:10">
      <c r="A241" s="114"/>
      <c r="B241" s="114"/>
      <c r="C241" s="114"/>
      <c r="D241" s="114"/>
      <c r="E241" s="114"/>
      <c r="F241" s="114"/>
      <c r="H241" s="114"/>
      <c r="I241" s="114"/>
      <c r="J241" s="114"/>
    </row>
    <row r="242" spans="1:10">
      <c r="A242" s="114"/>
      <c r="B242" s="114"/>
      <c r="C242" s="114"/>
      <c r="D242" s="114"/>
      <c r="E242" s="114"/>
      <c r="F242" s="114"/>
      <c r="G242" s="114"/>
      <c r="H242" s="177"/>
      <c r="I242" s="177"/>
    </row>
    <row r="243" spans="1:10">
      <c r="A243" s="114"/>
      <c r="B243" s="114"/>
      <c r="C243" s="114"/>
      <c r="D243" s="114"/>
      <c r="E243" s="114"/>
      <c r="F243" s="114"/>
      <c r="G243" s="114"/>
      <c r="H243" s="177"/>
      <c r="I243" s="177"/>
    </row>
    <row r="244" spans="1:10">
      <c r="A244" s="114"/>
      <c r="B244" s="114"/>
      <c r="C244" s="114"/>
      <c r="D244" s="114"/>
      <c r="E244" s="114"/>
      <c r="F244" s="114"/>
      <c r="G244" s="114"/>
      <c r="H244" s="177"/>
      <c r="I244" s="177"/>
    </row>
    <row r="245" spans="1:10">
      <c r="A245" s="114"/>
      <c r="B245" s="114"/>
      <c r="C245" s="114"/>
      <c r="D245" s="114"/>
      <c r="E245" s="114"/>
      <c r="F245" s="114"/>
      <c r="G245" s="114"/>
      <c r="H245" s="177"/>
      <c r="I245" s="177"/>
    </row>
    <row r="246" spans="1:10">
      <c r="A246" s="114"/>
      <c r="B246" s="114"/>
      <c r="C246" s="114"/>
      <c r="D246" s="114"/>
      <c r="E246" s="114"/>
      <c r="F246" s="114"/>
      <c r="G246" s="114"/>
      <c r="H246" s="177"/>
      <c r="I246" s="177"/>
    </row>
    <row r="247" spans="1:10">
      <c r="A247" s="114"/>
      <c r="B247" s="114"/>
      <c r="C247" s="114"/>
      <c r="D247" s="114"/>
      <c r="E247" s="114"/>
      <c r="F247" s="114"/>
      <c r="G247" s="114"/>
      <c r="H247" s="177"/>
      <c r="I247" s="177"/>
    </row>
  </sheetData>
  <mergeCells count="5">
    <mergeCell ref="J6:K6"/>
    <mergeCell ref="M6:N6"/>
    <mergeCell ref="O6:S6"/>
    <mergeCell ref="B6:F6"/>
    <mergeCell ref="H6:I6"/>
  </mergeCells>
  <printOptions horizontalCentered="1"/>
  <pageMargins left="0" right="0" top="0.5" bottom="0.5" header="0.3" footer="0.2"/>
  <pageSetup paperSize="5" scale="65" fitToHeight="6" orientation="landscape" r:id="rId1"/>
  <headerFooter>
    <oddFooter>&amp;L&amp;D  &amp;T&amp;C&amp;P  of  &amp;N&amp;R&amp;Z&amp;F</oddFooter>
  </headerFooter>
  <rowBreaks count="3" manualBreakCount="3">
    <brk id="108" max="16383" man="1"/>
    <brk id="167" max="16383" man="1"/>
    <brk id="192"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'[1]drop down boxes'!#REF!</xm:f>
          </x14:formula1>
          <xm:sqref>D114</xm:sqref>
        </x14:dataValidation>
        <x14:dataValidation type="list" allowBlank="1" showInputMessage="1" showErrorMessage="1">
          <x14:formula1>
            <xm:f>'[1]drop down boxes'!#REF!</xm:f>
          </x14:formula1>
          <xm:sqref>E114</xm:sqref>
        </x14:dataValidation>
        <x14:dataValidation type="list" allowBlank="1" showInputMessage="1" showErrorMessage="1">
          <x14:formula1>
            <xm:f>'[2]drop down boxes'!#REF!</xm:f>
          </x14:formula1>
          <xm:sqref>D112:E113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overall spend by category</vt:lpstr>
      <vt:lpstr>overall spend by department</vt:lpstr>
      <vt:lpstr>spend by department and outcome</vt:lpstr>
      <vt:lpstr>Flint Water Exp &amp; Act Track</vt:lpstr>
      <vt:lpstr>'Flint Water Exp &amp; Act Track'!Print_Area</vt:lpstr>
      <vt:lpstr>'overall spend by department'!Print_Area</vt:lpstr>
      <vt:lpstr>'Flint Water Exp &amp; Act Track'!Print_Titles</vt:lpstr>
      <vt:lpstr>'spend by department and outcome'!Print_Titles</vt:lpstr>
      <vt:lpstr>'Flint Water Exp &amp; Act Track'!Purchase_of_bottled_water__faucet_filters__and_water_mounts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2016-11-30T20:25:39Z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tiveLinkConverted">
    <vt:bool>true</vt:bool>
  </property>
</Properties>
</file>