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filterPrivacy="1" showInkAnnotation="0" updateLinks="never" hidePivotFieldList="1" defaultThemeVersion="124226"/>
  <xr:revisionPtr revIDLastSave="0" documentId="8_{33638D0A-6AA1-47AC-82DB-10B52C4BB4F0}" xr6:coauthVersionLast="43" xr6:coauthVersionMax="43" xr10:uidLastSave="{00000000-0000-0000-0000-000000000000}"/>
  <bookViews>
    <workbookView xWindow="-120" yWindow="-120" windowWidth="21840" windowHeight="13140" tabRatio="762" xr2:uid="{00000000-000D-0000-FFFF-FFFF00000000}"/>
  </bookViews>
  <sheets>
    <sheet name="overall spend by category" sheetId="24" r:id="rId1"/>
    <sheet name="overall spend by department" sheetId="25" r:id="rId2"/>
    <sheet name="spend by department and outcome" sheetId="26" r:id="rId3"/>
    <sheet name="Flint Water Exp &amp; Act Track" sheetId="17" r:id="rId4"/>
    <sheet name="summary" sheetId="30" r:id="rId5"/>
    <sheet name="graph data" sheetId="29" r:id="rId6"/>
  </sheets>
  <externalReferences>
    <externalReference r:id="rId7"/>
    <externalReference r:id="rId8"/>
    <externalReference r:id="rId9"/>
  </externalReferences>
  <definedNames>
    <definedName name="_xlnm._FilterDatabase" localSheetId="3" hidden="1">'Flint Water Exp &amp; Act Track'!$A$7:$AB$354</definedName>
    <definedName name="_xlnm._FilterDatabase" localSheetId="4" hidden="1">summary!#REF!</definedName>
    <definedName name="Contract" localSheetId="3">#REF!</definedName>
    <definedName name="Contract" localSheetId="4">#REF!</definedName>
    <definedName name="Contract">#REF!</definedName>
    <definedName name="ExpType" localSheetId="3">#REF!</definedName>
    <definedName name="ExpType" localSheetId="4">#REF!</definedName>
    <definedName name="ExpType">#REF!</definedName>
    <definedName name="_xlnm.Print_Area" localSheetId="3">'Flint Water Exp &amp; Act Track'!$A$1:$Y$354</definedName>
    <definedName name="_xlnm.Print_Area" localSheetId="0">'overall spend by category'!$A$1:$H$23</definedName>
    <definedName name="_xlnm.Print_Area" localSheetId="1">'overall spend by department'!$A$1:$N$43</definedName>
    <definedName name="_xlnm.Print_Area" localSheetId="2">'spend by department and outcome'!$A$1:$P$95</definedName>
    <definedName name="_xlnm.Print_Area" localSheetId="4">summary!$A$1:$N$60</definedName>
    <definedName name="_xlnm.Print_Titles" localSheetId="3">'Flint Water Exp &amp; Act Track'!$1:$7</definedName>
    <definedName name="_xlnm.Print_Titles" localSheetId="2">'spend by department and outcome'!$1:$2</definedName>
    <definedName name="_xlnm.Print_Titles" localSheetId="4">summary!$1:$5</definedName>
    <definedName name="Purchase_of_bottled_water__faucet_filters__and_water_mounts" localSheetId="3">'Flint Water Exp &amp; Act Track'!$F$10:$F$10</definedName>
    <definedName name="Purchase_of_bottled_water__faucet_filters__and_water_mounts" localSheetId="4">summary!#REF!</definedName>
    <definedName name="SEOC" localSheetId="3">#REF!</definedName>
    <definedName name="SEOC" localSheetId="4">#REF!</definedName>
    <definedName name="SEOC">#REF!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30" i="26" l="1"/>
  <c r="A9" i="17"/>
  <c r="A10" i="17" s="1"/>
  <c r="A11" i="17" s="1"/>
  <c r="A12" i="17" s="1"/>
  <c r="A13" i="17" s="1"/>
  <c r="A14" i="17" s="1"/>
  <c r="A15" i="17" s="1"/>
  <c r="A16" i="17" s="1"/>
  <c r="A17" i="17" s="1"/>
  <c r="A18" i="17" s="1"/>
  <c r="A19" i="17" s="1"/>
  <c r="A20" i="17" s="1"/>
  <c r="A21" i="17" s="1"/>
  <c r="A22" i="17" s="1"/>
  <c r="A23" i="17" s="1"/>
  <c r="A24" i="17" s="1"/>
  <c r="A25" i="17" s="1"/>
  <c r="A26" i="17" s="1"/>
  <c r="A27" i="17" s="1"/>
  <c r="A28" i="17" s="1"/>
  <c r="A29" i="17" s="1"/>
  <c r="A30" i="17" s="1"/>
  <c r="A31" i="17" s="1"/>
  <c r="A32" i="17" s="1"/>
  <c r="A33" i="17" s="1"/>
  <c r="A34" i="17" s="1"/>
  <c r="A35" i="17" s="1"/>
  <c r="A36" i="17" s="1"/>
  <c r="A37" i="17" s="1"/>
  <c r="A38" i="17" s="1"/>
  <c r="A39" i="17" s="1"/>
  <c r="A40" i="17" s="1"/>
  <c r="A41" i="17" s="1"/>
  <c r="A42" i="17" s="1"/>
  <c r="A43" i="17" s="1"/>
  <c r="A44" i="17" s="1"/>
  <c r="A45" i="17" s="1"/>
  <c r="A46" i="17" s="1"/>
  <c r="A47" i="17" s="1"/>
  <c r="A48" i="17" s="1"/>
  <c r="A49" i="17" s="1"/>
  <c r="A50" i="17" s="1"/>
  <c r="A51" i="17" s="1"/>
  <c r="A52" i="17" s="1"/>
  <c r="A53" i="17" s="1"/>
  <c r="A54" i="17" s="1"/>
  <c r="A55" i="17" s="1"/>
  <c r="A56" i="17" s="1"/>
  <c r="A57" i="17" s="1"/>
  <c r="A58" i="17" s="1"/>
  <c r="A59" i="17" s="1"/>
  <c r="A60" i="17" s="1"/>
  <c r="A61" i="17" s="1"/>
  <c r="A62" i="17" s="1"/>
  <c r="A63" i="17" s="1"/>
  <c r="A64" i="17" s="1"/>
  <c r="A65" i="17" s="1"/>
  <c r="A66" i="17" s="1"/>
  <c r="A67" i="17" s="1"/>
  <c r="A68" i="17" s="1"/>
  <c r="A69" i="17" s="1"/>
  <c r="A70" i="17" s="1"/>
  <c r="A71" i="17" s="1"/>
  <c r="A72" i="17" s="1"/>
  <c r="A73" i="17" s="1"/>
  <c r="A74" i="17" s="1"/>
  <c r="A75" i="17" s="1"/>
  <c r="A76" i="17" s="1"/>
  <c r="A77" i="17" s="1"/>
  <c r="A78" i="17" s="1"/>
  <c r="A79" i="17" s="1"/>
  <c r="A80" i="17" s="1"/>
  <c r="A81" i="17" s="1"/>
  <c r="A82" i="17" s="1"/>
  <c r="A83" i="17" s="1"/>
  <c r="A84" i="17" s="1"/>
  <c r="A85" i="17" s="1"/>
  <c r="A86" i="17" s="1"/>
  <c r="A87" i="17" s="1"/>
  <c r="A88" i="17" s="1"/>
  <c r="A89" i="17" s="1"/>
  <c r="A90" i="17" s="1"/>
  <c r="A91" i="17" s="1"/>
  <c r="A92" i="17" s="1"/>
  <c r="A93" i="17" s="1"/>
  <c r="A94" i="17" s="1"/>
  <c r="A95" i="17" s="1"/>
  <c r="A96" i="17" s="1"/>
  <c r="A97" i="17" s="1"/>
  <c r="A98" i="17" s="1"/>
  <c r="A99" i="17" s="1"/>
  <c r="A100" i="17" s="1"/>
  <c r="A101" i="17" s="1"/>
  <c r="A102" i="17" s="1"/>
  <c r="A103" i="17" s="1"/>
  <c r="A104" i="17" s="1"/>
  <c r="A105" i="17" s="1"/>
  <c r="A106" i="17" s="1"/>
  <c r="A107" i="17" s="1"/>
  <c r="A108" i="17" s="1"/>
  <c r="A109" i="17" s="1"/>
  <c r="A110" i="17" s="1"/>
  <c r="A111" i="17" s="1"/>
  <c r="A112" i="17" s="1"/>
  <c r="A113" i="17" s="1"/>
  <c r="A114" i="17" s="1"/>
  <c r="A115" i="17" s="1"/>
  <c r="A116" i="17" s="1"/>
  <c r="A117" i="17" s="1"/>
  <c r="A118" i="17" s="1"/>
  <c r="A119" i="17" s="1"/>
  <c r="A120" i="17" s="1"/>
  <c r="A121" i="17" s="1"/>
  <c r="A122" i="17" s="1"/>
  <c r="A123" i="17" s="1"/>
  <c r="A124" i="17" s="1"/>
  <c r="A125" i="17" s="1"/>
  <c r="A126" i="17" s="1"/>
  <c r="A127" i="17" s="1"/>
  <c r="A128" i="17" s="1"/>
  <c r="A129" i="17" s="1"/>
  <c r="A130" i="17" s="1"/>
  <c r="A131" i="17" s="1"/>
  <c r="A132" i="17" s="1"/>
  <c r="A133" i="17" s="1"/>
  <c r="A134" i="17" s="1"/>
  <c r="A135" i="17" s="1"/>
  <c r="A136" i="17" s="1"/>
  <c r="A137" i="17" s="1"/>
  <c r="A138" i="17" s="1"/>
  <c r="A139" i="17" s="1"/>
  <c r="A140" i="17" s="1"/>
  <c r="A141" i="17" s="1"/>
  <c r="A142" i="17" s="1"/>
  <c r="A143" i="17" s="1"/>
  <c r="A144" i="17" s="1"/>
  <c r="A145" i="17" s="1"/>
  <c r="A146" i="17" s="1"/>
  <c r="A147" i="17" s="1"/>
  <c r="A148" i="17" s="1"/>
  <c r="A149" i="17" s="1"/>
  <c r="A150" i="17" s="1"/>
  <c r="A151" i="17" s="1"/>
  <c r="A152" i="17" s="1"/>
  <c r="A153" i="17" s="1"/>
  <c r="A154" i="17" s="1"/>
  <c r="A155" i="17" s="1"/>
  <c r="A156" i="17" s="1"/>
  <c r="A157" i="17" s="1"/>
  <c r="A158" i="17" s="1"/>
  <c r="A159" i="17" s="1"/>
  <c r="A160" i="17" s="1"/>
  <c r="A161" i="17" s="1"/>
  <c r="A162" i="17" s="1"/>
  <c r="A163" i="17" s="1"/>
  <c r="A164" i="17" s="1"/>
  <c r="A165" i="17" s="1"/>
  <c r="A166" i="17" s="1"/>
  <c r="A167" i="17" s="1"/>
  <c r="A168" i="17" s="1"/>
  <c r="A169" i="17" s="1"/>
  <c r="A170" i="17" s="1"/>
  <c r="A171" i="17" s="1"/>
  <c r="A172" i="17" s="1"/>
  <c r="A173" i="17" s="1"/>
  <c r="A174" i="17" s="1"/>
  <c r="A175" i="17" s="1"/>
  <c r="A176" i="17" s="1"/>
  <c r="A177" i="17" s="1"/>
  <c r="A178" i="17" s="1"/>
  <c r="A179" i="17" s="1"/>
  <c r="A180" i="17" s="1"/>
  <c r="A181" i="17" s="1"/>
  <c r="A182" i="17" s="1"/>
  <c r="A183" i="17" s="1"/>
  <c r="A184" i="17" s="1"/>
  <c r="A185" i="17" s="1"/>
  <c r="A186" i="17" s="1"/>
  <c r="A187" i="17" s="1"/>
  <c r="A188" i="17" s="1"/>
  <c r="A189" i="17" s="1"/>
  <c r="A190" i="17" s="1"/>
  <c r="A191" i="17" s="1"/>
  <c r="A192" i="17" s="1"/>
  <c r="A193" i="17" s="1"/>
  <c r="A194" i="17" s="1"/>
  <c r="A195" i="17" s="1"/>
  <c r="A196" i="17" s="1"/>
  <c r="A197" i="17" s="1"/>
  <c r="A198" i="17" s="1"/>
  <c r="A199" i="17" s="1"/>
  <c r="A200" i="17" s="1"/>
  <c r="A201" i="17" s="1"/>
  <c r="A202" i="17" s="1"/>
  <c r="A203" i="17" s="1"/>
  <c r="A204" i="17" s="1"/>
  <c r="A205" i="17" s="1"/>
  <c r="A206" i="17" s="1"/>
  <c r="A207" i="17" s="1"/>
  <c r="A208" i="17" s="1"/>
  <c r="A209" i="17" s="1"/>
  <c r="A210" i="17" s="1"/>
  <c r="A211" i="17" s="1"/>
  <c r="A212" i="17" s="1"/>
  <c r="A213" i="17" s="1"/>
  <c r="A214" i="17" s="1"/>
  <c r="A215" i="17" s="1"/>
  <c r="A216" i="17" s="1"/>
  <c r="A217" i="17" s="1"/>
  <c r="A218" i="17" s="1"/>
  <c r="A219" i="17" s="1"/>
  <c r="A220" i="17" s="1"/>
  <c r="A221" i="17" s="1"/>
  <c r="A222" i="17" s="1"/>
  <c r="A223" i="17" s="1"/>
  <c r="A224" i="17" s="1"/>
  <c r="A225" i="17" s="1"/>
  <c r="A226" i="17" s="1"/>
  <c r="A227" i="17" s="1"/>
  <c r="A228" i="17" s="1"/>
  <c r="A229" i="17" s="1"/>
  <c r="A230" i="17" s="1"/>
  <c r="A231" i="17" s="1"/>
  <c r="A232" i="17" s="1"/>
  <c r="A233" i="17" s="1"/>
  <c r="A234" i="17" s="1"/>
  <c r="A235" i="17" s="1"/>
  <c r="A236" i="17" s="1"/>
  <c r="A237" i="17" s="1"/>
  <c r="A238" i="17" s="1"/>
  <c r="A239" i="17" s="1"/>
  <c r="A240" i="17" s="1"/>
  <c r="A241" i="17" s="1"/>
  <c r="A242" i="17" s="1"/>
  <c r="A243" i="17" s="1"/>
  <c r="A244" i="17" s="1"/>
  <c r="A245" i="17" s="1"/>
  <c r="A246" i="17" s="1"/>
  <c r="A247" i="17" s="1"/>
  <c r="A248" i="17" s="1"/>
  <c r="A249" i="17" s="1"/>
  <c r="A250" i="17" s="1"/>
  <c r="A251" i="17" s="1"/>
  <c r="A252" i="17" s="1"/>
  <c r="A253" i="17" s="1"/>
  <c r="A254" i="17" s="1"/>
  <c r="A255" i="17" s="1"/>
  <c r="A256" i="17" s="1"/>
  <c r="A257" i="17" s="1"/>
  <c r="A258" i="17" s="1"/>
  <c r="A259" i="17" s="1"/>
  <c r="A260" i="17" s="1"/>
  <c r="A261" i="17" s="1"/>
  <c r="A262" i="17" s="1"/>
  <c r="A263" i="17" s="1"/>
  <c r="A264" i="17" s="1"/>
  <c r="A265" i="17" s="1"/>
  <c r="A266" i="17" s="1"/>
  <c r="A267" i="17" s="1"/>
  <c r="A268" i="17" s="1"/>
  <c r="A269" i="17" s="1"/>
  <c r="A270" i="17" s="1"/>
  <c r="A271" i="17" s="1"/>
  <c r="A272" i="17" s="1"/>
  <c r="A273" i="17" s="1"/>
  <c r="A274" i="17" s="1"/>
  <c r="A275" i="17" s="1"/>
  <c r="A276" i="17" s="1"/>
  <c r="A277" i="17" s="1"/>
  <c r="A278" i="17" s="1"/>
  <c r="A279" i="17" s="1"/>
  <c r="A280" i="17" s="1"/>
  <c r="A281" i="17" s="1"/>
  <c r="A282" i="17" s="1"/>
  <c r="A283" i="17" s="1"/>
  <c r="A284" i="17" s="1"/>
  <c r="A285" i="17" s="1"/>
  <c r="A286" i="17" s="1"/>
  <c r="A287" i="17" s="1"/>
  <c r="A288" i="17" s="1"/>
  <c r="A289" i="17" s="1"/>
  <c r="A290" i="17" s="1"/>
  <c r="A291" i="17" s="1"/>
  <c r="A292" i="17" s="1"/>
  <c r="A293" i="17" s="1"/>
  <c r="A294" i="17" s="1"/>
  <c r="A295" i="17" s="1"/>
  <c r="A296" i="17" s="1"/>
  <c r="A297" i="17" s="1"/>
  <c r="A298" i="17" s="1"/>
  <c r="A299" i="17" s="1"/>
  <c r="A300" i="17" s="1"/>
  <c r="A301" i="17" s="1"/>
  <c r="A302" i="17" s="1"/>
  <c r="A303" i="17" s="1"/>
  <c r="A304" i="17" s="1"/>
  <c r="A305" i="17" s="1"/>
  <c r="A306" i="17" s="1"/>
  <c r="A307" i="17" s="1"/>
  <c r="A308" i="17" s="1"/>
  <c r="A309" i="17" s="1"/>
  <c r="A310" i="17" s="1"/>
  <c r="A311" i="17" s="1"/>
  <c r="A312" i="17" s="1"/>
  <c r="A313" i="17" s="1"/>
  <c r="A314" i="17" s="1"/>
  <c r="A315" i="17" s="1"/>
  <c r="A316" i="17" s="1"/>
  <c r="A317" i="17" s="1"/>
  <c r="A318" i="17" s="1"/>
  <c r="A319" i="17" s="1"/>
  <c r="A320" i="17" s="1"/>
  <c r="A321" i="17" s="1"/>
  <c r="A322" i="17" s="1"/>
  <c r="A323" i="17" s="1"/>
  <c r="A324" i="17" s="1"/>
  <c r="A325" i="17" s="1"/>
  <c r="A326" i="17" s="1"/>
  <c r="A327" i="17" s="1"/>
  <c r="A328" i="17" s="1"/>
  <c r="A329" i="17" s="1"/>
  <c r="A330" i="17" s="1"/>
  <c r="A331" i="17" s="1"/>
  <c r="A332" i="17" s="1"/>
  <c r="A333" i="17" s="1"/>
  <c r="A334" i="17" s="1"/>
  <c r="A335" i="17" s="1"/>
  <c r="A336" i="17" s="1"/>
  <c r="A337" i="17" s="1"/>
  <c r="A338" i="17" s="1"/>
  <c r="A339" i="17" s="1"/>
  <c r="A340" i="17" s="1"/>
  <c r="A341" i="17" s="1"/>
  <c r="A342" i="17" s="1"/>
  <c r="A343" i="17" s="1"/>
  <c r="A344" i="17" s="1"/>
  <c r="A345" i="17" s="1"/>
  <c r="A346" i="17" s="1"/>
  <c r="A347" i="17" s="1"/>
  <c r="A348" i="17" s="1"/>
  <c r="A349" i="17" s="1"/>
  <c r="A350" i="17" s="1"/>
  <c r="A351" i="17" s="1"/>
  <c r="A352" i="17" s="1"/>
  <c r="A353" i="17" s="1"/>
  <c r="U258" i="17"/>
  <c r="U257" i="17"/>
  <c r="U256" i="17"/>
  <c r="R256" i="17"/>
  <c r="U255" i="17"/>
  <c r="U254" i="17"/>
  <c r="U253" i="17"/>
  <c r="U252" i="17"/>
  <c r="R252" i="17"/>
  <c r="U251" i="17"/>
  <c r="U250" i="17"/>
  <c r="U249" i="17"/>
  <c r="U248" i="17"/>
  <c r="U246" i="17"/>
  <c r="U244" i="17"/>
  <c r="U243" i="17"/>
  <c r="U242" i="17"/>
  <c r="U241" i="17"/>
  <c r="U240" i="17"/>
  <c r="R249" i="17" l="1"/>
  <c r="R242" i="17"/>
  <c r="R239" i="17"/>
  <c r="R245" i="17"/>
  <c r="R253" i="17"/>
  <c r="R257" i="17"/>
  <c r="R240" i="17"/>
  <c r="R247" i="17"/>
  <c r="R250" i="17"/>
  <c r="R254" i="17"/>
  <c r="R258" i="17"/>
  <c r="R243" i="17"/>
  <c r="R246" i="17"/>
  <c r="R241" i="17"/>
  <c r="R248" i="17"/>
  <c r="R251" i="17"/>
  <c r="R255" i="17"/>
  <c r="R259" i="17"/>
  <c r="U259" i="17" s="1"/>
  <c r="U239" i="17"/>
  <c r="U247" i="17"/>
  <c r="R244" i="17"/>
  <c r="N38" i="26"/>
  <c r="N54" i="26"/>
  <c r="N88" i="26"/>
  <c r="U22" i="17"/>
  <c r="U21" i="17"/>
  <c r="U20" i="17"/>
  <c r="J20" i="17"/>
  <c r="N19" i="17"/>
  <c r="R19" i="17" s="1"/>
  <c r="U17" i="17"/>
  <c r="R15" i="17"/>
  <c r="R14" i="17"/>
  <c r="R13" i="17"/>
  <c r="R12" i="17"/>
  <c r="R20" i="17" l="1"/>
  <c r="R17" i="17"/>
  <c r="R21" i="17"/>
  <c r="U15" i="17"/>
  <c r="U16" i="17"/>
  <c r="R18" i="17"/>
  <c r="R22" i="17"/>
  <c r="R16" i="17"/>
  <c r="U18" i="17"/>
  <c r="U12" i="17"/>
  <c r="R58" i="17" l="1"/>
  <c r="S201" i="17" l="1"/>
  <c r="P201" i="17"/>
  <c r="U199" i="17"/>
  <c r="P198" i="17"/>
  <c r="H198" i="17" s="1"/>
  <c r="U196" i="17"/>
  <c r="U195" i="17"/>
  <c r="U194" i="17"/>
  <c r="U193" i="17"/>
  <c r="U192" i="17"/>
  <c r="N192" i="17"/>
  <c r="L192" i="17"/>
  <c r="J192" i="17"/>
  <c r="U191" i="17"/>
  <c r="U190" i="17"/>
  <c r="U189" i="17"/>
  <c r="R189" i="17"/>
  <c r="U188" i="17"/>
  <c r="P188" i="17"/>
  <c r="L188" i="17"/>
  <c r="J188" i="17"/>
  <c r="U187" i="17"/>
  <c r="U186" i="17"/>
  <c r="U185" i="17"/>
  <c r="U184" i="17"/>
  <c r="U183" i="17"/>
  <c r="U181" i="17"/>
  <c r="U180" i="17"/>
  <c r="U179" i="17"/>
  <c r="N179" i="17"/>
  <c r="U178" i="17"/>
  <c r="H177" i="17"/>
  <c r="U176" i="17"/>
  <c r="H176" i="17"/>
  <c r="H175" i="17"/>
  <c r="U174" i="17"/>
  <c r="S173" i="17"/>
  <c r="S169" i="17"/>
  <c r="U168" i="17"/>
  <c r="U167" i="17"/>
  <c r="P164" i="17"/>
  <c r="N164" i="17"/>
  <c r="H164" i="17"/>
  <c r="H163" i="17"/>
  <c r="U161" i="17"/>
  <c r="P161" i="17"/>
  <c r="H160" i="17"/>
  <c r="H159" i="17"/>
  <c r="H158" i="17"/>
  <c r="S157" i="17"/>
  <c r="H156" i="17"/>
  <c r="S155" i="17"/>
  <c r="S154" i="17"/>
  <c r="S153" i="17"/>
  <c r="S152" i="17"/>
  <c r="L149" i="17"/>
  <c r="S147" i="17"/>
  <c r="H146" i="17"/>
  <c r="R145" i="17"/>
  <c r="N140" i="17"/>
  <c r="N134" i="17"/>
  <c r="S133" i="17"/>
  <c r="P133" i="17"/>
  <c r="N133" i="17"/>
  <c r="L133" i="17"/>
  <c r="I133" i="17"/>
  <c r="H133" i="17"/>
  <c r="L131" i="17"/>
  <c r="U130" i="17"/>
  <c r="S127" i="17"/>
  <c r="L127" i="17"/>
  <c r="U125" i="17"/>
  <c r="S123" i="17"/>
  <c r="S122" i="17"/>
  <c r="S120" i="17"/>
  <c r="S119" i="17"/>
  <c r="N118" i="17"/>
  <c r="S116" i="17"/>
  <c r="S115" i="17"/>
  <c r="S114" i="17"/>
  <c r="S111" i="17"/>
  <c r="S109" i="17"/>
  <c r="S108" i="17"/>
  <c r="N108" i="17"/>
  <c r="S106" i="17"/>
  <c r="J106" i="17"/>
  <c r="U105" i="17"/>
  <c r="H105" i="17"/>
  <c r="S103" i="17"/>
  <c r="L103" i="17"/>
  <c r="S102" i="17"/>
  <c r="L102" i="17"/>
  <c r="N101" i="17"/>
  <c r="L101" i="17"/>
  <c r="S100" i="17"/>
  <c r="X95" i="17"/>
  <c r="U94" i="17"/>
  <c r="H94" i="17"/>
  <c r="P90" i="17"/>
  <c r="S89" i="17"/>
  <c r="S88" i="17"/>
  <c r="N88" i="17"/>
  <c r="S87" i="17"/>
  <c r="N87" i="17"/>
  <c r="S86" i="17"/>
  <c r="S83" i="17"/>
  <c r="J83" i="17"/>
  <c r="J82" i="17"/>
  <c r="S81" i="17"/>
  <c r="S79" i="17"/>
  <c r="H78" i="17"/>
  <c r="S77" i="17"/>
  <c r="S72" i="17"/>
  <c r="U69" i="17"/>
  <c r="J69" i="17"/>
  <c r="U68" i="17"/>
  <c r="U287" i="17"/>
  <c r="U286" i="17"/>
  <c r="U285" i="17"/>
  <c r="U284" i="17"/>
  <c r="U283" i="17"/>
  <c r="U282" i="17"/>
  <c r="U281" i="17"/>
  <c r="U280" i="17"/>
  <c r="U279" i="17"/>
  <c r="U278" i="17"/>
  <c r="U277" i="17"/>
  <c r="U276" i="17"/>
  <c r="U275" i="17"/>
  <c r="U274" i="17"/>
  <c r="U273" i="17"/>
  <c r="U272" i="17"/>
  <c r="U271" i="17"/>
  <c r="U270" i="17"/>
  <c r="U269" i="17"/>
  <c r="U268" i="17"/>
  <c r="U267" i="17"/>
  <c r="U266" i="17"/>
  <c r="U265" i="17"/>
  <c r="U264" i="17"/>
  <c r="U263" i="17"/>
  <c r="U262" i="17"/>
  <c r="U261" i="17"/>
  <c r="U35" i="17"/>
  <c r="J32" i="17"/>
  <c r="U31" i="17"/>
  <c r="L30" i="17"/>
  <c r="H30" i="17"/>
  <c r="L29" i="17"/>
  <c r="J29" i="17"/>
  <c r="J28" i="17"/>
  <c r="U352" i="17"/>
  <c r="U347" i="17"/>
  <c r="U346" i="17"/>
  <c r="U343" i="17"/>
  <c r="L343" i="17"/>
  <c r="U342" i="17"/>
  <c r="U341" i="17"/>
  <c r="U340" i="17"/>
  <c r="L340" i="17"/>
  <c r="U339" i="17"/>
  <c r="U338" i="17"/>
  <c r="L338" i="17"/>
  <c r="U337" i="17"/>
  <c r="J329" i="17"/>
  <c r="L328" i="17"/>
  <c r="U326" i="17"/>
  <c r="U325" i="17"/>
  <c r="H161" i="17" l="1"/>
  <c r="H201" i="17"/>
  <c r="R276" i="17"/>
  <c r="R280" i="17"/>
  <c r="R284" i="17"/>
  <c r="R286" i="17"/>
  <c r="R87" i="17"/>
  <c r="U87" i="17" s="1"/>
  <c r="R332" i="17"/>
  <c r="U332" i="17" s="1"/>
  <c r="R334" i="17"/>
  <c r="U334" i="17" s="1"/>
  <c r="R336" i="17"/>
  <c r="U336" i="17" s="1"/>
  <c r="R337" i="17"/>
  <c r="R339" i="17"/>
  <c r="R340" i="17"/>
  <c r="R341" i="17"/>
  <c r="R342" i="17"/>
  <c r="R343" i="17"/>
  <c r="R344" i="17"/>
  <c r="U344" i="17" s="1"/>
  <c r="R345" i="17"/>
  <c r="U345" i="17" s="1"/>
  <c r="R346" i="17"/>
  <c r="R347" i="17"/>
  <c r="R348" i="17"/>
  <c r="U348" i="17" s="1"/>
  <c r="R349" i="17"/>
  <c r="U349" i="17" s="1"/>
  <c r="R350" i="17"/>
  <c r="U350" i="17" s="1"/>
  <c r="R351" i="17"/>
  <c r="U351" i="17" s="1"/>
  <c r="R352" i="17"/>
  <c r="R27" i="17"/>
  <c r="U27" i="17" s="1"/>
  <c r="R333" i="17"/>
  <c r="U333" i="17" s="1"/>
  <c r="R335" i="17"/>
  <c r="U335" i="17" s="1"/>
  <c r="R338" i="17"/>
  <c r="R79" i="17"/>
  <c r="U79" i="17" s="1"/>
  <c r="R81" i="17"/>
  <c r="R131" i="17"/>
  <c r="U131" i="17" s="1"/>
  <c r="R195" i="17"/>
  <c r="R31" i="17"/>
  <c r="R35" i="17"/>
  <c r="R37" i="17"/>
  <c r="U37" i="17" s="1"/>
  <c r="R262" i="17"/>
  <c r="R264" i="17"/>
  <c r="R266" i="17"/>
  <c r="R268" i="17"/>
  <c r="R270" i="17"/>
  <c r="R272" i="17"/>
  <c r="R274" i="17"/>
  <c r="R278" i="17"/>
  <c r="R282" i="17"/>
  <c r="R66" i="17"/>
  <c r="U66" i="17" s="1"/>
  <c r="R68" i="17"/>
  <c r="R69" i="17"/>
  <c r="R70" i="17"/>
  <c r="U70" i="17" s="1"/>
  <c r="R71" i="17"/>
  <c r="U71" i="17" s="1"/>
  <c r="R72" i="17"/>
  <c r="U72" i="17" s="1"/>
  <c r="R73" i="17"/>
  <c r="U73" i="17" s="1"/>
  <c r="R74" i="17"/>
  <c r="U74" i="17" s="1"/>
  <c r="R75" i="17"/>
  <c r="U75" i="17" s="1"/>
  <c r="R76" i="17"/>
  <c r="U76" i="17" s="1"/>
  <c r="R77" i="17"/>
  <c r="U77" i="17" s="1"/>
  <c r="R83" i="17"/>
  <c r="U83" i="17" s="1"/>
  <c r="R85" i="17"/>
  <c r="U85" i="17" s="1"/>
  <c r="R89" i="17"/>
  <c r="U89" i="17" s="1"/>
  <c r="R91" i="17"/>
  <c r="U91" i="17" s="1"/>
  <c r="R92" i="17"/>
  <c r="U92" i="17" s="1"/>
  <c r="R93" i="17"/>
  <c r="U93" i="17" s="1"/>
  <c r="R99" i="17"/>
  <c r="U99" i="17" s="1"/>
  <c r="R103" i="17"/>
  <c r="U103" i="17" s="1"/>
  <c r="R105" i="17"/>
  <c r="R106" i="17"/>
  <c r="U106" i="17" s="1"/>
  <c r="R107" i="17"/>
  <c r="U107" i="17" s="1"/>
  <c r="R108" i="17"/>
  <c r="U108" i="17" s="1"/>
  <c r="R109" i="17"/>
  <c r="U109" i="17" s="1"/>
  <c r="R110" i="17"/>
  <c r="U110" i="17" s="1"/>
  <c r="R111" i="17"/>
  <c r="U111" i="17" s="1"/>
  <c r="R112" i="17"/>
  <c r="U112" i="17" s="1"/>
  <c r="R113" i="17"/>
  <c r="U113" i="17" s="1"/>
  <c r="R114" i="17"/>
  <c r="U114" i="17" s="1"/>
  <c r="R115" i="17"/>
  <c r="U115" i="17" s="1"/>
  <c r="R116" i="17"/>
  <c r="U116" i="17" s="1"/>
  <c r="R117" i="17"/>
  <c r="U117" i="17" s="1"/>
  <c r="R118" i="17"/>
  <c r="U118" i="17" s="1"/>
  <c r="R119" i="17"/>
  <c r="U119" i="17" s="1"/>
  <c r="R120" i="17"/>
  <c r="U120" i="17" s="1"/>
  <c r="R133" i="17"/>
  <c r="U133" i="17" s="1"/>
  <c r="R134" i="17"/>
  <c r="U134" i="17" s="1"/>
  <c r="R135" i="17"/>
  <c r="U135" i="17" s="1"/>
  <c r="R136" i="17"/>
  <c r="U136" i="17" s="1"/>
  <c r="R137" i="17"/>
  <c r="U137" i="17" s="1"/>
  <c r="R138" i="17"/>
  <c r="U138" i="17" s="1"/>
  <c r="R139" i="17"/>
  <c r="U139" i="17" s="1"/>
  <c r="R140" i="17"/>
  <c r="U140" i="17" s="1"/>
  <c r="R142" i="17"/>
  <c r="U142" i="17" s="1"/>
  <c r="R143" i="17"/>
  <c r="U143" i="17" s="1"/>
  <c r="R144" i="17"/>
  <c r="U144" i="17" s="1"/>
  <c r="R147" i="17"/>
  <c r="U147" i="17" s="1"/>
  <c r="R149" i="17"/>
  <c r="U149" i="17" s="1"/>
  <c r="R158" i="17"/>
  <c r="U158" i="17" s="1"/>
  <c r="R162" i="17"/>
  <c r="U162" i="17" s="1"/>
  <c r="R165" i="17"/>
  <c r="U165" i="17" s="1"/>
  <c r="R167" i="17"/>
  <c r="R171" i="17"/>
  <c r="U171" i="17" s="1"/>
  <c r="R172" i="17"/>
  <c r="U172" i="17" s="1"/>
  <c r="R173" i="17"/>
  <c r="U173" i="17" s="1"/>
  <c r="R174" i="17"/>
  <c r="R180" i="17"/>
  <c r="R181" i="17"/>
  <c r="R191" i="17"/>
  <c r="R199" i="17"/>
  <c r="R200" i="17"/>
  <c r="U200" i="17" s="1"/>
  <c r="R203" i="17"/>
  <c r="U203" i="17" s="1"/>
  <c r="R205" i="17"/>
  <c r="U205" i="17" s="1"/>
  <c r="R328" i="17"/>
  <c r="U328" i="17" s="1"/>
  <c r="R330" i="17"/>
  <c r="U330" i="17" s="1"/>
  <c r="R326" i="17"/>
  <c r="R28" i="17"/>
  <c r="U28" i="17" s="1"/>
  <c r="R29" i="17"/>
  <c r="U29" i="17" s="1"/>
  <c r="R78" i="17"/>
  <c r="U78" i="17" s="1"/>
  <c r="R80" i="17"/>
  <c r="U80" i="17" s="1"/>
  <c r="R95" i="17"/>
  <c r="U95" i="17" s="1"/>
  <c r="R121" i="17"/>
  <c r="U121" i="17" s="1"/>
  <c r="R122" i="17"/>
  <c r="U122" i="17" s="1"/>
  <c r="R123" i="17"/>
  <c r="U123" i="17" s="1"/>
  <c r="R124" i="17"/>
  <c r="U124" i="17" s="1"/>
  <c r="R125" i="17"/>
  <c r="R126" i="17"/>
  <c r="U126" i="17" s="1"/>
  <c r="R127" i="17"/>
  <c r="U127" i="17" s="1"/>
  <c r="R128" i="17"/>
  <c r="U128" i="17" s="1"/>
  <c r="R129" i="17"/>
  <c r="U129" i="17" s="1"/>
  <c r="R130" i="17"/>
  <c r="R132" i="17"/>
  <c r="U132" i="17" s="1"/>
  <c r="R159" i="17"/>
  <c r="U159" i="17" s="1"/>
  <c r="R163" i="17"/>
  <c r="U163" i="17" s="1"/>
  <c r="R175" i="17"/>
  <c r="U175" i="17" s="1"/>
  <c r="R179" i="17"/>
  <c r="R201" i="17"/>
  <c r="U201" i="17" s="1"/>
  <c r="R33" i="17"/>
  <c r="U33" i="17" s="1"/>
  <c r="R260" i="17"/>
  <c r="U260" i="17" s="1"/>
  <c r="R97" i="17"/>
  <c r="U97" i="17" s="1"/>
  <c r="R101" i="17"/>
  <c r="U101" i="17" s="1"/>
  <c r="R153" i="17"/>
  <c r="U153" i="17" s="1"/>
  <c r="R155" i="17"/>
  <c r="U155" i="17" s="1"/>
  <c r="R161" i="17"/>
  <c r="R183" i="17"/>
  <c r="R185" i="17"/>
  <c r="R187" i="17"/>
  <c r="R193" i="17"/>
  <c r="R197" i="17"/>
  <c r="U197" i="17" s="1"/>
  <c r="R177" i="17"/>
  <c r="U177" i="17" s="1"/>
  <c r="R169" i="17"/>
  <c r="U169" i="17" s="1"/>
  <c r="R157" i="17"/>
  <c r="U157" i="17" s="1"/>
  <c r="R151" i="17"/>
  <c r="U151" i="17" s="1"/>
  <c r="R65" i="17"/>
  <c r="U65" i="17" s="1"/>
  <c r="R94" i="17"/>
  <c r="R325" i="17"/>
  <c r="R30" i="17"/>
  <c r="U30" i="17" s="1"/>
  <c r="R32" i="17"/>
  <c r="U32" i="17" s="1"/>
  <c r="R34" i="17"/>
  <c r="U34" i="17" s="1"/>
  <c r="R36" i="17"/>
  <c r="U36" i="17" s="1"/>
  <c r="R184" i="17"/>
  <c r="R186" i="17"/>
  <c r="R194" i="17"/>
  <c r="R202" i="17"/>
  <c r="U202" i="17" s="1"/>
  <c r="R141" i="17"/>
  <c r="U141" i="17" s="1"/>
  <c r="R82" i="17"/>
  <c r="U82" i="17" s="1"/>
  <c r="R96" i="17"/>
  <c r="U96" i="17" s="1"/>
  <c r="R98" i="17"/>
  <c r="U98" i="17" s="1"/>
  <c r="R100" i="17"/>
  <c r="U100" i="17" s="1"/>
  <c r="R102" i="17"/>
  <c r="U102" i="17" s="1"/>
  <c r="R104" i="17"/>
  <c r="U104" i="17" s="1"/>
  <c r="R146" i="17"/>
  <c r="U146" i="17" s="1"/>
  <c r="R148" i="17"/>
  <c r="U148" i="17" s="1"/>
  <c r="R150" i="17"/>
  <c r="U150" i="17" s="1"/>
  <c r="R152" i="17"/>
  <c r="U152" i="17" s="1"/>
  <c r="R154" i="17"/>
  <c r="U154" i="17" s="1"/>
  <c r="R160" i="17"/>
  <c r="U160" i="17" s="1"/>
  <c r="R164" i="17"/>
  <c r="U164" i="17" s="1"/>
  <c r="R176" i="17"/>
  <c r="R182" i="17"/>
  <c r="U182" i="17" s="1"/>
  <c r="R196" i="17"/>
  <c r="R204" i="17"/>
  <c r="U204" i="17" s="1"/>
  <c r="R67" i="17"/>
  <c r="U67" i="17" s="1"/>
  <c r="R327" i="17"/>
  <c r="U327" i="17" s="1"/>
  <c r="R329" i="17"/>
  <c r="U329" i="17" s="1"/>
  <c r="R331" i="17"/>
  <c r="U331" i="17" s="1"/>
  <c r="R261" i="17"/>
  <c r="R263" i="17"/>
  <c r="R265" i="17"/>
  <c r="R267" i="17"/>
  <c r="R269" i="17"/>
  <c r="R271" i="17"/>
  <c r="R273" i="17"/>
  <c r="R275" i="17"/>
  <c r="R277" i="17"/>
  <c r="R279" i="17"/>
  <c r="R281" i="17"/>
  <c r="R283" i="17"/>
  <c r="R285" i="17"/>
  <c r="R287" i="17"/>
  <c r="R84" i="17"/>
  <c r="U84" i="17" s="1"/>
  <c r="R86" i="17"/>
  <c r="U86" i="17" s="1"/>
  <c r="R88" i="17"/>
  <c r="U88" i="17" s="1"/>
  <c r="R90" i="17"/>
  <c r="U90" i="17" s="1"/>
  <c r="R156" i="17"/>
  <c r="U156" i="17" s="1"/>
  <c r="R166" i="17"/>
  <c r="U166" i="17" s="1"/>
  <c r="R168" i="17"/>
  <c r="R170" i="17"/>
  <c r="R178" i="17"/>
  <c r="R190" i="17"/>
  <c r="R198" i="17"/>
  <c r="U198" i="17" s="1"/>
  <c r="U145" i="17"/>
  <c r="R192" i="17"/>
  <c r="I63" i="17"/>
  <c r="S49" i="17"/>
  <c r="N49" i="17"/>
  <c r="L49" i="17"/>
  <c r="U47" i="17"/>
  <c r="U46" i="17"/>
  <c r="L46" i="17"/>
  <c r="J46" i="17"/>
  <c r="S45" i="17"/>
  <c r="U45" i="17" s="1"/>
  <c r="S44" i="17"/>
  <c r="S43" i="17"/>
  <c r="S41" i="17"/>
  <c r="N41" i="17"/>
  <c r="L41" i="17"/>
  <c r="J41" i="17"/>
  <c r="S230" i="17"/>
  <c r="S227" i="17"/>
  <c r="S226" i="17"/>
  <c r="L222" i="17"/>
  <c r="R188" i="17" l="1"/>
  <c r="R218" i="17"/>
  <c r="R220" i="17"/>
  <c r="U220" i="17" s="1"/>
  <c r="R222" i="17"/>
  <c r="U222" i="17" s="1"/>
  <c r="R224" i="17"/>
  <c r="U224" i="17" s="1"/>
  <c r="R226" i="17"/>
  <c r="U226" i="17" s="1"/>
  <c r="R228" i="17"/>
  <c r="U228" i="17" s="1"/>
  <c r="R230" i="17"/>
  <c r="U230" i="17" s="1"/>
  <c r="R231" i="17"/>
  <c r="U231" i="17" s="1"/>
  <c r="R232" i="17"/>
  <c r="R233" i="17"/>
  <c r="U233" i="17" s="1"/>
  <c r="R234" i="17"/>
  <c r="U234" i="17" s="1"/>
  <c r="R235" i="17"/>
  <c r="U235" i="17" s="1"/>
  <c r="R236" i="17"/>
  <c r="U236" i="17" s="1"/>
  <c r="R237" i="17"/>
  <c r="U237" i="17" s="1"/>
  <c r="R38" i="17"/>
  <c r="U38" i="17" s="1"/>
  <c r="R219" i="17"/>
  <c r="U219" i="17" s="1"/>
  <c r="R221" i="17"/>
  <c r="U221" i="17" s="1"/>
  <c r="R223" i="17"/>
  <c r="U223" i="17" s="1"/>
  <c r="R225" i="17"/>
  <c r="U225" i="17" s="1"/>
  <c r="R227" i="17"/>
  <c r="U227" i="17" s="1"/>
  <c r="R229" i="17"/>
  <c r="U229" i="17" s="1"/>
  <c r="U81" i="17"/>
  <c r="R39" i="17"/>
  <c r="U39" i="17" s="1"/>
  <c r="R40" i="17"/>
  <c r="U40" i="17" s="1"/>
  <c r="R43" i="17"/>
  <c r="U43" i="17" s="1"/>
  <c r="R48" i="17"/>
  <c r="U48" i="17" s="1"/>
  <c r="R60" i="17"/>
  <c r="U60" i="17" s="1"/>
  <c r="R62" i="17"/>
  <c r="U62" i="17" s="1"/>
  <c r="R41" i="17"/>
  <c r="U41" i="17" s="1"/>
  <c r="R42" i="17"/>
  <c r="U42" i="17" s="1"/>
  <c r="R44" i="17"/>
  <c r="U44" i="17" s="1"/>
  <c r="R45" i="17"/>
  <c r="R47" i="17"/>
  <c r="R59" i="17"/>
  <c r="U59" i="17" s="1"/>
  <c r="R61" i="17"/>
  <c r="U61" i="17" s="1"/>
  <c r="U170" i="17"/>
  <c r="R63" i="17"/>
  <c r="U63" i="17" s="1"/>
  <c r="R64" i="17"/>
  <c r="U64" i="17" s="1"/>
  <c r="R217" i="17"/>
  <c r="U217" i="17" s="1"/>
  <c r="R49" i="17"/>
  <c r="U49" i="17" s="1"/>
  <c r="R50" i="17"/>
  <c r="U50" i="17" s="1"/>
  <c r="R51" i="17"/>
  <c r="U51" i="17" s="1"/>
  <c r="R52" i="17"/>
  <c r="U52" i="17" s="1"/>
  <c r="R53" i="17"/>
  <c r="U53" i="17" s="1"/>
  <c r="R54" i="17"/>
  <c r="U54" i="17" s="1"/>
  <c r="R55" i="17"/>
  <c r="U55" i="17" s="1"/>
  <c r="R56" i="17"/>
  <c r="U56" i="17" s="1"/>
  <c r="R57" i="17"/>
  <c r="U57" i="17" s="1"/>
  <c r="U58" i="17"/>
  <c r="U218" i="17"/>
  <c r="U232" i="17"/>
  <c r="R46" i="17" l="1"/>
  <c r="J27" i="25"/>
  <c r="J5" i="25"/>
  <c r="J7" i="25"/>
  <c r="J9" i="25"/>
  <c r="J11" i="25"/>
  <c r="J41" i="25" s="1"/>
  <c r="J13" i="25"/>
  <c r="J15" i="25"/>
  <c r="J17" i="25"/>
  <c r="J19" i="25"/>
  <c r="J21" i="25"/>
  <c r="J23" i="25"/>
  <c r="J25" i="25"/>
  <c r="J29" i="25"/>
  <c r="J31" i="25"/>
  <c r="J33" i="25"/>
  <c r="J35" i="25"/>
  <c r="J37" i="25"/>
  <c r="J39" i="25"/>
  <c r="N18" i="26"/>
  <c r="L90" i="26"/>
  <c r="L84" i="26"/>
  <c r="L78" i="26"/>
  <c r="L66" i="26"/>
  <c r="L50" i="26"/>
  <c r="L40" i="26"/>
  <c r="U9" i="17"/>
  <c r="U10" i="17"/>
  <c r="U211" i="17"/>
  <c r="U212" i="17"/>
  <c r="L16" i="30"/>
  <c r="L21" i="30"/>
  <c r="L25" i="30"/>
  <c r="L30" i="30"/>
  <c r="J52" i="30"/>
  <c r="L45" i="30"/>
  <c r="R25" i="17" l="1"/>
  <c r="R24" i="17"/>
  <c r="R211" i="17"/>
  <c r="R26" i="17"/>
  <c r="L92" i="26"/>
  <c r="R23" i="17"/>
  <c r="R324" i="17"/>
  <c r="R320" i="17"/>
  <c r="R316" i="17"/>
  <c r="R312" i="17"/>
  <c r="R308" i="17"/>
  <c r="R304" i="17"/>
  <c r="R300" i="17"/>
  <c r="R296" i="17"/>
  <c r="R292" i="17"/>
  <c r="R288" i="17"/>
  <c r="R207" i="17"/>
  <c r="R10" i="17"/>
  <c r="R353" i="17"/>
  <c r="R321" i="17"/>
  <c r="R317" i="17"/>
  <c r="R313" i="17"/>
  <c r="R309" i="17"/>
  <c r="R305" i="17"/>
  <c r="R301" i="17"/>
  <c r="R297" i="17"/>
  <c r="R293" i="17"/>
  <c r="R289" i="17"/>
  <c r="R216" i="17"/>
  <c r="R208" i="17"/>
  <c r="R11" i="17"/>
  <c r="R323" i="17"/>
  <c r="R319" i="17"/>
  <c r="R315" i="17"/>
  <c r="R311" i="17"/>
  <c r="R307" i="17"/>
  <c r="R303" i="17"/>
  <c r="R299" i="17"/>
  <c r="R295" i="17"/>
  <c r="R291" i="17"/>
  <c r="R214" i="17"/>
  <c r="R210" i="17"/>
  <c r="R215" i="17"/>
  <c r="R322" i="17"/>
  <c r="R318" i="17"/>
  <c r="R314" i="17"/>
  <c r="R310" i="17"/>
  <c r="R306" i="17"/>
  <c r="R302" i="17"/>
  <c r="R298" i="17"/>
  <c r="R294" i="17"/>
  <c r="R290" i="17"/>
  <c r="R238" i="17"/>
  <c r="R213" i="17"/>
  <c r="L28" i="30"/>
  <c r="L54" i="30"/>
  <c r="L39" i="30"/>
  <c r="L57" i="30"/>
  <c r="L29" i="30"/>
  <c r="L56" i="30"/>
  <c r="L27" i="30"/>
  <c r="L17" i="30"/>
  <c r="U11" i="17"/>
  <c r="L55" i="30"/>
  <c r="L11" i="30"/>
  <c r="L13" i="30"/>
  <c r="L53" i="30"/>
  <c r="K52" i="30"/>
  <c r="L26" i="30"/>
  <c r="L24" i="30"/>
  <c r="I52" i="30"/>
  <c r="L12" i="30"/>
  <c r="H52" i="30"/>
  <c r="L34" i="30"/>
  <c r="L22" i="30"/>
  <c r="L52" i="30"/>
  <c r="L50" i="30"/>
  <c r="L20" i="30"/>
  <c r="L19" i="30"/>
  <c r="L18" i="30"/>
  <c r="L43" i="30"/>
  <c r="L44" i="30"/>
  <c r="L23" i="30"/>
  <c r="L47" i="30"/>
  <c r="L59" i="30"/>
  <c r="L36" i="30"/>
  <c r="L48" i="30"/>
  <c r="N212" i="17"/>
  <c r="R212" i="17" s="1"/>
  <c r="N406" i="17"/>
  <c r="L15" i="30" l="1"/>
  <c r="L10" i="30"/>
  <c r="L14" i="30"/>
  <c r="L51" i="30"/>
  <c r="L49" i="30"/>
  <c r="L46" i="30"/>
  <c r="L35" i="30"/>
  <c r="L37" i="30"/>
  <c r="J401" i="17"/>
  <c r="I401" i="17"/>
  <c r="B40" i="29" s="1"/>
  <c r="K401" i="17"/>
  <c r="L401" i="17"/>
  <c r="N401" i="17"/>
  <c r="N399" i="17"/>
  <c r="N378" i="17"/>
  <c r="N372" i="17"/>
  <c r="N363" i="17"/>
  <c r="N405" i="17"/>
  <c r="N383" i="17"/>
  <c r="N408" i="17"/>
  <c r="N374" i="17"/>
  <c r="N394" i="17"/>
  <c r="N388" i="17"/>
  <c r="N403" i="17"/>
  <c r="N385" i="17"/>
  <c r="N359" i="17"/>
  <c r="N362" i="17"/>
  <c r="N404" i="17"/>
  <c r="N369" i="17"/>
  <c r="N396" i="17"/>
  <c r="N373" i="17"/>
  <c r="N375" i="17"/>
  <c r="N364" i="17"/>
  <c r="N52" i="30" l="1"/>
  <c r="M52" i="30" s="1"/>
  <c r="R401" i="17"/>
  <c r="M401" i="17" l="1"/>
  <c r="C40" i="29"/>
  <c r="U320" i="17"/>
  <c r="U319" i="17"/>
  <c r="U321" i="17"/>
  <c r="U292" i="17"/>
  <c r="U293" i="17"/>
  <c r="U318" i="17" l="1"/>
  <c r="U317" i="17"/>
  <c r="N379" i="17"/>
  <c r="N377" i="17"/>
  <c r="N384" i="17"/>
  <c r="N370" i="17"/>
  <c r="N393" i="17"/>
  <c r="N365" i="17"/>
  <c r="N386" i="17"/>
  <c r="P354" i="17"/>
  <c r="L9" i="30" l="1"/>
  <c r="L31" i="30" s="1"/>
  <c r="L38" i="30"/>
  <c r="L40" i="30" s="1"/>
  <c r="L58" i="30"/>
  <c r="L60" i="30" s="1"/>
  <c r="N400" i="17"/>
  <c r="N402" i="17"/>
  <c r="N395" i="17"/>
  <c r="N397" i="17"/>
  <c r="N371" i="17"/>
  <c r="N358" i="17"/>
  <c r="N407" i="17"/>
  <c r="N387" i="17"/>
  <c r="N389" i="17" s="1"/>
  <c r="N366" i="17"/>
  <c r="N392" i="17"/>
  <c r="N360" i="17"/>
  <c r="N376" i="17"/>
  <c r="N398" i="17"/>
  <c r="N361" i="17"/>
  <c r="N367" i="17"/>
  <c r="N368" i="17"/>
  <c r="Q354" i="17"/>
  <c r="I27" i="25"/>
  <c r="K5" i="25"/>
  <c r="K7" i="25"/>
  <c r="K9" i="25"/>
  <c r="K11" i="25"/>
  <c r="K13" i="25"/>
  <c r="K15" i="25"/>
  <c r="K17" i="25"/>
  <c r="K19" i="25"/>
  <c r="K21" i="25"/>
  <c r="K23" i="25"/>
  <c r="K25" i="25"/>
  <c r="K27" i="25"/>
  <c r="K29" i="25"/>
  <c r="K31" i="25"/>
  <c r="K33" i="25"/>
  <c r="K35" i="25"/>
  <c r="K37" i="25"/>
  <c r="K39" i="25"/>
  <c r="M40" i="26"/>
  <c r="M50" i="26"/>
  <c r="M66" i="26"/>
  <c r="M78" i="26"/>
  <c r="M84" i="26"/>
  <c r="M90" i="26"/>
  <c r="N44" i="26"/>
  <c r="U313" i="17"/>
  <c r="U306" i="17"/>
  <c r="U291" i="17"/>
  <c r="U290" i="17"/>
  <c r="U289" i="17"/>
  <c r="U288" i="17"/>
  <c r="U213" i="17"/>
  <c r="L61" i="30" l="1"/>
  <c r="N390" i="17"/>
  <c r="L32" i="30"/>
  <c r="L41" i="30"/>
  <c r="M92" i="26"/>
  <c r="N409" i="17"/>
  <c r="N380" i="17"/>
  <c r="K41" i="25"/>
  <c r="U316" i="17"/>
  <c r="U322" i="17"/>
  <c r="U210" i="17"/>
  <c r="U214" i="17"/>
  <c r="U294" i="17"/>
  <c r="U295" i="17"/>
  <c r="U296" i="17"/>
  <c r="U297" i="17"/>
  <c r="U298" i="17"/>
  <c r="U299" i="17"/>
  <c r="U300" i="17"/>
  <c r="U301" i="17"/>
  <c r="U302" i="17"/>
  <c r="U303" i="17"/>
  <c r="U304" i="17"/>
  <c r="U305" i="17"/>
  <c r="U307" i="17"/>
  <c r="U308" i="17"/>
  <c r="U309" i="17"/>
  <c r="U310" i="17"/>
  <c r="U311" i="17"/>
  <c r="U312" i="17"/>
  <c r="U314" i="17"/>
  <c r="U315" i="17"/>
  <c r="N413" i="17" l="1"/>
  <c r="N410" i="17"/>
  <c r="S209" i="17" l="1"/>
  <c r="J209" i="17"/>
  <c r="R209" i="17" s="1"/>
  <c r="U208" i="17"/>
  <c r="U207" i="17" l="1"/>
  <c r="U209" i="17"/>
  <c r="J400" i="17" l="1"/>
  <c r="I51" i="30"/>
  <c r="K400" i="17"/>
  <c r="J51" i="30"/>
  <c r="L400" i="17"/>
  <c r="K51" i="30"/>
  <c r="I400" i="17"/>
  <c r="B41" i="29" s="1"/>
  <c r="H51" i="30"/>
  <c r="R400" i="17" l="1"/>
  <c r="M400" i="17" s="1"/>
  <c r="N51" i="30"/>
  <c r="M51" i="30" s="1"/>
  <c r="U23" i="17"/>
  <c r="U24" i="17"/>
  <c r="U25" i="17"/>
  <c r="U26" i="17"/>
  <c r="U206" i="17"/>
  <c r="U215" i="17"/>
  <c r="U238" i="17"/>
  <c r="U323" i="17"/>
  <c r="U324" i="17"/>
  <c r="U353" i="17"/>
  <c r="U216" i="17" l="1"/>
  <c r="C41" i="29"/>
  <c r="H57" i="30" l="1"/>
  <c r="K57" i="30"/>
  <c r="J406" i="17"/>
  <c r="K406" i="17"/>
  <c r="I406" i="17" l="1"/>
  <c r="L406" i="17"/>
  <c r="I57" i="30"/>
  <c r="J57" i="30"/>
  <c r="R406" i="17" l="1"/>
  <c r="M406" i="17" s="1"/>
  <c r="N57" i="30"/>
  <c r="M57" i="30" s="1"/>
  <c r="R206" i="17" l="1"/>
  <c r="E3" i="30" l="1"/>
  <c r="E4" i="30"/>
  <c r="E2" i="30"/>
  <c r="N354" i="17" l="1"/>
  <c r="K27" i="30"/>
  <c r="L372" i="17"/>
  <c r="L360" i="17"/>
  <c r="O354" i="17"/>
  <c r="K18" i="30" l="1"/>
  <c r="K49" i="30"/>
  <c r="L361" i="17"/>
  <c r="K12" i="30"/>
  <c r="K14" i="30"/>
  <c r="L392" i="17"/>
  <c r="K43" i="30"/>
  <c r="L363" i="17"/>
  <c r="K22" i="30"/>
  <c r="L371" i="17"/>
  <c r="L373" i="17"/>
  <c r="K24" i="30"/>
  <c r="K26" i="30"/>
  <c r="L375" i="17"/>
  <c r="K58" i="30"/>
  <c r="K9" i="30"/>
  <c r="L407" i="17"/>
  <c r="L387" i="17"/>
  <c r="K38" i="30"/>
  <c r="L358" i="17"/>
  <c r="K37" i="30"/>
  <c r="K10" i="30"/>
  <c r="L395" i="17"/>
  <c r="K46" i="30"/>
  <c r="L359" i="17"/>
  <c r="K53" i="30"/>
  <c r="L402" i="17"/>
  <c r="L364" i="17"/>
  <c r="K15" i="30"/>
  <c r="L404" i="17"/>
  <c r="K55" i="30"/>
  <c r="K17" i="30"/>
  <c r="L366" i="17"/>
  <c r="L396" i="17"/>
  <c r="K47" i="30"/>
  <c r="L369" i="17"/>
  <c r="K20" i="30"/>
  <c r="K59" i="30"/>
  <c r="L408" i="17"/>
  <c r="K25" i="30"/>
  <c r="L374" i="17"/>
  <c r="L376" i="17"/>
  <c r="L378" i="17"/>
  <c r="K29" i="30"/>
  <c r="K30" i="30"/>
  <c r="L379" i="17"/>
  <c r="L386" i="17"/>
  <c r="K11" i="30"/>
  <c r="K48" i="30"/>
  <c r="L397" i="17"/>
  <c r="L365" i="17"/>
  <c r="K16" i="30"/>
  <c r="K44" i="30"/>
  <c r="K13" i="30"/>
  <c r="L384" i="17"/>
  <c r="K35" i="30"/>
  <c r="L393" i="17"/>
  <c r="K50" i="30"/>
  <c r="L399" i="17"/>
  <c r="L383" i="17"/>
  <c r="K23" i="30"/>
  <c r="K34" i="30"/>
  <c r="K56" i="30"/>
  <c r="L405" i="17"/>
  <c r="K54" i="30"/>
  <c r="L403" i="17"/>
  <c r="L362" i="17"/>
  <c r="L398" i="17"/>
  <c r="L385" i="17"/>
  <c r="K36" i="30"/>
  <c r="K19" i="30"/>
  <c r="L368" i="17"/>
  <c r="K21" i="30"/>
  <c r="L370" i="17"/>
  <c r="L377" i="17"/>
  <c r="K28" i="30"/>
  <c r="L388" i="17"/>
  <c r="K39" i="30"/>
  <c r="L394" i="17"/>
  <c r="K45" i="30"/>
  <c r="L367" i="17"/>
  <c r="L409" i="17" l="1"/>
  <c r="L389" i="17"/>
  <c r="L390" i="17" s="1"/>
  <c r="L380" i="17"/>
  <c r="L381" i="17" s="1"/>
  <c r="K31" i="30"/>
  <c r="K32" i="30" s="1"/>
  <c r="K40" i="30"/>
  <c r="K60" i="30"/>
  <c r="K61" i="30" l="1"/>
  <c r="L413" i="17"/>
  <c r="L410" i="17"/>
  <c r="K41" i="30"/>
  <c r="J54" i="30"/>
  <c r="J55" i="30"/>
  <c r="J11" i="30"/>
  <c r="J17" i="30" l="1"/>
  <c r="J28" i="30"/>
  <c r="J56" i="30"/>
  <c r="J19" i="30"/>
  <c r="J50" i="30"/>
  <c r="J22" i="30"/>
  <c r="J14" i="30"/>
  <c r="J43" i="30"/>
  <c r="I10" i="30"/>
  <c r="I46" i="30"/>
  <c r="H11" i="30"/>
  <c r="J13" i="30"/>
  <c r="J35" i="30"/>
  <c r="H43" i="30"/>
  <c r="H14" i="30"/>
  <c r="I15" i="30"/>
  <c r="H55" i="30"/>
  <c r="J10" i="30"/>
  <c r="H35" i="30"/>
  <c r="H13" i="30"/>
  <c r="H36" i="30"/>
  <c r="H46" i="30"/>
  <c r="H10" i="30"/>
  <c r="N11" i="30"/>
  <c r="I11" i="30"/>
  <c r="I43" i="30"/>
  <c r="I35" i="30"/>
  <c r="I13" i="30"/>
  <c r="I36" i="30"/>
  <c r="H17" i="30"/>
  <c r="J47" i="30"/>
  <c r="J20" i="30"/>
  <c r="H22" i="30"/>
  <c r="J23" i="30"/>
  <c r="J34" i="30"/>
  <c r="I59" i="30"/>
  <c r="I25" i="30"/>
  <c r="H26" i="30"/>
  <c r="I56" i="30"/>
  <c r="J45" i="30"/>
  <c r="J39" i="30"/>
  <c r="H15" i="30"/>
  <c r="N55" i="30"/>
  <c r="I55" i="30"/>
  <c r="I19" i="30"/>
  <c r="H47" i="30"/>
  <c r="H20" i="30"/>
  <c r="H50" i="30"/>
  <c r="H34" i="30"/>
  <c r="H23" i="30"/>
  <c r="I24" i="30"/>
  <c r="J25" i="30"/>
  <c r="J59" i="30"/>
  <c r="I27" i="30"/>
  <c r="H28" i="30"/>
  <c r="I29" i="30"/>
  <c r="H45" i="30"/>
  <c r="H39" i="30"/>
  <c r="H54" i="30"/>
  <c r="I17" i="30"/>
  <c r="I50" i="30"/>
  <c r="I22" i="30"/>
  <c r="J24" i="30"/>
  <c r="H59" i="30"/>
  <c r="H25" i="30"/>
  <c r="I26" i="30"/>
  <c r="J27" i="30"/>
  <c r="J29" i="30"/>
  <c r="H56" i="30"/>
  <c r="N54" i="30"/>
  <c r="I54" i="30"/>
  <c r="H19" i="30"/>
  <c r="I20" i="30"/>
  <c r="I47" i="30"/>
  <c r="I23" i="30"/>
  <c r="I34" i="30"/>
  <c r="H24" i="30"/>
  <c r="J26" i="30"/>
  <c r="H27" i="30"/>
  <c r="I28" i="30"/>
  <c r="H29" i="30"/>
  <c r="I45" i="30"/>
  <c r="I39" i="30"/>
  <c r="J46" i="30"/>
  <c r="J48" i="30"/>
  <c r="I44" i="30"/>
  <c r="M11" i="30" l="1"/>
  <c r="M54" i="30"/>
  <c r="M55" i="30"/>
  <c r="I14" i="30"/>
  <c r="N19" i="30"/>
  <c r="M19" i="30" s="1"/>
  <c r="N17" i="30"/>
  <c r="M17" i="30" s="1"/>
  <c r="N28" i="30"/>
  <c r="M28" i="30" s="1"/>
  <c r="J18" i="30"/>
  <c r="N48" i="30"/>
  <c r="N22" i="30"/>
  <c r="M22" i="30" s="1"/>
  <c r="N50" i="30"/>
  <c r="M50" i="30" s="1"/>
  <c r="N34" i="30"/>
  <c r="M34" i="30" s="1"/>
  <c r="N23" i="30"/>
  <c r="M23" i="30" s="1"/>
  <c r="N20" i="30"/>
  <c r="M20" i="30" s="1"/>
  <c r="N47" i="30"/>
  <c r="M47" i="30" s="1"/>
  <c r="N26" i="30"/>
  <c r="M26" i="30" s="1"/>
  <c r="I48" i="30"/>
  <c r="N44" i="30"/>
  <c r="I18" i="30"/>
  <c r="N45" i="30"/>
  <c r="M45" i="30" s="1"/>
  <c r="N39" i="30"/>
  <c r="M39" i="30" s="1"/>
  <c r="N59" i="30"/>
  <c r="M59" i="30" s="1"/>
  <c r="N25" i="30"/>
  <c r="M25" i="30" s="1"/>
  <c r="H48" i="30"/>
  <c r="J36" i="30"/>
  <c r="N15" i="30"/>
  <c r="J15" i="30"/>
  <c r="N43" i="30"/>
  <c r="M43" i="30" s="1"/>
  <c r="N14" i="30"/>
  <c r="H18" i="30"/>
  <c r="N29" i="30"/>
  <c r="M29" i="30" s="1"/>
  <c r="N27" i="30"/>
  <c r="M27" i="30" s="1"/>
  <c r="N24" i="30"/>
  <c r="M24" i="30" s="1"/>
  <c r="N56" i="30"/>
  <c r="M56" i="30" s="1"/>
  <c r="N13" i="30"/>
  <c r="M13" i="30" s="1"/>
  <c r="N35" i="30"/>
  <c r="M35" i="30" s="1"/>
  <c r="H44" i="30"/>
  <c r="J44" i="30"/>
  <c r="N10" i="30"/>
  <c r="M10" i="30" s="1"/>
  <c r="F27" i="25"/>
  <c r="H5" i="25"/>
  <c r="I5" i="25"/>
  <c r="H7" i="25"/>
  <c r="I7" i="25"/>
  <c r="H9" i="25"/>
  <c r="I9" i="25"/>
  <c r="H11" i="25"/>
  <c r="I11" i="25"/>
  <c r="H13" i="25"/>
  <c r="I13" i="25"/>
  <c r="H15" i="25"/>
  <c r="I15" i="25"/>
  <c r="H17" i="25"/>
  <c r="I17" i="25"/>
  <c r="H19" i="25"/>
  <c r="I19" i="25"/>
  <c r="H21" i="25"/>
  <c r="I21" i="25"/>
  <c r="H23" i="25"/>
  <c r="I23" i="25"/>
  <c r="H25" i="25"/>
  <c r="I25" i="25"/>
  <c r="H27" i="25"/>
  <c r="H29" i="25"/>
  <c r="I29" i="25"/>
  <c r="H31" i="25"/>
  <c r="I31" i="25"/>
  <c r="H33" i="25"/>
  <c r="I33" i="25"/>
  <c r="H35" i="25"/>
  <c r="I35" i="25"/>
  <c r="H37" i="25"/>
  <c r="I37" i="25"/>
  <c r="H39" i="25"/>
  <c r="I39" i="25"/>
  <c r="P74" i="26"/>
  <c r="J90" i="26"/>
  <c r="K90" i="26"/>
  <c r="J84" i="26"/>
  <c r="K84" i="26"/>
  <c r="J78" i="26"/>
  <c r="K78" i="26"/>
  <c r="J66" i="26"/>
  <c r="K66" i="26"/>
  <c r="J50" i="26"/>
  <c r="K50" i="26"/>
  <c r="J40" i="26"/>
  <c r="K40" i="26"/>
  <c r="M14" i="30" l="1"/>
  <c r="M15" i="30"/>
  <c r="M44" i="30"/>
  <c r="M48" i="30"/>
  <c r="H41" i="25"/>
  <c r="I41" i="25"/>
  <c r="N18" i="30"/>
  <c r="M18" i="30" s="1"/>
  <c r="N46" i="30"/>
  <c r="M46" i="30" s="1"/>
  <c r="N36" i="30"/>
  <c r="M36" i="30" s="1"/>
  <c r="K92" i="26"/>
  <c r="J92" i="26"/>
  <c r="J399" i="17" l="1"/>
  <c r="K399" i="17"/>
  <c r="R399" i="17" l="1"/>
  <c r="M399" i="17" s="1"/>
  <c r="C39" i="29" l="1"/>
  <c r="J49" i="30" l="1"/>
  <c r="N49" i="30" l="1"/>
  <c r="J398" i="17"/>
  <c r="I49" i="30"/>
  <c r="H49" i="30"/>
  <c r="K398" i="17"/>
  <c r="I398" i="17"/>
  <c r="B38" i="29" s="1"/>
  <c r="I399" i="17"/>
  <c r="B39" i="29" s="1"/>
  <c r="M49" i="30" l="1"/>
  <c r="R398" i="17"/>
  <c r="M398" i="17" s="1"/>
  <c r="A3" i="25"/>
  <c r="A2" i="26" s="1"/>
  <c r="C38" i="29" l="1"/>
  <c r="J30" i="30" l="1"/>
  <c r="J21" i="30"/>
  <c r="J53" i="30"/>
  <c r="J12" i="30" l="1"/>
  <c r="H53" i="30"/>
  <c r="I12" i="30"/>
  <c r="N53" i="30"/>
  <c r="I53" i="30"/>
  <c r="N21" i="30"/>
  <c r="I21" i="30"/>
  <c r="H16" i="30"/>
  <c r="H37" i="30"/>
  <c r="N30" i="30"/>
  <c r="I30" i="30"/>
  <c r="J16" i="30"/>
  <c r="J37" i="30"/>
  <c r="H21" i="30"/>
  <c r="H12" i="30"/>
  <c r="H30" i="30"/>
  <c r="L9" i="17"/>
  <c r="R9" i="17" s="1"/>
  <c r="U8" i="17"/>
  <c r="M53" i="30" l="1"/>
  <c r="M30" i="30"/>
  <c r="M21" i="30"/>
  <c r="R8" i="17"/>
  <c r="N12" i="30"/>
  <c r="M12" i="30" s="1"/>
  <c r="I9" i="30"/>
  <c r="I58" i="30"/>
  <c r="I60" i="30" s="1"/>
  <c r="I38" i="30"/>
  <c r="I16" i="30"/>
  <c r="I37" i="30"/>
  <c r="H58" i="30"/>
  <c r="H60" i="30" s="1"/>
  <c r="H38" i="30"/>
  <c r="H40" i="30" s="1"/>
  <c r="H9" i="30"/>
  <c r="H31" i="30" s="1"/>
  <c r="H354" i="17"/>
  <c r="H61" i="30" l="1"/>
  <c r="J58" i="30"/>
  <c r="J60" i="30" s="1"/>
  <c r="J9" i="30"/>
  <c r="J31" i="30" s="1"/>
  <c r="J38" i="30"/>
  <c r="J40" i="30" s="1"/>
  <c r="I40" i="30"/>
  <c r="I61" i="30" s="1"/>
  <c r="H41" i="30"/>
  <c r="I31" i="30"/>
  <c r="N16" i="30"/>
  <c r="M16" i="30" s="1"/>
  <c r="N37" i="30"/>
  <c r="M37" i="30" s="1"/>
  <c r="N9" i="30"/>
  <c r="N58" i="30"/>
  <c r="N38" i="30"/>
  <c r="O88" i="26"/>
  <c r="J61" i="30" l="1"/>
  <c r="M38" i="30"/>
  <c r="M40" i="30" s="1"/>
  <c r="M58" i="30"/>
  <c r="M60" i="30" s="1"/>
  <c r="M9" i="30"/>
  <c r="M31" i="30" s="1"/>
  <c r="J41" i="30"/>
  <c r="I41" i="30"/>
  <c r="N60" i="30"/>
  <c r="N31" i="30"/>
  <c r="N40" i="30"/>
  <c r="I354" i="17"/>
  <c r="N61" i="30" l="1"/>
  <c r="M61" i="30"/>
  <c r="M41" i="30"/>
  <c r="N41" i="30"/>
  <c r="M32" i="30"/>
  <c r="R404" i="17"/>
  <c r="R361" i="17"/>
  <c r="J403" i="17"/>
  <c r="I379" i="17"/>
  <c r="K377" i="17"/>
  <c r="K372" i="17"/>
  <c r="K370" i="17"/>
  <c r="R367" i="17"/>
  <c r="K367" i="17"/>
  <c r="J367" i="17"/>
  <c r="I367" i="17"/>
  <c r="B20" i="29" s="1"/>
  <c r="I365" i="17"/>
  <c r="B18" i="29" s="1"/>
  <c r="K379" i="17"/>
  <c r="J379" i="17"/>
  <c r="K403" i="17"/>
  <c r="K388" i="17"/>
  <c r="J394" i="17"/>
  <c r="K405" i="17"/>
  <c r="J405" i="17"/>
  <c r="I378" i="17"/>
  <c r="K378" i="17"/>
  <c r="J377" i="17"/>
  <c r="J375" i="17"/>
  <c r="K373" i="17"/>
  <c r="R373" i="17"/>
  <c r="I373" i="17"/>
  <c r="I383" i="17"/>
  <c r="B15" i="24" s="1"/>
  <c r="E15" i="24" s="1"/>
  <c r="K371" i="17"/>
  <c r="K366" i="17"/>
  <c r="K365" i="17"/>
  <c r="I404" i="17"/>
  <c r="K404" i="17"/>
  <c r="J404" i="17"/>
  <c r="K361" i="17"/>
  <c r="K360" i="17"/>
  <c r="O90" i="26"/>
  <c r="N90" i="26"/>
  <c r="I90" i="26"/>
  <c r="H90" i="26"/>
  <c r="G90" i="26"/>
  <c r="F90" i="26"/>
  <c r="E90" i="26"/>
  <c r="D90" i="26"/>
  <c r="P88" i="26"/>
  <c r="P90" i="26" s="1"/>
  <c r="C2" i="29" s="1"/>
  <c r="O84" i="26"/>
  <c r="G13" i="24" s="1"/>
  <c r="N84" i="26"/>
  <c r="I84" i="26"/>
  <c r="H84" i="26"/>
  <c r="G84" i="26"/>
  <c r="F84" i="26"/>
  <c r="E84" i="26"/>
  <c r="D84" i="26"/>
  <c r="P82" i="26"/>
  <c r="P84" i="26" s="1"/>
  <c r="C7" i="29" s="1"/>
  <c r="O78" i="26"/>
  <c r="G11" i="24" s="1"/>
  <c r="N78" i="26"/>
  <c r="F11" i="24" s="1"/>
  <c r="I78" i="26"/>
  <c r="H78" i="26"/>
  <c r="G78" i="26"/>
  <c r="F78" i="26"/>
  <c r="E78" i="26"/>
  <c r="D78" i="26"/>
  <c r="P76" i="26"/>
  <c r="P72" i="26"/>
  <c r="P70" i="26"/>
  <c r="O66" i="26"/>
  <c r="N66" i="26"/>
  <c r="F9" i="24" s="1"/>
  <c r="I66" i="26"/>
  <c r="H66" i="26"/>
  <c r="G66" i="26"/>
  <c r="F66" i="26"/>
  <c r="E66" i="26"/>
  <c r="D66" i="26"/>
  <c r="P64" i="26"/>
  <c r="P62" i="26"/>
  <c r="P60" i="26"/>
  <c r="P58" i="26"/>
  <c r="P56" i="26"/>
  <c r="P54" i="26"/>
  <c r="O50" i="26"/>
  <c r="G7" i="24" s="1"/>
  <c r="N50" i="26"/>
  <c r="I50" i="26"/>
  <c r="H50" i="26"/>
  <c r="G50" i="26"/>
  <c r="F50" i="26"/>
  <c r="E50" i="26"/>
  <c r="D50" i="26"/>
  <c r="P48" i="26"/>
  <c r="P46" i="26"/>
  <c r="P44" i="26"/>
  <c r="O40" i="26"/>
  <c r="N40" i="26"/>
  <c r="F5" i="24" s="1"/>
  <c r="I40" i="26"/>
  <c r="H40" i="26"/>
  <c r="G40" i="26"/>
  <c r="F40" i="26"/>
  <c r="E40" i="26"/>
  <c r="D40" i="26"/>
  <c r="P38" i="26"/>
  <c r="P36" i="26"/>
  <c r="P34" i="26"/>
  <c r="P32" i="26"/>
  <c r="P30" i="26"/>
  <c r="P28" i="26"/>
  <c r="P26" i="26"/>
  <c r="P24" i="26"/>
  <c r="P22" i="26"/>
  <c r="P20" i="26"/>
  <c r="P18" i="26"/>
  <c r="P16" i="26"/>
  <c r="P14" i="26"/>
  <c r="P12" i="26"/>
  <c r="P10" i="26"/>
  <c r="P8" i="26"/>
  <c r="P6" i="26"/>
  <c r="M39" i="25"/>
  <c r="L39" i="25"/>
  <c r="G39" i="25"/>
  <c r="F39" i="25"/>
  <c r="E39" i="25"/>
  <c r="D39" i="25"/>
  <c r="C39" i="25"/>
  <c r="B39" i="25"/>
  <c r="M37" i="25"/>
  <c r="L37" i="25"/>
  <c r="G37" i="25"/>
  <c r="F37" i="25"/>
  <c r="E37" i="25"/>
  <c r="D37" i="25"/>
  <c r="C37" i="25"/>
  <c r="B37" i="25"/>
  <c r="M35" i="25"/>
  <c r="L35" i="25"/>
  <c r="G35" i="25"/>
  <c r="F35" i="25"/>
  <c r="E35" i="25"/>
  <c r="D35" i="25"/>
  <c r="C35" i="25"/>
  <c r="B35" i="25"/>
  <c r="M33" i="25"/>
  <c r="L33" i="25"/>
  <c r="G33" i="25"/>
  <c r="F33" i="25"/>
  <c r="E33" i="25"/>
  <c r="D33" i="25"/>
  <c r="C33" i="25"/>
  <c r="B33" i="25"/>
  <c r="M31" i="25"/>
  <c r="L31" i="25"/>
  <c r="G31" i="25"/>
  <c r="F31" i="25"/>
  <c r="E31" i="25"/>
  <c r="D31" i="25"/>
  <c r="C31" i="25"/>
  <c r="B31" i="25"/>
  <c r="M29" i="25"/>
  <c r="L29" i="25"/>
  <c r="G29" i="25"/>
  <c r="F29" i="25"/>
  <c r="E29" i="25"/>
  <c r="D29" i="25"/>
  <c r="C29" i="25"/>
  <c r="B29" i="25"/>
  <c r="G27" i="25"/>
  <c r="M25" i="25"/>
  <c r="L25" i="25"/>
  <c r="G25" i="25"/>
  <c r="F25" i="25"/>
  <c r="E25" i="25"/>
  <c r="D25" i="25"/>
  <c r="C25" i="25"/>
  <c r="B25" i="25"/>
  <c r="M23" i="25"/>
  <c r="L23" i="25"/>
  <c r="G23" i="25"/>
  <c r="F23" i="25"/>
  <c r="E23" i="25"/>
  <c r="D23" i="25"/>
  <c r="C23" i="25"/>
  <c r="B23" i="25"/>
  <c r="M21" i="25"/>
  <c r="L21" i="25"/>
  <c r="G21" i="25"/>
  <c r="F21" i="25"/>
  <c r="E21" i="25"/>
  <c r="D21" i="25"/>
  <c r="C21" i="25"/>
  <c r="B21" i="25"/>
  <c r="M19" i="25"/>
  <c r="L19" i="25"/>
  <c r="G19" i="25"/>
  <c r="F19" i="25"/>
  <c r="E19" i="25"/>
  <c r="D19" i="25"/>
  <c r="C19" i="25"/>
  <c r="B19" i="25"/>
  <c r="M17" i="25"/>
  <c r="L17" i="25"/>
  <c r="G17" i="25"/>
  <c r="F17" i="25"/>
  <c r="E17" i="25"/>
  <c r="D17" i="25"/>
  <c r="C17" i="25"/>
  <c r="B17" i="25"/>
  <c r="M15" i="25"/>
  <c r="L15" i="25"/>
  <c r="G15" i="25"/>
  <c r="F15" i="25"/>
  <c r="E15" i="25"/>
  <c r="D15" i="25"/>
  <c r="C15" i="25"/>
  <c r="B15" i="25"/>
  <c r="M13" i="25"/>
  <c r="L13" i="25"/>
  <c r="G13" i="25"/>
  <c r="F13" i="25"/>
  <c r="E13" i="25"/>
  <c r="D13" i="25"/>
  <c r="C13" i="25"/>
  <c r="B13" i="25"/>
  <c r="M11" i="25"/>
  <c r="L11" i="25"/>
  <c r="G11" i="25"/>
  <c r="F11" i="25"/>
  <c r="E11" i="25"/>
  <c r="D11" i="25"/>
  <c r="C11" i="25"/>
  <c r="B11" i="25"/>
  <c r="M9" i="25"/>
  <c r="L9" i="25"/>
  <c r="G9" i="25"/>
  <c r="F9" i="25"/>
  <c r="E9" i="25"/>
  <c r="D9" i="25"/>
  <c r="C9" i="25"/>
  <c r="B9" i="25"/>
  <c r="M7" i="25"/>
  <c r="L7" i="25"/>
  <c r="G7" i="25"/>
  <c r="F7" i="25"/>
  <c r="E7" i="25"/>
  <c r="D7" i="25"/>
  <c r="C7" i="25"/>
  <c r="B7" i="25"/>
  <c r="M5" i="25"/>
  <c r="L5" i="25"/>
  <c r="G5" i="25"/>
  <c r="F5" i="25"/>
  <c r="E5" i="25"/>
  <c r="D5" i="25"/>
  <c r="C5" i="25"/>
  <c r="B5" i="25"/>
  <c r="G15" i="24"/>
  <c r="F15" i="24"/>
  <c r="F13" i="24"/>
  <c r="G9" i="24"/>
  <c r="F7" i="24"/>
  <c r="G5" i="24"/>
  <c r="M404" i="17" l="1"/>
  <c r="M367" i="17"/>
  <c r="D41" i="25"/>
  <c r="N29" i="25"/>
  <c r="C23" i="29" s="1"/>
  <c r="N37" i="25"/>
  <c r="C27" i="29" s="1"/>
  <c r="O92" i="26"/>
  <c r="F92" i="26"/>
  <c r="N92" i="26"/>
  <c r="M41" i="25"/>
  <c r="I92" i="26"/>
  <c r="P78" i="26"/>
  <c r="C4" i="29" s="1"/>
  <c r="H15" i="24"/>
  <c r="D92" i="26"/>
  <c r="H92" i="26"/>
  <c r="N19" i="25"/>
  <c r="C18" i="29" s="1"/>
  <c r="B41" i="25"/>
  <c r="G41" i="25"/>
  <c r="F41" i="25"/>
  <c r="N5" i="25"/>
  <c r="C11" i="29" s="1"/>
  <c r="N11" i="25"/>
  <c r="C14" i="29" s="1"/>
  <c r="N21" i="25"/>
  <c r="C19" i="29" s="1"/>
  <c r="G17" i="24"/>
  <c r="N23" i="25"/>
  <c r="C20" i="29" s="1"/>
  <c r="N25" i="25"/>
  <c r="C21" i="29" s="1"/>
  <c r="N27" i="25"/>
  <c r="C22" i="29" s="1"/>
  <c r="N33" i="25"/>
  <c r="C25" i="29" s="1"/>
  <c r="N35" i="25"/>
  <c r="C26" i="29" s="1"/>
  <c r="N9" i="25"/>
  <c r="C13" i="29" s="1"/>
  <c r="N39" i="25"/>
  <c r="C28" i="29" s="1"/>
  <c r="P50" i="26"/>
  <c r="C3" i="29" s="1"/>
  <c r="N7" i="25"/>
  <c r="C12" i="29" s="1"/>
  <c r="N31" i="25"/>
  <c r="C24" i="29" s="1"/>
  <c r="R377" i="17"/>
  <c r="M377" i="17" s="1"/>
  <c r="K375" i="17"/>
  <c r="B2" i="29"/>
  <c r="E92" i="26"/>
  <c r="G92" i="26"/>
  <c r="N13" i="25"/>
  <c r="C15" i="29" s="1"/>
  <c r="P66" i="26"/>
  <c r="C5" i="29" s="1"/>
  <c r="F17" i="24"/>
  <c r="N17" i="25"/>
  <c r="C17" i="29" s="1"/>
  <c r="E41" i="25"/>
  <c r="C41" i="25"/>
  <c r="L41" i="25"/>
  <c r="P40" i="26"/>
  <c r="C6" i="29" s="1"/>
  <c r="N15" i="25"/>
  <c r="J363" i="17"/>
  <c r="J365" i="17"/>
  <c r="J362" i="17"/>
  <c r="J354" i="17"/>
  <c r="S354" i="17"/>
  <c r="L354" i="17"/>
  <c r="B28" i="29"/>
  <c r="J368" i="17"/>
  <c r="R368" i="17"/>
  <c r="J369" i="17"/>
  <c r="J396" i="17"/>
  <c r="K358" i="17"/>
  <c r="I395" i="17"/>
  <c r="B35" i="29" s="1"/>
  <c r="I359" i="17"/>
  <c r="B12" i="29" s="1"/>
  <c r="I386" i="17"/>
  <c r="R360" i="17"/>
  <c r="J360" i="17"/>
  <c r="I361" i="17"/>
  <c r="B14" i="29" s="1"/>
  <c r="R392" i="17"/>
  <c r="K392" i="17"/>
  <c r="K364" i="17"/>
  <c r="I366" i="17"/>
  <c r="B19" i="29" s="1"/>
  <c r="I370" i="17"/>
  <c r="B23" i="29" s="1"/>
  <c r="J358" i="17"/>
  <c r="J384" i="17"/>
  <c r="J359" i="17"/>
  <c r="I392" i="17"/>
  <c r="K397" i="17"/>
  <c r="J402" i="17"/>
  <c r="J361" i="17"/>
  <c r="M361" i="17" s="1"/>
  <c r="I407" i="17"/>
  <c r="K359" i="17"/>
  <c r="J395" i="17"/>
  <c r="I360" i="17"/>
  <c r="B13" i="29" s="1"/>
  <c r="K402" i="17"/>
  <c r="I362" i="17"/>
  <c r="B15" i="29" s="1"/>
  <c r="I384" i="17"/>
  <c r="B7" i="24" s="1"/>
  <c r="J392" i="17"/>
  <c r="J397" i="17"/>
  <c r="R366" i="17"/>
  <c r="J383" i="17"/>
  <c r="I375" i="17"/>
  <c r="J366" i="17"/>
  <c r="K368" i="17"/>
  <c r="J373" i="17"/>
  <c r="M373" i="17" s="1"/>
  <c r="J376" i="17"/>
  <c r="J378" i="17"/>
  <c r="J370" i="17"/>
  <c r="R370" i="17"/>
  <c r="J371" i="17"/>
  <c r="K383" i="17"/>
  <c r="K376" i="17"/>
  <c r="R403" i="17"/>
  <c r="M403" i="17" s="1"/>
  <c r="R379" i="17"/>
  <c r="M379" i="17" s="1"/>
  <c r="I377" i="17"/>
  <c r="B27" i="29" s="1"/>
  <c r="K394" i="17"/>
  <c r="R365" i="17"/>
  <c r="I396" i="17"/>
  <c r="B36" i="29" s="1"/>
  <c r="I369" i="17"/>
  <c r="B22" i="29" s="1"/>
  <c r="I372" i="17"/>
  <c r="K408" i="17"/>
  <c r="I405" i="17"/>
  <c r="I403" i="17"/>
  <c r="J372" i="17"/>
  <c r="I374" i="17"/>
  <c r="I408" i="17"/>
  <c r="B43" i="29" s="1"/>
  <c r="R405" i="17"/>
  <c r="M405" i="17" s="1"/>
  <c r="I368" i="17"/>
  <c r="B21" i="29" s="1"/>
  <c r="I371" i="17"/>
  <c r="B24" i="29" s="1"/>
  <c r="K374" i="17"/>
  <c r="I376" i="17"/>
  <c r="B26" i="29" s="1"/>
  <c r="I358" i="17"/>
  <c r="J386" i="17"/>
  <c r="I402" i="17"/>
  <c r="K384" i="17"/>
  <c r="R402" i="17"/>
  <c r="J408" i="17"/>
  <c r="R376" i="17"/>
  <c r="R378" i="17"/>
  <c r="I394" i="17"/>
  <c r="B34" i="29" s="1"/>
  <c r="I388" i="17"/>
  <c r="B13" i="24" s="1"/>
  <c r="J374" i="17"/>
  <c r="J388" i="17"/>
  <c r="C13" i="24" s="1"/>
  <c r="M378" i="17" l="1"/>
  <c r="M402" i="17"/>
  <c r="C7" i="24"/>
  <c r="M392" i="17"/>
  <c r="M365" i="17"/>
  <c r="M376" i="17"/>
  <c r="M370" i="17"/>
  <c r="M368" i="17"/>
  <c r="M366" i="17"/>
  <c r="M360" i="17"/>
  <c r="I387" i="17"/>
  <c r="B5" i="24" s="1"/>
  <c r="I363" i="17"/>
  <c r="B16" i="29" s="1"/>
  <c r="K354" i="17"/>
  <c r="I32" i="30" s="1"/>
  <c r="B7" i="29"/>
  <c r="C8" i="29"/>
  <c r="P92" i="26"/>
  <c r="C16" i="29"/>
  <c r="C29" i="29" s="1"/>
  <c r="N41" i="25"/>
  <c r="M354" i="17"/>
  <c r="J32" i="30" s="1"/>
  <c r="R363" i="17"/>
  <c r="R385" i="17"/>
  <c r="T354" i="17"/>
  <c r="H32" i="30" s="1"/>
  <c r="B3" i="29"/>
  <c r="R408" i="17"/>
  <c r="M408" i="17" s="1"/>
  <c r="R374" i="17"/>
  <c r="M374" i="17" s="1"/>
  <c r="R375" i="17"/>
  <c r="M375" i="17" s="1"/>
  <c r="R394" i="17"/>
  <c r="M394" i="17" s="1"/>
  <c r="R388" i="17"/>
  <c r="M388" i="17" s="1"/>
  <c r="K396" i="17"/>
  <c r="R397" i="17"/>
  <c r="M397" i="17" s="1"/>
  <c r="I385" i="17"/>
  <c r="R359" i="17"/>
  <c r="M359" i="17" s="1"/>
  <c r="J387" i="17"/>
  <c r="R364" i="17"/>
  <c r="K387" i="17"/>
  <c r="R371" i="17"/>
  <c r="M371" i="17" s="1"/>
  <c r="K385" i="17"/>
  <c r="K393" i="17"/>
  <c r="K362" i="17"/>
  <c r="B25" i="29"/>
  <c r="K369" i="17"/>
  <c r="K386" i="17"/>
  <c r="C9" i="24" s="1"/>
  <c r="J393" i="17"/>
  <c r="J407" i="17"/>
  <c r="K363" i="17"/>
  <c r="J364" i="17"/>
  <c r="J380" i="17" s="1"/>
  <c r="R384" i="17"/>
  <c r="M384" i="17" s="1"/>
  <c r="B32" i="29"/>
  <c r="R358" i="17"/>
  <c r="M358" i="17" s="1"/>
  <c r="B5" i="29"/>
  <c r="B9" i="24"/>
  <c r="K407" i="17"/>
  <c r="J385" i="17"/>
  <c r="C11" i="24" s="1"/>
  <c r="B11" i="29"/>
  <c r="B42" i="29"/>
  <c r="R372" i="17"/>
  <c r="M372" i="17" s="1"/>
  <c r="R383" i="17"/>
  <c r="M383" i="17" s="1"/>
  <c r="I393" i="17"/>
  <c r="B33" i="29" s="1"/>
  <c r="K395" i="17"/>
  <c r="I364" i="17"/>
  <c r="B17" i="29" s="1"/>
  <c r="R395" i="17"/>
  <c r="I397" i="17"/>
  <c r="B37" i="29" s="1"/>
  <c r="C32" i="29"/>
  <c r="R396" i="17"/>
  <c r="R369" i="17"/>
  <c r="M369" i="17" s="1"/>
  <c r="C5" i="24" l="1"/>
  <c r="M396" i="17"/>
  <c r="M395" i="17"/>
  <c r="M363" i="17"/>
  <c r="M364" i="17"/>
  <c r="M385" i="17"/>
  <c r="D11" i="24" s="1"/>
  <c r="C36" i="29"/>
  <c r="D13" i="24"/>
  <c r="E13" i="24" s="1"/>
  <c r="D7" i="24"/>
  <c r="I389" i="17"/>
  <c r="B6" i="29"/>
  <c r="R407" i="17"/>
  <c r="R387" i="17"/>
  <c r="M387" i="17" s="1"/>
  <c r="R354" i="17"/>
  <c r="N32" i="30" s="1"/>
  <c r="K389" i="17"/>
  <c r="J409" i="17"/>
  <c r="K380" i="17"/>
  <c r="K381" i="17" s="1"/>
  <c r="K409" i="17"/>
  <c r="B29" i="29"/>
  <c r="C35" i="29"/>
  <c r="J381" i="17"/>
  <c r="J389" i="17"/>
  <c r="J390" i="17" s="1"/>
  <c r="B44" i="29"/>
  <c r="C37" i="29"/>
  <c r="C43" i="29"/>
  <c r="I380" i="17"/>
  <c r="I381" i="17" s="1"/>
  <c r="R393" i="17"/>
  <c r="M393" i="17" s="1"/>
  <c r="I409" i="17"/>
  <c r="R362" i="17"/>
  <c r="M362" i="17" s="1"/>
  <c r="B4" i="29"/>
  <c r="B11" i="24"/>
  <c r="C34" i="29"/>
  <c r="R386" i="17"/>
  <c r="M386" i="17" s="1"/>
  <c r="K413" i="17" l="1"/>
  <c r="J413" i="17"/>
  <c r="J410" i="17"/>
  <c r="C42" i="29"/>
  <c r="M407" i="17"/>
  <c r="E7" i="24"/>
  <c r="H7" i="24"/>
  <c r="H13" i="24"/>
  <c r="D5" i="24"/>
  <c r="D9" i="24"/>
  <c r="B8" i="29"/>
  <c r="H11" i="24"/>
  <c r="E11" i="24"/>
  <c r="K410" i="17"/>
  <c r="K390" i="17"/>
  <c r="I390" i="17"/>
  <c r="C33" i="29"/>
  <c r="R409" i="17"/>
  <c r="R380" i="17"/>
  <c r="R381" i="17" s="1"/>
  <c r="B17" i="24"/>
  <c r="B48" i="29" s="1"/>
  <c r="B51" i="29" s="1"/>
  <c r="M380" i="17"/>
  <c r="M381" i="17" s="1"/>
  <c r="I410" i="17"/>
  <c r="I413" i="17"/>
  <c r="C17" i="24"/>
  <c r="R389" i="17"/>
  <c r="C44" i="29" l="1"/>
  <c r="E5" i="24"/>
  <c r="H5" i="24"/>
  <c r="M389" i="17"/>
  <c r="M390" i="17" s="1"/>
  <c r="H9" i="24"/>
  <c r="E9" i="24"/>
  <c r="D17" i="24"/>
  <c r="B50" i="29" s="1"/>
  <c r="B52" i="29"/>
  <c r="M409" i="17"/>
  <c r="R390" i="17"/>
  <c r="B49" i="29"/>
  <c r="R413" i="17"/>
  <c r="R410" i="17"/>
  <c r="M413" i="17" l="1"/>
  <c r="M410" i="17"/>
  <c r="E17" i="24"/>
  <c r="H17"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tc={4F332760-FA9A-44E4-BD3A-66FE11B99D9B}</author>
    <author>tc={A4824DE9-5820-4CBA-80A8-8E7AE7FAD45D}</author>
  </authors>
  <commentList>
    <comment ref="S21" authorId="0" shapeId="0" xr:uid="{4DA019AA-09B2-4019-A35D-34D680FDB8EA}">
      <text>
        <r>
          <rPr>
            <b/>
            <sz val="9"/>
            <color indexed="81"/>
            <rFont val="Tahoma"/>
            <charset val="1"/>
          </rPr>
          <t xml:space="preserve">Author:
</t>
        </r>
      </text>
    </comment>
    <comment ref="P167" authorId="0" shapeId="0" xr:uid="{4B0922E7-5F40-4C95-9F55-31B002C297A8}">
      <text>
        <r>
          <rPr>
            <b/>
            <sz val="9"/>
            <color indexed="81"/>
            <rFont val="Tahoma"/>
            <family val="2"/>
          </rPr>
          <t>Author:</t>
        </r>
        <r>
          <rPr>
            <sz val="9"/>
            <color indexed="81"/>
            <rFont val="Tahoma"/>
            <family val="2"/>
          </rPr>
          <t xml:space="preserve">
Interpretation Servicesof $734.71 will be transferred to W4026016
</t>
        </r>
      </text>
    </comment>
    <comment ref="P201" authorId="1" shapeId="0" xr:uid="{4F332760-FA9A-44E4-BD3A-66FE11B99D9B}">
      <text>
        <t>[Threaded comment]
Your version of Excel allows you to read this threaded comment; however, any edits to it will get removed if the file is opened in a newer version of Excel. Learn more: https://go.microsoft.com/fwlink/?linkid=870924
Comment:
    Included ABLES whic will be transferred back to TW4026018</t>
      </text>
    </comment>
    <comment ref="O333" authorId="2" shapeId="0" xr:uid="{A4824DE9-5820-4CBA-80A8-8E7AE7FAD45D}">
      <text>
        <t>[Threaded comment]
Your version of Excel allows you to read this threaded comment; however, any edits to it will get removed if the file is opened in a newer version of Excel. Learn more: https://go.microsoft.com/fwlink/?linkid=870924
Comment:
    $1,415,321.35 on 11/28/18, $2,144,864.65 on 12/17/18, $720,951.34 on 12/28/18, $4,718,862.66 on 3/1/2019 = $9M.</t>
      </text>
    </comment>
  </commentList>
</comments>
</file>

<file path=xl/sharedStrings.xml><?xml version="1.0" encoding="utf-8"?>
<sst xmlns="http://schemas.openxmlformats.org/spreadsheetml/2006/main" count="2857" uniqueCount="923">
  <si>
    <t>Dept</t>
  </si>
  <si>
    <t>Output Description</t>
  </si>
  <si>
    <t>#</t>
  </si>
  <si>
    <t>Response Activities</t>
  </si>
  <si>
    <t>Appropriated 
Amount</t>
  </si>
  <si>
    <t>State GF</t>
  </si>
  <si>
    <t>Outcome Category</t>
  </si>
  <si>
    <t>Water</t>
  </si>
  <si>
    <t>Food</t>
  </si>
  <si>
    <t>Reporting Period</t>
  </si>
  <si>
    <t xml:space="preserve">Report Name    </t>
  </si>
  <si>
    <t>Spending Authority, Purpose and Description</t>
  </si>
  <si>
    <t xml:space="preserve"> Outcome to Date</t>
  </si>
  <si>
    <t xml:space="preserve">Description of Purchases or Services </t>
  </si>
  <si>
    <t>Cumulative Outputs</t>
  </si>
  <si>
    <t>MDARD</t>
  </si>
  <si>
    <t>Animal Health Programs - Companion Animal Testing and Outreach</t>
  </si>
  <si>
    <t>Water Inspections at Food Establishments. Nutrition Support and Coordination</t>
  </si>
  <si>
    <t>Facilitate testing  animals exposed to City of Flint water for lead toxicity</t>
  </si>
  <si>
    <t>Current Approps</t>
  </si>
  <si>
    <t>Encumbered/Obligated
(Gross Only)</t>
  </si>
  <si>
    <t>Obligated</t>
  </si>
  <si>
    <t>Encumbered</t>
  </si>
  <si>
    <t>Planned Outputs</t>
  </si>
  <si>
    <t>AG</t>
  </si>
  <si>
    <t>Social</t>
  </si>
  <si>
    <t>DOC</t>
  </si>
  <si>
    <t>MDE</t>
  </si>
  <si>
    <t>Physical</t>
  </si>
  <si>
    <t>DEQ</t>
  </si>
  <si>
    <t>DHHS</t>
  </si>
  <si>
    <t>AY15 Work Project</t>
  </si>
  <si>
    <t>LARA</t>
  </si>
  <si>
    <t>DMVA</t>
  </si>
  <si>
    <t>DNR</t>
  </si>
  <si>
    <t>MDOS</t>
  </si>
  <si>
    <t>MSP</t>
  </si>
  <si>
    <t>DTMB</t>
  </si>
  <si>
    <t>MDOT</t>
  </si>
  <si>
    <t>Treasury</t>
  </si>
  <si>
    <t>MGCB</t>
  </si>
  <si>
    <t>Water Bill Credits</t>
  </si>
  <si>
    <t>PA 143 of 2015</t>
  </si>
  <si>
    <t>PA 3 of 2016</t>
  </si>
  <si>
    <t>Grand Total</t>
  </si>
  <si>
    <t>Spent/
Encumbered/
Obligated</t>
  </si>
  <si>
    <t>DIFS</t>
  </si>
  <si>
    <t>PA 24 of 2016</t>
  </si>
  <si>
    <t>MDCR</t>
  </si>
  <si>
    <t>Agency/SEOC support costs</t>
  </si>
  <si>
    <t>Provide administrative support</t>
  </si>
  <si>
    <t>As needed</t>
  </si>
  <si>
    <t>Respond to citizen requests</t>
  </si>
  <si>
    <t>% Spent / Encumbered / Obligated</t>
  </si>
  <si>
    <t xml:space="preserve">Conduct assessments to determine compliance with water requirements, conduct enforcement, complete follow up visits for non-compliance due to high lead levels, collect water samples </t>
  </si>
  <si>
    <t>Water = Safe Drinking Water</t>
  </si>
  <si>
    <t>Food =  Food and Nutrition</t>
  </si>
  <si>
    <t>Physical = Physical  Well-Being</t>
  </si>
  <si>
    <t>Social = Social Development and Well-Being</t>
  </si>
  <si>
    <t>Conduct assessments of food establishments connected to the Flint water supply</t>
  </si>
  <si>
    <t>100% of requests met</t>
  </si>
  <si>
    <t>Flint Water Emergency - Financial and Activities Tracking and Reporting Document</t>
  </si>
  <si>
    <t>Report Due Date</t>
  </si>
  <si>
    <t>Report Post Date</t>
  </si>
  <si>
    <t>Legal Services</t>
  </si>
  <si>
    <t>Comprehensive written report</t>
  </si>
  <si>
    <t>Investigation is Ongoing</t>
  </si>
  <si>
    <t>Agency Support Costs</t>
  </si>
  <si>
    <t>Agency/SEOC Support costs</t>
  </si>
  <si>
    <t>Agency/SEOC Support Costs</t>
  </si>
  <si>
    <t>Provide Labor and Administrative Support</t>
  </si>
  <si>
    <t>Fruits, vegetables, low-fat dairy</t>
  </si>
  <si>
    <t>G</t>
  </si>
  <si>
    <t>N/A</t>
  </si>
  <si>
    <t>Flint school district nurses - 9 positions</t>
  </si>
  <si>
    <t>Grant to GISD to provide Early On Services to children ages 0-3 exposed to lead.</t>
  </si>
  <si>
    <t>NA</t>
  </si>
  <si>
    <t>Water Sample Testing</t>
  </si>
  <si>
    <t>Provide Testing of Water Samples</t>
  </si>
  <si>
    <t>Provide About 38,400 Water Sample Tests</t>
  </si>
  <si>
    <t>Technical Assistance and Coordination</t>
  </si>
  <si>
    <t>Provide Technical Assistance and Coordination for Response Efforts</t>
  </si>
  <si>
    <t>Provide Assistance Through End of FY16</t>
  </si>
  <si>
    <t>Technical Assistance and Coordination for Response Efforts to City of Flint in Coordination with EPA</t>
  </si>
  <si>
    <t>Water System Needs and Plumbing Assessments</t>
  </si>
  <si>
    <t>Assist with Water System Needs and Plumbing Assessments within City of Flint Homes for Line Material Determination (ex. Lead)</t>
  </si>
  <si>
    <t>Infrastructure Integrity Study Using Outside Experts</t>
  </si>
  <si>
    <t>Complete an Infrastructure Integrity Study Using External Experts</t>
  </si>
  <si>
    <t>Complete an Infrastructure Integrity Study to Evaluate System</t>
  </si>
  <si>
    <t>Lab and Testing Costs</t>
  </si>
  <si>
    <t>Provide Additional Residential Water Sample Testing</t>
  </si>
  <si>
    <t>Assistance to the City of Flint on Corrosion Control</t>
  </si>
  <si>
    <t>Provide Assistance to the City of Flint on Corrosion Control</t>
  </si>
  <si>
    <t>Technical Expertise for Testing, Sampling, Administration, Evaluation</t>
  </si>
  <si>
    <t>Provide Technical Expertise for Testing, Sampling, Administration, Evaluation</t>
  </si>
  <si>
    <t>Assistance Will Continue</t>
  </si>
  <si>
    <t>100% of Request Met to Date for Technical Expertise in Testing, Sampling, Administration, Evaluation</t>
  </si>
  <si>
    <t>Genesee County food safety inspections</t>
  </si>
  <si>
    <t>Nutrition Education</t>
  </si>
  <si>
    <t>Provide health education and outreach initiatives</t>
  </si>
  <si>
    <t>Number of health education and outreach initiatives</t>
  </si>
  <si>
    <t>Food Bank Resources</t>
  </si>
  <si>
    <t>Deliver fresh produce, eggs or dairy products to affected locations</t>
  </si>
  <si>
    <t>Lactation Consultant</t>
  </si>
  <si>
    <t>Provide counseling on breastfeeding</t>
  </si>
  <si>
    <t>Children's Healthcare Access Project (CHAP)</t>
  </si>
  <si>
    <t>Assist children with establishing primary care medical home</t>
  </si>
  <si>
    <t>Child and Adolescent Health Centers</t>
  </si>
  <si>
    <t>Establish CAHC satellite locations in elementary schools</t>
  </si>
  <si>
    <t>Pathways to Potential Expansion</t>
  </si>
  <si>
    <t>Crisis Counseling</t>
  </si>
  <si>
    <t>Provide psychological first aid and crisis counseling to individuals or families</t>
  </si>
  <si>
    <t>Number of individuals or families provided psychological first aid and crisis counseling</t>
  </si>
  <si>
    <t>Provide Case Management, Care Coordination, Crisis Services, Behavioral Health and Developmental Services to  individuals and families</t>
  </si>
  <si>
    <t>Number of individuals or families served/treated</t>
  </si>
  <si>
    <t>Michigan Child Care Collaborative (MC3)</t>
  </si>
  <si>
    <t>Provide support to primary care providers and pediatric offices and clinical services to children and families in Genesee County</t>
  </si>
  <si>
    <t>Number of Primary Care Physician and pediatric offices supported for emotional and behavioral health services for children and families</t>
  </si>
  <si>
    <t>Purchase water resources</t>
  </si>
  <si>
    <t>Number of water filters, faucet mounts, replacement cartridges, and bottled water distributed</t>
  </si>
  <si>
    <t>Provide and distribute water filters, faucet mounts, replacement cartridges, and bottled water distributed</t>
  </si>
  <si>
    <t>Environmental Blood Lead Investigations</t>
  </si>
  <si>
    <t>Medical Team to Assess Linkages to Legionnaire's</t>
  </si>
  <si>
    <t>Conduct linkage assessments</t>
  </si>
  <si>
    <t>Number of linkage assessments conducted</t>
  </si>
  <si>
    <t>Number of children served</t>
  </si>
  <si>
    <t>Nurse Family Partnership</t>
  </si>
  <si>
    <t>Number of women served</t>
  </si>
  <si>
    <t>Plumbing inspections of Schools, Child Day Care Centers, Adult Foster Care, and Health Facilities</t>
  </si>
  <si>
    <t>Site Mapping of Plumbing Infrastructure Translation Services;  Agency/SEOC Support Costs</t>
  </si>
  <si>
    <t>Supplies, Plumbing Install Contract, Agency/SEOC Support Costs</t>
  </si>
  <si>
    <t>Deliver cases of water, faucet kits and filters to affected locations</t>
  </si>
  <si>
    <t>Distribute as many supplies as possible daily</t>
  </si>
  <si>
    <t>Distributed Water Cases, Faucet Kits, Filters to affected locations</t>
  </si>
  <si>
    <t>Assist DEQ in responding to Flint Water emergency</t>
  </si>
  <si>
    <t>Provide support to DEQ in responding to Flint emergency</t>
  </si>
  <si>
    <t>Emergency Management Coordinator Conference Call Participation / Assistance at the Flint Information Center</t>
  </si>
  <si>
    <t xml:space="preserve"> </t>
  </si>
  <si>
    <t>Provide support for the Flint water emergency</t>
  </si>
  <si>
    <t>Approximately 45 hours spent supporting the Flint water emergency effort</t>
  </si>
  <si>
    <t>Operational funding for Flint Water Interagency Coordinating Committee</t>
  </si>
  <si>
    <t>Operational funds for Flint Water Interagency Coordination Committee</t>
  </si>
  <si>
    <t>Safe and successful handling of Flint Water response.  Safe delivery of water and water related items.</t>
  </si>
  <si>
    <t>TED</t>
  </si>
  <si>
    <t>Public Outreach/Communications</t>
  </si>
  <si>
    <t xml:space="preserve">Providing work experience program to place program participants into work experience jobs (managing bottled water inventory and distributing bottled water to Flint Residents).  Providing job skills training and supportive services to transition participants into long term employment with the goal toward career self-sufficiency.  </t>
  </si>
  <si>
    <t>All requested resources have been provided</t>
  </si>
  <si>
    <t>requests are completed as they come from the SEOC</t>
  </si>
  <si>
    <t>request fulfilled</t>
  </si>
  <si>
    <t>Support water distribution: snow removal, traffic control devices, &amp; staff support</t>
  </si>
  <si>
    <t>Reconnect to Detroit Water System</t>
  </si>
  <si>
    <t>City of Flint remains on the Detroit Water System</t>
  </si>
  <si>
    <t>Reimburse the City for a portion of its cost for  performing a search for a new DPW director</t>
  </si>
  <si>
    <t>Hire a qualified DPW Director</t>
  </si>
  <si>
    <t>Apply credits to residents water and sewer bills</t>
  </si>
  <si>
    <t>Agency</t>
  </si>
  <si>
    <t>Appropriated</t>
  </si>
  <si>
    <t>Encumbered/
Obligated</t>
  </si>
  <si>
    <t>Total</t>
  </si>
  <si>
    <t>Civil Rights</t>
  </si>
  <si>
    <t>Corrections</t>
  </si>
  <si>
    <t>Education</t>
  </si>
  <si>
    <t>State</t>
  </si>
  <si>
    <t>Gaming</t>
  </si>
  <si>
    <t>Category</t>
  </si>
  <si>
    <t>Encumbered/ Obligated</t>
  </si>
  <si>
    <t>Public  Act</t>
  </si>
  <si>
    <t>AY 15 work project</t>
  </si>
  <si>
    <t>Sampling Results for Sentinel Sites &amp; Residential:
92% of Samples Below Action Level of 15 PPB
8% of Samples Above Action Level of 15 PPB</t>
  </si>
  <si>
    <t>Funding Source</t>
  </si>
  <si>
    <t>Econ Develop = Economic Development</t>
  </si>
  <si>
    <t>MEDC</t>
  </si>
  <si>
    <t>MSHDA</t>
  </si>
  <si>
    <t>Econ Develop</t>
  </si>
  <si>
    <t>Component Unit</t>
  </si>
  <si>
    <t>Flint Financial Summary by Outcome Category  - UNAUDITED</t>
  </si>
  <si>
    <t>Flint Water Appropriations</t>
  </si>
  <si>
    <t>Flint Specific Appropriation
 Spent</t>
  </si>
  <si>
    <t>Flint Specific Encumbrances / Obligations</t>
  </si>
  <si>
    <t>% of Appropriation Expended &amp; Encumbered/ Obligated</t>
  </si>
  <si>
    <t>Non-Flint Specific Appropriations Spent</t>
  </si>
  <si>
    <t>Totals</t>
  </si>
  <si>
    <t>Safe Drinking Water</t>
  </si>
  <si>
    <t>Food and Nutrition</t>
  </si>
  <si>
    <t>Physical Well-Being</t>
  </si>
  <si>
    <t>As part of the ongoing effort for full transparency, contents of this report represent the State's attempt to capture all expenditures for the Flint water crisis. 
This report will be updated every two weeks and will evolve to include more comprehensive data.</t>
  </si>
  <si>
    <t>Flint Financial Summary by Department - UNAUDITED</t>
  </si>
  <si>
    <t>PA 143 
of 2015</t>
  </si>
  <si>
    <t>PA 3 
of 2016</t>
  </si>
  <si>
    <t>PA 24 
of 2016</t>
  </si>
  <si>
    <t xml:space="preserve">Agriculture and Rural Development </t>
  </si>
  <si>
    <t xml:space="preserve">Attorney General </t>
  </si>
  <si>
    <t xml:space="preserve">Education </t>
  </si>
  <si>
    <t xml:space="preserve">Health and Human Services </t>
  </si>
  <si>
    <t>Insurance and Financial Services</t>
  </si>
  <si>
    <t xml:space="preserve">Licensing and Regulatory Affairs </t>
  </si>
  <si>
    <t xml:space="preserve">Military and Veterans Affairs </t>
  </si>
  <si>
    <t>Natural Resources</t>
  </si>
  <si>
    <t xml:space="preserve">Secretary of State </t>
  </si>
  <si>
    <t xml:space="preserve">State Police </t>
  </si>
  <si>
    <t xml:space="preserve">Talent and Economic Development </t>
  </si>
  <si>
    <t>Technology, Management and Budget</t>
  </si>
  <si>
    <t xml:space="preserve">Transportation </t>
  </si>
  <si>
    <t xml:space="preserve">Treasury </t>
  </si>
  <si>
    <t>Flint Financial Summary by Department and by Outcome Category  - UNAUDITED</t>
  </si>
  <si>
    <t xml:space="preserve">PA 24 
of 2016 </t>
  </si>
  <si>
    <t xml:space="preserve">Non-Flint Specific </t>
  </si>
  <si>
    <t xml:space="preserve">   Total Spent - Safe Drinking Water </t>
  </si>
  <si>
    <t>Safe Drinking Water Total</t>
  </si>
  <si>
    <t>Food and Nutrition Total</t>
  </si>
  <si>
    <t>Social Development and Well Being</t>
  </si>
  <si>
    <t>Social Development and Well-Being Total</t>
  </si>
  <si>
    <t>Physical Well Being</t>
  </si>
  <si>
    <t>Physical Well-Being Total</t>
  </si>
  <si>
    <t xml:space="preserve"> Water Bill Credits Total</t>
  </si>
  <si>
    <t>Total Spent / Encumbered / Obligated</t>
  </si>
  <si>
    <t>SEOC, Joint Information Center and Warehouse operations</t>
  </si>
  <si>
    <t>Provide recommendations as requested</t>
  </si>
  <si>
    <t>SEOC, Joint Information Center and Warehouse Operations</t>
  </si>
  <si>
    <t>Continuous operations of the SEOC, Joint Information Center and Warehouse</t>
  </si>
  <si>
    <t>Department
Total</t>
  </si>
  <si>
    <t>Department Total</t>
  </si>
  <si>
    <t xml:space="preserve">The project’s primary goals will be to: 1) develop temporary jobs that benefit the residents of Flint affected by the Flint Water Crisis by employing
workers on projects that provide emergency water, water filters, lead testing kits and replacement cartridges, 2) provide support services to the
persons placed into the temporary job, 3) provide support for temporary jobs through warehousing water and other commodities, and recycling
the bottles and filters as needed during the crisis. 
</t>
  </si>
  <si>
    <t>Consultant to complete a market study report</t>
  </si>
  <si>
    <t>The project plans to serve 400 Dislocated Workers and Long Term Unemployed (those who have been out of work more than 20 nonconsecutive weeks in the past five years) who reside in Flint.  Temporary jobs will allow an individual to be hired under this project for a period of no more than 12 months and will not exceed 2080 hours.</t>
  </si>
  <si>
    <t>Public Outreach/ Communications</t>
  </si>
  <si>
    <t>Completes tasks as assigned</t>
  </si>
  <si>
    <t>Provide children exposed to lead with the fruits/vegetables known to absorb lead</t>
  </si>
  <si>
    <t>Provide nurses in the Flint Schools to address medical concerns related to lead exposure</t>
  </si>
  <si>
    <t>Provide Early On Services to children ages 0-3 exposed to lead</t>
  </si>
  <si>
    <t>Safe and successful handling of Flint Water response.  Safe delivery of water and water related items</t>
  </si>
  <si>
    <t>Have provided overall coordination and distribution of water and filters</t>
  </si>
  <si>
    <t># of well qualified candidates</t>
  </si>
  <si>
    <t># of credits issued and total amount of credits</t>
  </si>
  <si>
    <t>Hold meetings as needed to make recommendations to the Governor</t>
  </si>
  <si>
    <t>Economic Development</t>
  </si>
  <si>
    <t>Talent &amp; Economic Development</t>
  </si>
  <si>
    <t xml:space="preserve"> Economic Development Total</t>
  </si>
  <si>
    <t>Social Development 
and Well-Being</t>
  </si>
  <si>
    <t xml:space="preserve">Total Resource Utilization 
per Appropriation </t>
  </si>
  <si>
    <t>Request for Proposal let by Flint Genesee Chamber of Commerce, vendor selected, grant paperwork being started in MEDC</t>
  </si>
  <si>
    <t>Number of homes investigated/ tested</t>
  </si>
  <si>
    <t>Component 
Unit 
Spending</t>
  </si>
  <si>
    <t>Contractor, Grantee or Vendor Name(s)</t>
  </si>
  <si>
    <t>Approximately 1,430 hours spent supporting the Flint water emergency effort</t>
  </si>
  <si>
    <t>Flood Law, PLLC</t>
  </si>
  <si>
    <t>Penske Truck / Michigan State Industries</t>
  </si>
  <si>
    <t xml:space="preserve">Genesee Intermediate School District (GISD) </t>
  </si>
  <si>
    <t>Flint Schools</t>
  </si>
  <si>
    <t>Provide additional nurses in Flint Schools</t>
  </si>
  <si>
    <t>Contract with 9 nurses</t>
  </si>
  <si>
    <t>Contracted with 9 nurses</t>
  </si>
  <si>
    <t>Provide Early On services to children in the affected area</t>
  </si>
  <si>
    <t>Hire 2 Early On consultants to provide evaluation services</t>
  </si>
  <si>
    <t>City of Flint</t>
  </si>
  <si>
    <t>Various</t>
  </si>
  <si>
    <t>Genesee County Health Department</t>
  </si>
  <si>
    <t>Food Bank of Michigan</t>
  </si>
  <si>
    <t>Greater Flint Health Coalition</t>
  </si>
  <si>
    <t>Michigan Primary Care Association</t>
  </si>
  <si>
    <t>Three CAHC satellite locations established in elementary schools</t>
  </si>
  <si>
    <t>Place additional Pathways to Potential workers in Flint schools</t>
  </si>
  <si>
    <t>Six Pathways to Potential workers hired and placed in Flint schools</t>
  </si>
  <si>
    <t>Genesee Health System</t>
  </si>
  <si>
    <t>University of Michigan</t>
  </si>
  <si>
    <t>Home Depot</t>
  </si>
  <si>
    <t>Wayne State University</t>
  </si>
  <si>
    <t>Hurley Medical Center</t>
  </si>
  <si>
    <t>Diet Education and Exercise</t>
  </si>
  <si>
    <t>YMCA of Metropolitan Lansing</t>
  </si>
  <si>
    <t>Lead Testing Kits</t>
  </si>
  <si>
    <t>Home Depot (641P6600569): Johnson &amp; Wood (641N6600060):  Etna Supply (641P6600608); Ferguson Enterprises (N6600063)</t>
  </si>
  <si>
    <t>See attached</t>
  </si>
  <si>
    <t xml:space="preserve">Various </t>
  </si>
  <si>
    <t>Activity is on going</t>
  </si>
  <si>
    <t>MSF</t>
  </si>
  <si>
    <t>Capitol Theatre Project</t>
  </si>
  <si>
    <t>Support for Capitol Theatre renovation</t>
  </si>
  <si>
    <t>Creation of 82 jobs</t>
  </si>
  <si>
    <t>Funding allocated</t>
  </si>
  <si>
    <t>Flint Genesee Chamber of Commerce</t>
  </si>
  <si>
    <t>Grant funds provided to hire 50 local residents for installation of water filters, test and record lead levels in the water</t>
  </si>
  <si>
    <t>Orchard's Children Services</t>
  </si>
  <si>
    <t>50 individuals hired and trained to test water in Flint, in conjunction with Flint YMCA's Safe Places Program</t>
  </si>
  <si>
    <t>Individuals hired, trained, and on payroll for this purpose</t>
  </si>
  <si>
    <t>Provision of job opportunities for Flint residents as part of a larger job training and employment support effort</t>
  </si>
  <si>
    <t>Water sample testing, install water filters</t>
  </si>
  <si>
    <t>1) Organize testing procedures for MSHDA funded developments. 
2) Deliver and install water filters and follow up to ensure filters installed correctly</t>
  </si>
  <si>
    <t>1) Approximately 220 testing kits have been analyzed for lead content</t>
  </si>
  <si>
    <t xml:space="preserve">1) Sampling results show 4.1 % of sampling pool beyond 15 PPB for lead and 0.9% tested high for copper. 
2) Reached roughly 600 voucher holders through door to door or mailers. </t>
  </si>
  <si>
    <t>Study potential infrastructure improvements</t>
  </si>
  <si>
    <t>SEOC Support</t>
  </si>
  <si>
    <t>Provide requested technology, equipment and Facilities</t>
  </si>
  <si>
    <t>Respond to resource requests to support water distribution</t>
  </si>
  <si>
    <t>As Needed</t>
  </si>
  <si>
    <t>100% of Requests Met</t>
  </si>
  <si>
    <t>Michigan Municipal League</t>
  </si>
  <si>
    <t>To provide a benchmarking study on the City's water rates</t>
  </si>
  <si>
    <t>Raftelis</t>
  </si>
  <si>
    <t>Provide water rate analysis on Flint resident's water bills</t>
  </si>
  <si>
    <t>Develop a five year water revenue and expenditure projection</t>
  </si>
  <si>
    <t>Att General</t>
  </si>
  <si>
    <t>1) Provide 500 water testing kits
  2) Ongoing outreach to Tenant Based Voucher holders</t>
  </si>
  <si>
    <t>Establish 19 sites to distribute fruits and vegetables</t>
  </si>
  <si>
    <t>Hired 2 consultants</t>
  </si>
  <si>
    <t>Daily snacks made available to approximately 8,319 students each day the school was in operation</t>
  </si>
  <si>
    <t>Participation in the SEOC, outreach to Flint and gathering information for DIFS in response to request from Governor’s office for all FW related documents</t>
  </si>
  <si>
    <t>Monitor activity to identify anything that relates to DIFS and follow-up as needed.</t>
  </si>
  <si>
    <t>Provide fruits/vegetables to children exposed to lead</t>
  </si>
  <si>
    <t>USDA Expanded Fresh Fruit/Vegetable Funding to Flint Schools</t>
  </si>
  <si>
    <t>212 Food Service Establishments for continued compliance checks</t>
  </si>
  <si>
    <t>700 children assisted with establishing primary care medical home</t>
  </si>
  <si>
    <t>Provide nurse case management to children identified with elevated blood levels</t>
  </si>
  <si>
    <t>Number of children served/accepted the offer of services</t>
  </si>
  <si>
    <t>Provide NFP specialized home visiting services to low income, first time mothers enrolled before 3rd trimester</t>
  </si>
  <si>
    <t>Temporary Staff to Support Foster Care and Child Protective Services Programs</t>
  </si>
  <si>
    <t>Kelly Services</t>
  </si>
  <si>
    <t>Increase healthy foods for the Year-round Healthy Out Of School Time (HOST) Program</t>
  </si>
  <si>
    <t>Supplies for lead testing of Flint residents</t>
  </si>
  <si>
    <t>Number of residents tested</t>
  </si>
  <si>
    <t>Approximately 80% of the test kits and supplies have been used</t>
  </si>
  <si>
    <t>Provide Admin Support</t>
  </si>
  <si>
    <t>100% of Request met</t>
  </si>
  <si>
    <t>iSource Worldwide and SkyPoint Ventures - business development performance loan and grant</t>
  </si>
  <si>
    <t>iSource Worldwide and SkyPoint Ventures</t>
  </si>
  <si>
    <t>Performance based loan and grant to support venture located in Flint</t>
  </si>
  <si>
    <t>Creation of 100 jobs</t>
  </si>
  <si>
    <t>Attract New Business to Flint</t>
  </si>
  <si>
    <t>Work to attract a grocery store to Flint</t>
  </si>
  <si>
    <t>Fresh fruits &amp; vegetables to help mitigate high levels of lead</t>
  </si>
  <si>
    <t>Efforts ongoing</t>
  </si>
  <si>
    <t>GST Michigan Works! Governing Board and State of Michigan Employees</t>
  </si>
  <si>
    <t>Complete Plumbing Assessments;
Assist With Replacement of 33 Lines</t>
  </si>
  <si>
    <t>Initial Installs Completed</t>
  </si>
  <si>
    <t xml:space="preserve">Technical assistance and training to businesses affected by water crisis </t>
  </si>
  <si>
    <t xml:space="preserve">Technical assistance and training to businesses for federal, state, and local contracting </t>
  </si>
  <si>
    <t>Reimburse the City for legal costs related to Congressional testimony</t>
  </si>
  <si>
    <t>Reed Smith LLP</t>
  </si>
  <si>
    <t>Study available resources to assist in Governor's 75 point plan</t>
  </si>
  <si>
    <t>Secure Funding in order to accomplish objectives</t>
  </si>
  <si>
    <t>Organizing efforts regarding Help For Hardest Hit Funds, Multifamily Housing, Homeowner Mortgage Program</t>
  </si>
  <si>
    <t>578,482 cases, 19,091 faucet kits, 39,081 filters</t>
  </si>
  <si>
    <t>Number of women who breastfeed</t>
  </si>
  <si>
    <t>51,727 filter systems and 1,600 replacement filters provided</t>
  </si>
  <si>
    <t>186,691 filter systems and 248,390 replacement filters provided</t>
  </si>
  <si>
    <t>Double Up Food Bucks Flint Expansion Project</t>
  </si>
  <si>
    <t>Michigan Department of Agriculture and Rural Development</t>
  </si>
  <si>
    <t>Increase consumption of fresh produce by Flint residents</t>
  </si>
  <si>
    <t>Number of incentives provided for fresh produce consumption</t>
  </si>
  <si>
    <t>Medicaid coverage for children up to age 21 and pregnant women</t>
  </si>
  <si>
    <t>Provide short- and long-term health support to Flint residents served by the Flint water system</t>
  </si>
  <si>
    <t>DCDS Time Tracking</t>
  </si>
  <si>
    <t>SEOC support costs.  State &amp; Local EOC duties.  Providing security &amp; support for delivering water/water related items.</t>
  </si>
  <si>
    <t>DECF</t>
  </si>
  <si>
    <t>Reimbursement from DECF</t>
  </si>
  <si>
    <t>15,000 residents newly enrolled for Medicaid Coverage and an additional 15,000 currently on Medicaid enrolled to receive case management services</t>
  </si>
  <si>
    <t>Site Mapping of Plumbing Infrastructure:
12 Adult Foster Care
37 Child Day Care
36 Schools
2 Health Care Facilities
Foreign Language Translations:
203 requested
American Sign Language: 49</t>
  </si>
  <si>
    <t>Substantially Complete</t>
  </si>
  <si>
    <t>AY 13 work project</t>
  </si>
  <si>
    <t>AY13 Work Project</t>
  </si>
  <si>
    <t>332 animals with completed test results</t>
  </si>
  <si>
    <t>Of the 332 animals with complete results:
328 animals tested negative (&lt;50 ppb)
 3 animals tested exposed/probable (50-399 ppb)                                                
1 animal was retested due to confirmed toxicity at another lab ( &gt;/= 400 ppb)</t>
  </si>
  <si>
    <t>PA 268 of 2016</t>
  </si>
  <si>
    <t>Drinking water declaration of emergency legal services</t>
  </si>
  <si>
    <t>Provide administrative &amp; organizational support</t>
  </si>
  <si>
    <t># of children served</t>
  </si>
  <si>
    <t>Snacks made Available to all students each day of service</t>
  </si>
  <si>
    <t>Made 1,197 snacks to students (cumulative for four schools). See "FFVP" tab for more information</t>
  </si>
  <si>
    <t>Nutrition Assistance for Children of Flint</t>
  </si>
  <si>
    <t>Child care assistance for Flint children (0-3)</t>
  </si>
  <si>
    <t>CCDF reserve for Flint day care needs</t>
  </si>
  <si>
    <t xml:space="preserve">Re-connection to Great Lakes Water Authority System (1/2 costs for 9 months beginning  October 2015 through June 2016) </t>
  </si>
  <si>
    <t>Re-connect to Great Lakes Water Authority System</t>
  </si>
  <si>
    <t>City of Flint remained on the Great Lakes Water Authority System</t>
  </si>
  <si>
    <t>Re-connection to Great Lakes Water Authority System (July 2016 - September 2016)</t>
  </si>
  <si>
    <t>Maintain Connection to Great Lakes Water Authority System July 2016 to September 2016</t>
  </si>
  <si>
    <t>Drinking Water Emergency Response Team</t>
  </si>
  <si>
    <t>Provide Technical Expertise for the Response Efforts</t>
  </si>
  <si>
    <t>Technical Expertise Will Be Provided for the Response Efforts</t>
  </si>
  <si>
    <t>Replacement of lead service lines for high risk, high hazard homes in Flint</t>
  </si>
  <si>
    <t>Support the Replacement of 5,000 Lines</t>
  </si>
  <si>
    <t>Estimated 5,000 Lines Will be Replaced</t>
  </si>
  <si>
    <t>Water system needs</t>
  </si>
  <si>
    <t>Re-connection to Great Lakes Water Authority System (October 2016 - December 2016)</t>
  </si>
  <si>
    <t>Maintain Connection to Great Lakes Water Authority System October 2016 to December 2016</t>
  </si>
  <si>
    <t>Provide Technical Expertise for Response Efforts</t>
  </si>
  <si>
    <t>Nutrition Programs</t>
  </si>
  <si>
    <t>Contract with Wayne State University to assess linkage between Legionella and water</t>
  </si>
  <si>
    <t>Community Mental Health services</t>
  </si>
  <si>
    <t>Reserve federal TANF future needs for Flint families and children</t>
  </si>
  <si>
    <t>Community Education with Genesee County Health Department</t>
  </si>
  <si>
    <t>Admin Support - Estimate Agency/SEOC Support Costs</t>
  </si>
  <si>
    <t>Summer Youth program to help with aid to Flint</t>
  </si>
  <si>
    <t>Genesee Area Focus Fund</t>
  </si>
  <si>
    <t>Provide youth in Flint with employment opportunities</t>
  </si>
  <si>
    <t>School Aid</t>
  </si>
  <si>
    <t>PA 249 of 2016</t>
  </si>
  <si>
    <t>Early on funding (April - September) for all 0-4 year olds in the city; funded from GF transfer to School Aid Fund</t>
  </si>
  <si>
    <t>Genesee ISD fresh fruit/vegetables for K-5; funded from GF transfer to School Aid Fund</t>
  </si>
  <si>
    <t>School Nurses for Flint Public Schools; funded from GF transfer to School Aid Fund</t>
  </si>
  <si>
    <t>Early on services 0-3 funding; funded from GF transfer to School Aid Fund</t>
  </si>
  <si>
    <t>Grant to Genesee Intermediate School Districts to serve school aged children; funded from GF transfer to School Aid Fund</t>
  </si>
  <si>
    <t>School Social Workers for Flint Public Schools; funded from GF transfer to School Aid Fund</t>
  </si>
  <si>
    <t>Great Start Readiness; funded from GF transfer to School Aid Fund</t>
  </si>
  <si>
    <t>MDOT,
Quality Temporary Services</t>
  </si>
  <si>
    <t>Interviews completed, selection process ongoing, no applicant selected at this time.</t>
  </si>
  <si>
    <t>To provide relief for the residents by funding a credit on water/sewer bills (April 15-Dec 31, 2016)</t>
  </si>
  <si>
    <t>Mission Flint program  management office (June-Dec, 2016)</t>
  </si>
  <si>
    <t>Staffing and support for Mission Flint</t>
  </si>
  <si>
    <t>Assist Flint during water crisis</t>
  </si>
  <si>
    <t>No appropriation spent to date</t>
  </si>
  <si>
    <t xml:space="preserve">Provide legal  research for testimony related to Flint water issues </t>
  </si>
  <si>
    <t>Reimburse the City for legal research</t>
  </si>
  <si>
    <t>City of Flint has been reimbursed for the legal research during congressional hearings</t>
  </si>
  <si>
    <t>Reimburse the City for assistance in the water bill relief credit program</t>
  </si>
  <si>
    <t>Great Lakes Treasury Services</t>
  </si>
  <si>
    <t>Assist Flint in providing a water bill relief credit program</t>
  </si>
  <si>
    <t>To provide water bill relief credits to the Flint residents</t>
  </si>
  <si>
    <t>Project ongoing, City is able to provide appropriate credits</t>
  </si>
  <si>
    <t>Reimburse the City for assistance in developing the software need to apply water credits</t>
  </si>
  <si>
    <t>BS&amp;A Software</t>
  </si>
  <si>
    <t>Customize Flint's water and sewer billing system</t>
  </si>
  <si>
    <t>To accommodate the water bill relief credit program</t>
  </si>
  <si>
    <t>Initial water rate analysis complete, additional work possible</t>
  </si>
  <si>
    <t>PA 268 
of 2016</t>
  </si>
  <si>
    <t>PA 249 
of 2016</t>
  </si>
  <si>
    <t>Attorney General</t>
  </si>
  <si>
    <t>various</t>
  </si>
  <si>
    <t xml:space="preserve">Prepare/Review RFP pertaining to homeowner rehab due to lead contamination </t>
  </si>
  <si>
    <t>Review RFP for $1 million of HOME funding</t>
  </si>
  <si>
    <t>Grant funding to nonprofit agency to perform homeowner rehab</t>
  </si>
  <si>
    <t>Award announcement should be made in the month of August</t>
  </si>
  <si>
    <t>Provide outreach services Flint residents</t>
  </si>
  <si>
    <t>Provide outreach to Flint residents regarding physical well being</t>
  </si>
  <si>
    <t>Provide information on blood testing, expanded Medicaid Services, Nutrition, and other information</t>
  </si>
  <si>
    <t>To reimburse the City of Flint for administrative costs related to the water credit program</t>
  </si>
  <si>
    <t>City of Flint employees provided overtime assistance with water credit program</t>
  </si>
  <si>
    <t>To reimburse the City of Flint for assistance to ensure the accuracy and completeness of the water credit program</t>
  </si>
  <si>
    <t>YEO &amp; YEO</t>
  </si>
  <si>
    <t>Review of the accuracy and completeness of the application of the water credits</t>
  </si>
  <si>
    <t>Will add info in subsequent reports</t>
  </si>
  <si>
    <t>118 Lead Lines Have Been Identified</t>
  </si>
  <si>
    <t>Provide about 35,100 Water Sample Tests</t>
  </si>
  <si>
    <t>Great Lakes Water Authority</t>
  </si>
  <si>
    <t xml:space="preserve">72.5 staff hours participating in:  SEOC conference calls; outreach to Flint; gathering information for Governor's office. </t>
  </si>
  <si>
    <t>Participation in SEOC conference calls; attended 2 JIC outreach events in Flint; responded to 3 requests for information from the various staff at the SEOC; conducted a data call of 1169 authorized P&amp;C insurers to provide data to the SEOC; responded to 1 consumer telephone call; 1 written consumer complaint/inquiry, and 1 response to a state agency question on health insurance coverage.</t>
  </si>
  <si>
    <t>Provide water as needed</t>
  </si>
  <si>
    <t>Communications with non English speakers to ensure they have appropriate health information; hearing &amp; meetings related to housing problems due to water situation &amp; potential gaps in services.</t>
  </si>
  <si>
    <t>Deliver healthy lead mitigating foods to all residents in Flint regardless of income</t>
  </si>
  <si>
    <t xml:space="preserve">Number of homes that have begun abatement process (Enrolled) </t>
  </si>
  <si>
    <t xml:space="preserve">Perform elevated blood level investigations for sources of lead-based paint in children less than age 6 and pregnant females with confirmed EBL levels and adults with confirmed EBL levels </t>
  </si>
  <si>
    <t xml:space="preserve">All legacy cases opened under the Genesee County Health Department have been analyzed and transitioned to CHAP for appropriate next steps.  
</t>
  </si>
  <si>
    <t>MSU Extension</t>
  </si>
  <si>
    <t>Genesee County ISD</t>
  </si>
  <si>
    <t>Lump Sum Payment to Private Child welfare agencies for increased level of required care and supervision mandated by DHHS</t>
  </si>
  <si>
    <t>Multiple</t>
  </si>
  <si>
    <t>Provide special payments to PAFC by 7/30/16</t>
  </si>
  <si>
    <t>100% of payments to date</t>
  </si>
  <si>
    <t>211 Outreach Efforts</t>
  </si>
  <si>
    <t>United Way of Genesee County</t>
  </si>
  <si>
    <t>Market studies for grocery store in City of Flint.</t>
  </si>
  <si>
    <t>Market analyses that drive the strategic establishment of viable grocery store(s) in key locations within the City of Flint</t>
  </si>
  <si>
    <t>Approximately 2,410 plumbing assessments completed;
33 lines have been replaced</t>
  </si>
  <si>
    <t>Reimbursement from the Disaster Emergency Contingency Fund</t>
  </si>
  <si>
    <t>Michigan Department of Education</t>
  </si>
  <si>
    <t>Adult Blood Lead Epidemiology and Surveillance (ABLES)</t>
  </si>
  <si>
    <t xml:space="preserve">MSU </t>
  </si>
  <si>
    <t>Conduct interviews with individuals with blood lead levels at or above 5 in the City of Flint. Surveillance database will be modified to reflect data collection. Ongoing epidemiologic analyses of the data will be completed</t>
  </si>
  <si>
    <t># of interviews conducted</t>
  </si>
  <si>
    <t>Brogan and Partners</t>
  </si>
  <si>
    <t>Mott's Children Health Center</t>
  </si>
  <si>
    <t>Improve delivery of nutrition education, expand cooking classes, implement healthy food guidelines in retail locations around the city, provide incentives to  food retailers to source food locally</t>
  </si>
  <si>
    <t>Number of classes held, outreach materials handed out, and stores enrolled in Healthy food retail program</t>
  </si>
  <si>
    <t>Parents as Teachers evidence-based home visiting program</t>
  </si>
  <si>
    <t>Provide families with training on understanding child development, perform developmental screenings for early detection of potential problems, and connect families with a network of resources</t>
  </si>
  <si>
    <t>Number of families served</t>
  </si>
  <si>
    <t>Continuation of 6 pathways workers in Flint schools</t>
  </si>
  <si>
    <t>Approximately 15,000 hours spent supporting the Flint water emergency effort</t>
  </si>
  <si>
    <t xml:space="preserve">Approximately 76 employees spent 9,656 hours supporting water distribution;
Contract for temporary staffing in place to continue to meet resource requested CDL drivers.  </t>
  </si>
  <si>
    <t>Design test, produce, place and conduct advertising and tracking surveys</t>
  </si>
  <si>
    <t>Provide access to fluoride prevention measures through a school-based fluoride mouth rinse program and expansion of a fluoride varnish program for children ages 1-6</t>
  </si>
  <si>
    <t>Grant Awarded to grantee and fully spent by grantee</t>
  </si>
  <si>
    <t>Provided Technical Assistance and Coordination for Response Efforts through September 2016</t>
  </si>
  <si>
    <t>Approx 1002 hours to support Flint Water Emergency Effort</t>
  </si>
  <si>
    <t>MSF Board approved project.  First payment was made in August.</t>
  </si>
  <si>
    <t>Drinking water declaration of emergency reserve fund</t>
  </si>
  <si>
    <t>Note: Individual amounts may not add to totals due to rounding; Non-Flint specific includes internal transfers and work projects</t>
  </si>
  <si>
    <t>Social Development and Well-Being</t>
  </si>
  <si>
    <t>Appropriation</t>
  </si>
  <si>
    <t>MDOC</t>
  </si>
  <si>
    <t>Completed 276 assessments to verify continued compliance, 0 water samples collected</t>
  </si>
  <si>
    <t>2,176,175 million pounds of food delivered</t>
  </si>
  <si>
    <t xml:space="preserve">Provide  nutrition education to 5-10 year olds  </t>
  </si>
  <si>
    <t xml:space="preserve">Number of 5-10 year olds provided with nutrition education </t>
  </si>
  <si>
    <t>A health educator was hired to expand training and outreach</t>
  </si>
  <si>
    <t>168 data requests and 14 Data Use Agreements have been processed.</t>
  </si>
  <si>
    <t>DIT Costs Related Flint Waiver</t>
  </si>
  <si>
    <t>Flint Water Serg</t>
  </si>
  <si>
    <t>Genesee CMH</t>
  </si>
  <si>
    <t>Flint Water Flush Public Education Campaign</t>
  </si>
  <si>
    <t>Martin Waymire</t>
  </si>
  <si>
    <r>
      <rPr>
        <b/>
        <sz val="11"/>
        <rFont val="Calibri"/>
        <family val="2"/>
        <scheme val="minor"/>
      </rPr>
      <t>Completed</t>
    </r>
    <r>
      <rPr>
        <sz val="11"/>
        <rFont val="Calibri"/>
        <family val="2"/>
        <scheme val="minor"/>
      </rPr>
      <t xml:space="preserve">
Water filters, faucet mounts, replacement cartridges and bottles have been delivered and are being distributed from warehouses.  The Federal Emergency Management Agency has taken over coordination and purchasing of water resources</t>
    </r>
  </si>
  <si>
    <t>Transfer to DEQ for water distribution optimization analysis</t>
  </si>
  <si>
    <t>Transfer to DMVA for National Guard deployment</t>
  </si>
  <si>
    <t>Transfer to DEQ for water plant analysis, technical assistance and training</t>
  </si>
  <si>
    <t>Transfer to Treasury for integrity oversight monitor</t>
  </si>
  <si>
    <t>PA 340 of 2016</t>
  </si>
  <si>
    <t>PA 340 
of 2016</t>
  </si>
  <si>
    <t>Star Truck Rental, Penske, McFlint, Bell Warehousing, Consumers Energy, DTMB Print and Graphics, Grainger, Amazon, Republic Services, Quality Temp Services, Crown Equip, Cellco</t>
  </si>
  <si>
    <t>Fixture replacements (Schools, daycares, adult foster care, nursing homes, dialysis centers, surgery centers) [PA 340 of 2016 (SB800) reduced appropriated amount by $340,000]</t>
  </si>
  <si>
    <t xml:space="preserve">$30,000,000 sent to the City for water credits. </t>
  </si>
  <si>
    <t>City of Flint (Ernst &amp; Young)</t>
  </si>
  <si>
    <t>State Legal Defense Costs</t>
  </si>
  <si>
    <t>State of Michigan Legal Defense</t>
  </si>
  <si>
    <t>State Defense is Ongoing</t>
  </si>
  <si>
    <t>Provide Water Distribution System Optimization Analysis for the Water System</t>
  </si>
  <si>
    <t>Complete Water Distribution System Optimization Analysis for the Water System</t>
  </si>
  <si>
    <t>Provide Water Treatment Plant Analysis</t>
  </si>
  <si>
    <t>Complete Water Treatment Plant Analysis</t>
  </si>
  <si>
    <t>Provide Technical Training and Assistance to the Water Treatment Plant Managers &amp; Operators</t>
  </si>
  <si>
    <t>Water Treatment Plant Managers &amp; Operators Will Have Been Provided Training and Assistance</t>
  </si>
  <si>
    <t>Total children served from May-Oct is 2,065</t>
  </si>
  <si>
    <t xml:space="preserve">Northwestern, Richfield and Beecher Health Centers are all fully staffed.  </t>
  </si>
  <si>
    <t xml:space="preserve">255 EBL cases open between 10/1/16 and 1/5/17; 44 closed administratively before case management (e.g. moved). 111 of 211 (53%) received case management </t>
  </si>
  <si>
    <t>Low Income Home Energy Assistance Program</t>
  </si>
  <si>
    <t>Double the number of SNAP recipients using the program from 8% to 16% or ~6,400 and expand to 10 retail outlets.</t>
  </si>
  <si>
    <t>The program is currently located in 7 retail locations and has 7,828 unique users.</t>
  </si>
  <si>
    <t>Interpretation services for deaf, hard of hearing, and bilingual support</t>
  </si>
  <si>
    <t>Various as needed</t>
  </si>
  <si>
    <t>Services provided</t>
  </si>
  <si>
    <t>Number of families receiving benefit</t>
  </si>
  <si>
    <t>DEQ IAG Faucets and Fixtures</t>
  </si>
  <si>
    <t>Provide faucets and Fixtures</t>
  </si>
  <si>
    <t>Rides to Wellness</t>
  </si>
  <si>
    <t>Mass Transportation Authority</t>
  </si>
  <si>
    <t xml:space="preserve">Provide transportation services to get Flint residents to medical services, food and pharmacy </t>
  </si>
  <si>
    <t>Number of passengers and number of trips provided</t>
  </si>
  <si>
    <t xml:space="preserve">Medicaid waiver enrollment began May 9, 2016.  </t>
  </si>
  <si>
    <r>
      <rPr>
        <b/>
        <sz val="11"/>
        <rFont val="Calibri"/>
        <family val="2"/>
        <scheme val="minor"/>
      </rPr>
      <t>Completed</t>
    </r>
    <r>
      <rPr>
        <sz val="11"/>
        <rFont val="Calibri"/>
        <family val="2"/>
        <scheme val="minor"/>
      </rPr>
      <t xml:space="preserve">
276 establishments were found in compliance</t>
    </r>
  </si>
  <si>
    <r>
      <rPr>
        <b/>
        <sz val="11"/>
        <rFont val="Calibri"/>
        <family val="2"/>
        <scheme val="minor"/>
      </rPr>
      <t>Completed</t>
    </r>
    <r>
      <rPr>
        <sz val="11"/>
        <rFont val="Calibri"/>
        <family val="2"/>
        <scheme val="minor"/>
      </rPr>
      <t xml:space="preserve">
Deliveries made to 32,324 families through Oct 2016.  </t>
    </r>
  </si>
  <si>
    <r>
      <rPr>
        <b/>
        <sz val="11"/>
        <rFont val="Calibri"/>
        <family val="2"/>
        <scheme val="minor"/>
      </rPr>
      <t>Completed</t>
    </r>
    <r>
      <rPr>
        <sz val="11"/>
        <rFont val="Calibri"/>
        <family val="2"/>
        <scheme val="minor"/>
      </rPr>
      <t xml:space="preserve">
Funding has facilitated over a 400% increase in monthly volume </t>
    </r>
  </si>
  <si>
    <r>
      <rPr>
        <b/>
        <sz val="11"/>
        <rFont val="Calibri"/>
        <family val="2"/>
        <scheme val="minor"/>
      </rPr>
      <t>Completed</t>
    </r>
    <r>
      <rPr>
        <sz val="11"/>
        <rFont val="Calibri"/>
        <family val="2"/>
        <scheme val="minor"/>
      </rPr>
      <t xml:space="preserve">
Phase 1 has been completed.
Phase 2 of the contract started on June 1, 2016. Phase 1 was completed and approved on 8/11/16.</t>
    </r>
  </si>
  <si>
    <r>
      <rPr>
        <b/>
        <sz val="11"/>
        <rFont val="Calibri"/>
        <family val="2"/>
      </rPr>
      <t>Completed</t>
    </r>
    <r>
      <rPr>
        <sz val="11"/>
        <rFont val="Calibri"/>
        <family val="2"/>
      </rPr>
      <t xml:space="preserve">
Contractors have been hired and working with MDHHS staff.   Two new positions have been filled.   Eight (8) weekly data reports are being generated (ongoing). </t>
    </r>
    <r>
      <rPr>
        <strike/>
        <sz val="11"/>
        <rFont val="Calibri"/>
        <family val="2"/>
      </rPr>
      <t xml:space="preserve"> </t>
    </r>
    <r>
      <rPr>
        <sz val="11"/>
        <rFont val="Calibri"/>
        <family val="2"/>
      </rPr>
      <t xml:space="preserve"> Since February 1, 2016,  168 data requests, 23 information requests, and 14 Data Use Agreements have been processed.</t>
    </r>
  </si>
  <si>
    <r>
      <rPr>
        <b/>
        <sz val="11"/>
        <rFont val="Calibri"/>
        <family val="2"/>
      </rPr>
      <t>Completed</t>
    </r>
    <r>
      <rPr>
        <sz val="11"/>
        <rFont val="Calibri"/>
        <family val="2"/>
      </rPr>
      <t xml:space="preserve">
44 interviews have been completed. 17 homes referred for environmental investigation. </t>
    </r>
  </si>
  <si>
    <r>
      <rPr>
        <b/>
        <sz val="11"/>
        <rFont val="Calibri"/>
        <family val="2"/>
        <scheme val="minor"/>
      </rPr>
      <t>Completed</t>
    </r>
    <r>
      <rPr>
        <sz val="11"/>
        <rFont val="Calibri"/>
        <family val="2"/>
        <scheme val="minor"/>
      </rPr>
      <t xml:space="preserve">
The Cumulative Output number is a reports or health education materials that Toxicology and Response provided technical expertise for either health education or toxicology.  Contract has been executed and staff have been hired</t>
    </r>
  </si>
  <si>
    <r>
      <rPr>
        <b/>
        <sz val="11"/>
        <rFont val="Calibri"/>
        <family val="2"/>
        <scheme val="minor"/>
      </rPr>
      <t>Completed</t>
    </r>
    <r>
      <rPr>
        <sz val="11"/>
        <rFont val="Calibri"/>
        <family val="2"/>
        <scheme val="minor"/>
      </rPr>
      <t xml:space="preserve">
The program is currently located in 7 retail locations and has 7,828 unique users.</t>
    </r>
  </si>
  <si>
    <t>14,226.7 hours - Spent supporting the SEOC and the safe &amp; successful delivering of Flint Water response.</t>
  </si>
  <si>
    <t>Sec. 18 Reimburse - MDE</t>
  </si>
  <si>
    <t>Sec. 18 Reimburse - DEQ</t>
  </si>
  <si>
    <t>Sec. 18 Reimburse - DHHS</t>
  </si>
  <si>
    <t>Sec. 18 Reimburse - DOC</t>
  </si>
  <si>
    <t>Sec. 18 Reimburse - DOT</t>
  </si>
  <si>
    <t>Sec. 18 Reimburse - DTMB</t>
  </si>
  <si>
    <t>Sec. 18 Reimburse - LARA</t>
  </si>
  <si>
    <t>Sec. 19 Reimburse - Flint</t>
  </si>
  <si>
    <t>Sec. 19 Reimburse - Burton</t>
  </si>
  <si>
    <t>Sec. 19 Reimburse - Genesee Co.</t>
  </si>
  <si>
    <t>FY17 Expenditures Through 
End of Reporting Period</t>
  </si>
  <si>
    <t>FY16 Spent to Date</t>
  </si>
  <si>
    <t>FY17 Spent to Date</t>
  </si>
  <si>
    <t>AY</t>
  </si>
  <si>
    <t>C3 Venture Flint, LLC</t>
  </si>
  <si>
    <t>Funding spent. Hiring has begun.</t>
  </si>
  <si>
    <t>Promote Loan Rescue Program to Flint Residents</t>
  </si>
  <si>
    <t>Staff time to promote loan rescue program</t>
  </si>
  <si>
    <t>To promote programs in order to raise awareness of available resources to Flint homeowners</t>
  </si>
  <si>
    <t>MSF Board approved project. First payment was made in September.</t>
  </si>
  <si>
    <t>Creation of 380 jobs</t>
  </si>
  <si>
    <t>MSHDA has assisted 1,446 residents in Genesee County through Step Forward Program</t>
  </si>
  <si>
    <t>Business development performance loan</t>
  </si>
  <si>
    <t>FY16 Expenditures Through 
September 30, 2016</t>
  </si>
  <si>
    <t>Spent to Date</t>
  </si>
  <si>
    <t>Encumbered/Obligated</t>
  </si>
  <si>
    <t>Appropriated Funds Remaining</t>
  </si>
  <si>
    <t>% Funds Remaining</t>
  </si>
  <si>
    <t>The final report for the infrastructure integrity study has been completed</t>
  </si>
  <si>
    <t>Establish CAHC satellite locations in K-12 schools</t>
  </si>
  <si>
    <t>Three CAHC satellite locations established in K-12 schools</t>
  </si>
  <si>
    <t>Completed</t>
  </si>
  <si>
    <r>
      <rPr>
        <b/>
        <sz val="11"/>
        <rFont val="Calibri"/>
        <family val="2"/>
      </rPr>
      <t>Completed</t>
    </r>
    <r>
      <rPr>
        <sz val="11"/>
        <rFont val="Calibri"/>
        <family val="2"/>
      </rPr>
      <t xml:space="preserve">
Data on new cases sent to CHAP between 5/1/16 and 10/28/16: 114 new cases; 32 received case management; 44 closed without case management; 38 in process of obtaining consent for case management.</t>
    </r>
  </si>
  <si>
    <r>
      <rPr>
        <b/>
        <sz val="11"/>
        <rFont val="Calibri"/>
        <family val="2"/>
        <scheme val="minor"/>
      </rPr>
      <t>Completed</t>
    </r>
    <r>
      <rPr>
        <sz val="11"/>
        <rFont val="Calibri"/>
        <family val="2"/>
        <scheme val="minor"/>
      </rPr>
      <t xml:space="preserve">
100% of requests met</t>
    </r>
  </si>
  <si>
    <t>Address oral health needs through public health preventive services</t>
  </si>
  <si>
    <t>Number of children participating, number of rinses completed</t>
  </si>
  <si>
    <t>22 public and private elementary schools participate, 33 Head Start programs and 31 Early Head Start programs</t>
  </si>
  <si>
    <r>
      <rPr>
        <b/>
        <sz val="11"/>
        <rFont val="Calibri"/>
        <family val="2"/>
        <scheme val="minor"/>
      </rPr>
      <t>Completed</t>
    </r>
    <r>
      <rPr>
        <sz val="11"/>
        <rFont val="Calibri"/>
        <family val="2"/>
        <scheme val="minor"/>
      </rPr>
      <t xml:space="preserve">
IAA created with DEQ to pay for faucets and fixtures in Flint</t>
    </r>
  </si>
  <si>
    <t>AY16 Work Project</t>
  </si>
  <si>
    <t>Assistance to the City of Flint for administration and planning in response to the water crisis</t>
  </si>
  <si>
    <t>AY 16 work project</t>
  </si>
  <si>
    <t>Adult Foster Care (AFC) - 12 of 12; 
Child Day Care (CDC) - 37 of 37; 
Schools - 36 of 36;
 Health Care Fac. - 2 of 2; 
TOTAL Completed: 100% 
                                            Foreign language translations:  Requested 239 (60 documents into approximately 4 different languages); 185 completed and on website; 24 received, not needed/pulled from website; 30 requested/or received but not yet on website.
American Sign Language:  51 translations requested, 26 completed/on website; 12 Not Sent/Not Required; 2 pulled from website. 11 requested/or received but not yet on website.</t>
  </si>
  <si>
    <t>GISD</t>
  </si>
  <si>
    <t>Flint Community Schools</t>
  </si>
  <si>
    <t>City of Flint Remained on the Great Lakes Water Authority System</t>
  </si>
  <si>
    <t>Flint Grocer Improvement Program</t>
  </si>
  <si>
    <t>Outreach Efforts</t>
  </si>
  <si>
    <t>Performance based loan and grant to support program located in Flint</t>
  </si>
  <si>
    <t>Business development performance grant</t>
  </si>
  <si>
    <t>Huntington National Bank</t>
  </si>
  <si>
    <t>Performance based grant to support venture located in Flint</t>
  </si>
  <si>
    <t>Creation of 60 jobs</t>
  </si>
  <si>
    <t>Creative Foam Corporation</t>
  </si>
  <si>
    <t>Creation of 110 jobs</t>
  </si>
  <si>
    <t xml:space="preserve">Ferris Wheel Innovation Center Business Incubator </t>
  </si>
  <si>
    <t>Ferris Wheel Innovation Center</t>
  </si>
  <si>
    <t>Rehabilitation of vacant building</t>
  </si>
  <si>
    <t>Business Incubator</t>
  </si>
  <si>
    <t>App. 46,000 sq ft, seven story vacant building to be rehabilitated into office space and retail space</t>
  </si>
  <si>
    <t>Approximately 52,777 hours spent supporting the Flint water emergency effort</t>
  </si>
  <si>
    <t>A cash advance was issued to the city per the enacting legislation &amp; federal match funds for the Water Infrastructure Improvements for the Nation Act were provided to the Michigan Finance Authority.</t>
  </si>
  <si>
    <t>The city was provided with a cash advance per the enacting legislation and federal match funds for the Water Infrastructure Improvements for the Nation Act were provided to the Michigan Finance Authority.</t>
  </si>
  <si>
    <t xml:space="preserve"> Training &amp; Technical Assistance to Water Treatment Plant Managers &amp; Operators is in Progress</t>
  </si>
  <si>
    <t>Training &amp; Technical Assistance to Water Treatment Plant Managers &amp; Operators is in Progress</t>
  </si>
  <si>
    <t>Flint hospital Monitor</t>
  </si>
  <si>
    <t>HC Info</t>
  </si>
  <si>
    <t>Monitor will oversee a Flint hospital's compliance with its Water Management Plan</t>
  </si>
  <si>
    <t>Report back observations to the Department and conduct independent testing if needed.</t>
  </si>
  <si>
    <t>Flint hospital Lab</t>
  </si>
  <si>
    <t>RiskNomics</t>
  </si>
  <si>
    <t>Provide environmental sampling and laboratory analysis</t>
  </si>
  <si>
    <t xml:space="preserve">Provide results to Department </t>
  </si>
  <si>
    <t>Service homebound, frail seniors</t>
  </si>
  <si>
    <t>Valley Area Agency on Aging</t>
  </si>
  <si>
    <t>TANF eligible families will receive an extra money per child on their SNAP cards</t>
  </si>
  <si>
    <t>Addressing Household needs in Flint</t>
  </si>
  <si>
    <t xml:space="preserve">United Way </t>
  </si>
  <si>
    <t>To provide seniors with assistance such as filter installation, water delivery, mental health counseling, environmental assessments and various other needs.</t>
  </si>
  <si>
    <t>Purchase and install shower filters in collaboration with Genesee County Habitat for Humanity</t>
  </si>
  <si>
    <t xml:space="preserve">Completed 389 initial assessments, 
Completed 268 follow up assessments due to non-compliance or high lead levels, 
563 water samples collected, 
563 samples tested; 
0 samples pending </t>
  </si>
  <si>
    <t xml:space="preserve">Of the 563 samples tested:                
421 were non-detect (&lt;1 ppb)
87 were in the range of 1-3.99 ppb
38 were in the range of  4-16ppb
17 were &gt; 15 ppb                                                                                                                                        </t>
  </si>
  <si>
    <t xml:space="preserve">Contractors have installed 1,360 of 1,360 mapped fixtures as of 5/1/16; 100 % completed          </t>
  </si>
  <si>
    <t>Number of senior community worker visits, outreach events and referrals</t>
  </si>
  <si>
    <t xml:space="preserve">Mobile Food Bank, additional food bank resources </t>
  </si>
  <si>
    <t xml:space="preserve">Number of filters </t>
  </si>
  <si>
    <t>7,000 filters have been purchased</t>
  </si>
  <si>
    <r>
      <rPr>
        <b/>
        <sz val="11"/>
        <rFont val="Calibri"/>
        <family val="2"/>
        <scheme val="minor"/>
      </rPr>
      <t>Completed</t>
    </r>
    <r>
      <rPr>
        <sz val="11"/>
        <rFont val="Calibri"/>
        <family val="2"/>
        <scheme val="minor"/>
      </rPr>
      <t xml:space="preserve">
7,000 filters have been purchased</t>
    </r>
  </si>
  <si>
    <t>Transfer to Treasury for bottled water purchases</t>
  </si>
  <si>
    <t>Transfer to School Aid for school nurses and social workers</t>
  </si>
  <si>
    <t>Transfer to School Aid for early intervention, literacy, and nutritional services</t>
  </si>
  <si>
    <t>Bottled water purchases</t>
  </si>
  <si>
    <t>Water System Needs - Back Up Pipe</t>
  </si>
  <si>
    <t>40 families served</t>
  </si>
  <si>
    <t>1,104.8 hours - Spent supporting the SEOC and the safe &amp; successful delivering of Flint Water response.</t>
  </si>
  <si>
    <t>$2,960,145 sent to the City for water credits. Retaining $1,012,156 for various ongoing reviews until a later date.  Account will be closed in June 2017.</t>
  </si>
  <si>
    <t>Over 29,300 Water Samples Have Been Analyzed, Expenditures Are Those That Have Been Billed to Date</t>
  </si>
  <si>
    <t xml:space="preserve">159,972 pounds of food delivered in May to 2,391 families </t>
  </si>
  <si>
    <r>
      <rPr>
        <b/>
        <sz val="11"/>
        <rFont val="Calibri"/>
        <family val="2"/>
        <scheme val="minor"/>
      </rPr>
      <t>Completed</t>
    </r>
    <r>
      <rPr>
        <sz val="11"/>
        <rFont val="Calibri"/>
        <family val="2"/>
        <scheme val="minor"/>
      </rPr>
      <t xml:space="preserve">
Payments have been sent out to all families that qualified; Waiting for expenditure credit to be completed with Dept. of Education which will account for the overage of expenditures in MAIN.</t>
    </r>
  </si>
  <si>
    <t>Map and install 1,360 plumbing fixtures. (2 sites (14 fixtures) are not to be replaced) At the request of DEQ we have installed 41 filters as of 7/8/16. Replace Public School Filters (5-6/17)</t>
  </si>
  <si>
    <t>Skypoint Ventures LLC</t>
  </si>
  <si>
    <t>PA 107 of 2017</t>
  </si>
  <si>
    <t>Nutrition Outreach</t>
  </si>
  <si>
    <t>PA 108 of 2017</t>
  </si>
  <si>
    <t>Support for Flint schools</t>
  </si>
  <si>
    <t>Support for Genesee ISD</t>
  </si>
  <si>
    <t>Genesee ISD Nutrition</t>
  </si>
  <si>
    <t>Summer Great Start Rediness Programs</t>
  </si>
  <si>
    <t>Nutrition: Summer Food/Childcare Centers/Homes</t>
  </si>
  <si>
    <t>Transfer to MSP for distribution of water</t>
  </si>
  <si>
    <t>Transfer to DTMB for Integrity monitoring</t>
  </si>
  <si>
    <t>Transfer to Treasury for UofM water costs</t>
  </si>
  <si>
    <t>Drinking water declaration of emergency placeholder</t>
  </si>
  <si>
    <t>AT&amp;T; Cellco Partnership; CMP Distributors; Epoch Hospitality; Flood Law, PLLC; Grand Traverse Pie Co of Lansing; David A. Hoort; MI Police Equip; Motown Digital; Russell Video Services; The Regents of  U-M; West Publishing; William Whitbeck;</t>
  </si>
  <si>
    <t>Community Counseling Centers</t>
  </si>
  <si>
    <r>
      <rPr>
        <b/>
        <sz val="11"/>
        <rFont val="Calibri"/>
        <family val="2"/>
        <scheme val="minor"/>
      </rPr>
      <t>Completed</t>
    </r>
    <r>
      <rPr>
        <sz val="11"/>
        <rFont val="Calibri"/>
        <family val="2"/>
        <scheme val="minor"/>
      </rPr>
      <t xml:space="preserve">
From 6/22/16 to 6/2/17 there have been 41587 fluoride rinses and 1043 varnish treatments. </t>
    </r>
  </si>
  <si>
    <r>
      <rPr>
        <b/>
        <sz val="11"/>
        <rFont val="Calibri"/>
        <family val="2"/>
        <scheme val="minor"/>
      </rPr>
      <t>Completed</t>
    </r>
    <r>
      <rPr>
        <sz val="11"/>
        <rFont val="Calibri"/>
        <family val="2"/>
        <scheme val="minor"/>
      </rPr>
      <t xml:space="preserve">
633,262 pounds of food delivered since Dec 2016</t>
    </r>
  </si>
  <si>
    <r>
      <rPr>
        <b/>
        <sz val="11"/>
        <rFont val="Calibri"/>
        <family val="2"/>
        <scheme val="minor"/>
      </rPr>
      <t>Completed</t>
    </r>
    <r>
      <rPr>
        <sz val="11"/>
        <rFont val="Calibri"/>
        <family val="2"/>
        <scheme val="minor"/>
      </rPr>
      <t xml:space="preserve">
Staff work with parents and encourage parent and child interaction and other supportive services to enhance the development of the children. The program connects families to resources in the community.</t>
    </r>
  </si>
  <si>
    <t>PA 107 
of 2017</t>
  </si>
  <si>
    <t>PA 108 
of 2017</t>
  </si>
  <si>
    <t>Non-Flint Specific  Approps</t>
  </si>
  <si>
    <t>Note: Report does not include $100 million in federal WIIN funds</t>
  </si>
  <si>
    <t>Genesee County Drain Commission</t>
  </si>
  <si>
    <t>Ennis Center for Children</t>
  </si>
  <si>
    <t>FY18 Expenditures Through 
End of Reporting Period</t>
  </si>
  <si>
    <t>FY16
Gross</t>
  </si>
  <si>
    <t>FY17
Gross</t>
  </si>
  <si>
    <t>FY18 
Gross</t>
  </si>
  <si>
    <t>FY18 Spent to Date</t>
  </si>
  <si>
    <t>FY17 Spent
to Date</t>
  </si>
  <si>
    <t>FY16 Spent 
to Date</t>
  </si>
  <si>
    <t>FY18 Spent 
to Date</t>
  </si>
  <si>
    <t>Transfer to DEQ for testing and sampling (1.5 M) and Deloitte contract (700.0)</t>
  </si>
  <si>
    <t>Testing and sampling</t>
  </si>
  <si>
    <t>Community outreach</t>
  </si>
  <si>
    <t>Bottled water distribution</t>
  </si>
  <si>
    <t>Transfer to DHHS for CORE program funding (bottled water, 6M and community outreach, 1.5M)</t>
  </si>
  <si>
    <t>Provided Technical Expertise for Testing, Sampling, Administration, Evaluation for 63,551.3 Hours</t>
  </si>
  <si>
    <t>Grainger</t>
  </si>
  <si>
    <t>Provide Filter replacement cartridges</t>
  </si>
  <si>
    <t>Number of Filter replacement cartridges</t>
  </si>
  <si>
    <t>Brogan</t>
  </si>
  <si>
    <t>Media Campaign</t>
  </si>
  <si>
    <t>Brogan/DEQ</t>
  </si>
  <si>
    <t>The program is currently located in 10 retail locations and has 9,891 unique users.</t>
  </si>
  <si>
    <t>229 Food Service Establishments for continued compliance checks</t>
  </si>
  <si>
    <t>Completed 897 assessments to verify continued compliance , 899 water samples (including re-tests) have been collected since October 1, 2016</t>
  </si>
  <si>
    <t>Purchase water filters</t>
  </si>
  <si>
    <t>Reimbursed from Treasury</t>
  </si>
  <si>
    <t>12/30/17: 11 community meetings/events were held. The health educator currently attends at least 5 meetings/events per week and is responsible for the dissemination of health education materials.</t>
  </si>
  <si>
    <r>
      <rPr>
        <b/>
        <sz val="11"/>
        <rFont val="Calibri"/>
        <family val="2"/>
        <scheme val="minor"/>
      </rPr>
      <t>Completed</t>
    </r>
    <r>
      <rPr>
        <sz val="11"/>
        <rFont val="Calibri"/>
        <family val="2"/>
        <scheme val="minor"/>
      </rPr>
      <t xml:space="preserve">
</t>
    </r>
  </si>
  <si>
    <t xml:space="preserve">As of December 31st, 86 providers from 25 clinics have enrolled; 7 providers were enrolled in December.  Three enrollment meetings were scheduled in December. One was cancelled due to inclement weather and rescheduled for 1/4/18. 
</t>
  </si>
  <si>
    <t>Provide behavioral health services in faith-based settings in Genesee County</t>
  </si>
  <si>
    <t>Number of faith-based services provided in Genesee County</t>
  </si>
  <si>
    <r>
      <rPr>
        <b/>
        <sz val="11"/>
        <rFont val="Calibri"/>
        <family val="2"/>
        <scheme val="minor"/>
      </rPr>
      <t>Completed</t>
    </r>
    <r>
      <rPr>
        <sz val="11"/>
        <rFont val="Calibri"/>
        <family val="2"/>
        <scheme val="minor"/>
      </rPr>
      <t xml:space="preserve">
Replacements for the Whaley Children's Center</t>
    </r>
  </si>
  <si>
    <r>
      <rPr>
        <b/>
        <sz val="11"/>
        <rFont val="Calibri"/>
        <family val="2"/>
      </rPr>
      <t>Completed</t>
    </r>
    <r>
      <rPr>
        <sz val="11"/>
        <rFont val="Calibri"/>
        <family val="2"/>
      </rPr>
      <t xml:space="preserve">
</t>
    </r>
  </si>
  <si>
    <r>
      <rPr>
        <b/>
        <sz val="11"/>
        <rFont val="Calibri"/>
        <family val="2"/>
        <scheme val="minor"/>
      </rPr>
      <t>Completed</t>
    </r>
    <r>
      <rPr>
        <sz val="11"/>
        <rFont val="Calibri"/>
        <family val="2"/>
        <scheme val="minor"/>
      </rPr>
      <t xml:space="preserve">
Phase 2 of the contract started on June 1, 2016.</t>
    </r>
  </si>
  <si>
    <t>10/1/17-12/31/17: 31 data requests processed. No information requests or Data Use Agreements were processed in this timeframe.</t>
  </si>
  <si>
    <t>Genesee CHAP served 498 unduplicated clients (children) in the month of December, 2017</t>
  </si>
  <si>
    <t>Genesee ISD</t>
  </si>
  <si>
    <t>AY17 work project</t>
  </si>
  <si>
    <t>Integrity monitor</t>
  </si>
  <si>
    <t xml:space="preserve">David A. Hoort;  ReevesLaw, PLC; West Publishing; Cellco Partnership; Verizon; </t>
  </si>
  <si>
    <t>Support the Construction of a 42 Inch Parallel Pipeline</t>
  </si>
  <si>
    <t>42 Inch Parallel Pipeline Will Be Constructed</t>
  </si>
  <si>
    <t>Construction Has Been Completed on the 42 Inch Parallel Pipeline</t>
  </si>
  <si>
    <t>Provide testing and sampling to approximately 30,000 water accounts in the City</t>
  </si>
  <si>
    <r>
      <rPr>
        <b/>
        <sz val="11"/>
        <rFont val="Calibri"/>
        <family val="2"/>
        <scheme val="minor"/>
      </rPr>
      <t>Completed</t>
    </r>
    <r>
      <rPr>
        <sz val="11"/>
        <rFont val="Calibri"/>
        <family val="2"/>
        <scheme val="minor"/>
      </rPr>
      <t xml:space="preserve">
IA set up with TED</t>
    </r>
  </si>
  <si>
    <r>
      <rPr>
        <b/>
        <sz val="11"/>
        <rFont val="Calibri"/>
        <family val="2"/>
        <scheme val="minor"/>
      </rPr>
      <t>Completed</t>
    </r>
    <r>
      <rPr>
        <sz val="11"/>
        <rFont val="Calibri"/>
        <family val="2"/>
        <scheme val="minor"/>
      </rPr>
      <t xml:space="preserve">
IA set up with DEQ</t>
    </r>
  </si>
  <si>
    <r>
      <rPr>
        <b/>
        <sz val="11"/>
        <rFont val="Calibri"/>
        <family val="2"/>
      </rPr>
      <t>Completed</t>
    </r>
    <r>
      <rPr>
        <sz val="11"/>
        <rFont val="Calibri"/>
        <family val="2"/>
      </rPr>
      <t xml:space="preserve">
12/30/17: 46 community events held to date</t>
    </r>
  </si>
  <si>
    <t>99 families currently being served</t>
  </si>
  <si>
    <r>
      <rPr>
        <b/>
        <sz val="11"/>
        <rFont val="Calibri"/>
        <family val="2"/>
        <scheme val="minor"/>
      </rPr>
      <t>Completed</t>
    </r>
    <r>
      <rPr>
        <sz val="11"/>
        <rFont val="Calibri"/>
        <family val="2"/>
        <scheme val="minor"/>
      </rPr>
      <t xml:space="preserve">
Media efforts included radio, print materials, social etc</t>
    </r>
  </si>
  <si>
    <r>
      <rPr>
        <b/>
        <sz val="11"/>
        <rFont val="Calibri"/>
        <family val="2"/>
        <scheme val="minor"/>
      </rPr>
      <t>Completed</t>
    </r>
    <r>
      <rPr>
        <sz val="11"/>
        <rFont val="Calibri"/>
        <family val="2"/>
        <scheme val="minor"/>
      </rPr>
      <t xml:space="preserve">
The IA has been finalized with Workforce Development and the funding has been committed to the Community Ventures program for TANF recipients in Genesee County starting in January 2017.</t>
    </r>
  </si>
  <si>
    <r>
      <rPr>
        <b/>
        <sz val="11"/>
        <rFont val="Calibri"/>
        <family val="2"/>
        <scheme val="minor"/>
      </rPr>
      <t>Completed</t>
    </r>
    <r>
      <rPr>
        <sz val="11"/>
        <rFont val="Calibri"/>
        <family val="2"/>
        <scheme val="minor"/>
      </rPr>
      <t xml:space="preserve">
Contract is executed</t>
    </r>
  </si>
  <si>
    <t>Landquest</t>
  </si>
  <si>
    <t>1/1/2018-3/31/2018: 8 new cases reported; 1 interviews pending; no interviews completed</t>
  </si>
  <si>
    <t xml:space="preserve">All sites are fully operational. Northwestern, Richfield and Beecher Health Centers are all fully staffed.  </t>
  </si>
  <si>
    <r>
      <rPr>
        <b/>
        <sz val="11"/>
        <rFont val="Calibri"/>
        <family val="2"/>
      </rPr>
      <t>Completed</t>
    </r>
    <r>
      <rPr>
        <sz val="11"/>
        <rFont val="Calibri"/>
        <family val="2"/>
      </rPr>
      <t xml:space="preserve">
Continuation of 2 contractors hired in FY16.   </t>
    </r>
  </si>
  <si>
    <t>3/31/18: 708 children (482 children &lt; 6 in the 7 zip code area, 132 children &lt; 6 outside the 7 zip code area, 76 children &gt; 6 in the 7 zip code area, 18 children &gt; 6 outside the 7 zip code area; EBL children were reported with an elevated blood lead test from 4/1/14 to 3/31/18.  Number of children with new EBLL from 10/1/17  to 3/31/18 = 57.</t>
  </si>
  <si>
    <t xml:space="preserve">Since the February seven additional providers signing up for MC3 for a total of 98 enrolled providers from 29 clinics.  The Flint/Genesee Behavioral Health Consultants (BHCs) facilitated 3 enrollment meetings this quarter.   
</t>
  </si>
  <si>
    <t>Number of providers trained and number of women who received education and/or attended a support group</t>
  </si>
  <si>
    <t>United Way</t>
  </si>
  <si>
    <t>Number of Filters</t>
  </si>
  <si>
    <t>Food Bank of Eastern Michigan</t>
  </si>
  <si>
    <t>Warehouse lease costs and transportation of water</t>
  </si>
  <si>
    <t>Bottled Water Purchases</t>
  </si>
  <si>
    <t>76,608 cases of water</t>
  </si>
  <si>
    <t xml:space="preserve">127,680 cases of water </t>
  </si>
  <si>
    <t>22,000 filter systems, and 375 replacement filters provided</t>
  </si>
  <si>
    <t>Provide and distribute water filters, faucet mounts, and replacement cartridges</t>
  </si>
  <si>
    <t>Distribute water</t>
  </si>
  <si>
    <t>Warehouse water</t>
  </si>
  <si>
    <t>Warehouse and distribute water</t>
  </si>
  <si>
    <t>Transfer to Treasury for pipe replacement</t>
  </si>
  <si>
    <t>Provide match for home abatement of Medicaid eligible residents</t>
  </si>
  <si>
    <t>Nutrition Initiatives</t>
  </si>
  <si>
    <t>Transfer to DEQ for parallel pipe</t>
  </si>
  <si>
    <t>PA 207 of 2018</t>
  </si>
  <si>
    <t>Placeholder</t>
  </si>
  <si>
    <t>Lead Poisoning Prevention</t>
  </si>
  <si>
    <t>School Nurses</t>
  </si>
  <si>
    <t>School Social Workers</t>
  </si>
  <si>
    <t xml:space="preserve">Great Start Readiness </t>
  </si>
  <si>
    <t>Childcare services</t>
  </si>
  <si>
    <t>Screen and assess children exposed to lead</t>
  </si>
  <si>
    <t>Transfer to DEQ for pipe replacement</t>
  </si>
  <si>
    <t>Gross Appropriated</t>
  </si>
  <si>
    <t>Testing Has Begun</t>
  </si>
  <si>
    <t>220 Tier 1 Water Samples Have Been Analyzed, Expenditures Are Those That Have Been Billed to Date</t>
  </si>
  <si>
    <t>Sampling Results for Tier 1 Sites:
95.5% of Samples At or Below Action Level of 15 PPB
4.5% of Samples Above Action Level of 15 PPB</t>
  </si>
  <si>
    <t>Design &amp; Construction Independent Oversight Monitoring</t>
  </si>
  <si>
    <t>Deloitte Will Monitor Design &amp; Construction for the Flint Water Emergency</t>
  </si>
  <si>
    <t>Monitoring Has Begun</t>
  </si>
  <si>
    <t>Support the Replacement of 4,000 Lines</t>
  </si>
  <si>
    <t>Estimated 4,000 Lines Will be Replaced</t>
  </si>
  <si>
    <t>Environmental Health Staff Support</t>
  </si>
  <si>
    <t xml:space="preserve">Provide technical expertise for environmental investigations, blood level analysis and health education.                                                                                                                                                                                                                                              </t>
  </si>
  <si>
    <t xml:space="preserve"> Number of reports and requests                                                                                                                                                                                                                                                                                                    </t>
  </si>
  <si>
    <t>Nurse Case Management (CLPPP)</t>
  </si>
  <si>
    <t>Nutrition Education Backpack Program</t>
  </si>
  <si>
    <t>Lead Abatement Program</t>
  </si>
  <si>
    <t>Perform environmental investigations and home abatement</t>
  </si>
  <si>
    <t xml:space="preserve">Number of homes that have been investigated number of homes that have begun abatement process (Enrolled) </t>
  </si>
  <si>
    <r>
      <rPr>
        <b/>
        <sz val="11"/>
        <rFont val="Calibri"/>
        <family val="2"/>
        <scheme val="minor"/>
      </rPr>
      <t>Completed</t>
    </r>
    <r>
      <rPr>
        <sz val="11"/>
        <rFont val="Calibri"/>
        <family val="2"/>
        <scheme val="minor"/>
      </rPr>
      <t xml:space="preserve">
46 Flint homes have been abated and cleared for re-entry and 377 homes investigated.</t>
    </r>
  </si>
  <si>
    <t xml:space="preserve">Completed </t>
  </si>
  <si>
    <r>
      <rPr>
        <b/>
        <sz val="11"/>
        <rFont val="Calibri"/>
        <family val="2"/>
        <scheme val="minor"/>
      </rPr>
      <t>Completed</t>
    </r>
    <r>
      <rPr>
        <sz val="11"/>
        <rFont val="Calibri"/>
        <family val="2"/>
        <scheme val="minor"/>
      </rPr>
      <t xml:space="preserve"> 
147 adults reported to the Flint ABLES project since 2016; 96 interviewed; 78 referred for water testing; 26 referred for home environmental investigation</t>
    </r>
  </si>
  <si>
    <t>Nurse case management (CLPPP)</t>
  </si>
  <si>
    <t>Greater Flint Health Coalition
and various support staff</t>
  </si>
  <si>
    <r>
      <rPr>
        <b/>
        <sz val="11"/>
        <rFont val="Calibri"/>
        <family val="2"/>
        <scheme val="minor"/>
      </rPr>
      <t>Completed</t>
    </r>
    <r>
      <rPr>
        <sz val="11"/>
        <rFont val="Calibri"/>
        <family val="2"/>
        <scheme val="minor"/>
      </rPr>
      <t xml:space="preserve">
242 EBL children received case management since project start on 5/1/16</t>
    </r>
  </si>
  <si>
    <t>231 Food Service Establishments for continued compliance checks</t>
  </si>
  <si>
    <t>Completed 221 assessments to verify continued compliance from 10/1/17 thru 06/30/18. 1650 water samples (including re-tests) have been collected since October 1, 2016</t>
  </si>
  <si>
    <t>Veggie Box Program</t>
  </si>
  <si>
    <t>Water Heater Replacement</t>
  </si>
  <si>
    <t xml:space="preserve">Payments to additional TANF eligible families </t>
  </si>
  <si>
    <t>TANF Eligible Water Heater Replacement</t>
  </si>
  <si>
    <t>A three-story mixed use building will be renovated </t>
  </si>
  <si>
    <t>Uptown Reinvestment Corporation, Inc.</t>
  </si>
  <si>
    <t>2000-seat community theater and 25,000 square feet of office and retail space</t>
  </si>
  <si>
    <t>Lear Corporation</t>
  </si>
  <si>
    <t>Creation of 276 jobs</t>
  </si>
  <si>
    <t>Rehabilitation of vacant automobile manufacturing complex</t>
  </si>
  <si>
    <t>BC Leasing, LLC</t>
  </si>
  <si>
    <t> the vertical construction of the new industrial park including buildings, parking lots, and utilities. </t>
  </si>
  <si>
    <t>Mixed-use historic rehab of an old school building and new construction</t>
  </si>
  <si>
    <t>Communities First, Inc.</t>
  </si>
  <si>
    <t>house 54 residential units (9 market rate) and commercial space.</t>
  </si>
  <si>
    <t>550 Bears, LLC</t>
  </si>
  <si>
    <t>Culinary Arts Project will include two culinary arts teaching kitchens, two bakery teaching kitchens, a meat fabrication teaching laboratory, a fine dining student-staffed restaurant with a baked goods café, and meeting space. </t>
  </si>
  <si>
    <t>Genesee County jail resources in response to water emergency</t>
  </si>
  <si>
    <t>Money was spent for bottle water purchases</t>
  </si>
  <si>
    <t>Public Act</t>
  </si>
  <si>
    <t>AY17 Work Project</t>
  </si>
  <si>
    <t>Over 31,500 Water Samples Have Been Analyzed, Expenditures Are Those That Have Been Billed to Date</t>
  </si>
  <si>
    <t>Technical Expertise Was Provided Through the End of September 2018</t>
  </si>
  <si>
    <t>Provided Technical Assistance and Coordination for Response Efforts through September 2018</t>
  </si>
  <si>
    <t>Complete Drinking Water Testing in Flint Schools &amp; the Community</t>
  </si>
  <si>
    <t>Drinking Water Testing Will be Completed in Flint Schools &amp; the Community</t>
  </si>
  <si>
    <t>URC South 600, LLC</t>
  </si>
  <si>
    <t>rehabilitate an existing single-story vacant building</t>
  </si>
  <si>
    <t xml:space="preserve">multi-tenant commercial building </t>
  </si>
  <si>
    <t>Mixed-use historic rehab of an old hotel building and new construction</t>
  </si>
  <si>
    <t>the new hotel will feature 101 guestrooms, a full-service restaurant, and a banquet center.</t>
  </si>
  <si>
    <t xml:space="preserve">6,082 contacts were made July-Sept 2018
33,062 total contacts made during FY18 </t>
  </si>
  <si>
    <t>92 individuals were served between July - September 2018</t>
  </si>
  <si>
    <t>Contract was executed in March.   FY 2018 4,701 Total Senior Referrals</t>
  </si>
  <si>
    <t>1,355,931 lbs of food delivered during July-Sept</t>
  </si>
  <si>
    <r>
      <rPr>
        <b/>
        <sz val="11"/>
        <rFont val="Calibri"/>
        <family val="2"/>
        <scheme val="minor"/>
      </rPr>
      <t>Completed</t>
    </r>
    <r>
      <rPr>
        <sz val="11"/>
        <rFont val="Calibri"/>
        <family val="2"/>
        <scheme val="minor"/>
      </rPr>
      <t xml:space="preserve">
2,228,405 lbs of food delivered during Jan-Sept.  2,879,242 lbs of food delivered Oct 17-Sept 18</t>
    </r>
  </si>
  <si>
    <t>4th quarter: 93 homes in the abatement process. All 93 homes are CHIP eligible Total: 233 homes in the abatment process and 231 are CHIP eligible</t>
  </si>
  <si>
    <t xml:space="preserve">Lead abatement/Service Line GF Match for SCHIP </t>
  </si>
  <si>
    <t>85 cumulative families served to date</t>
  </si>
  <si>
    <t>561 unduplicated clients in July, 2018
643 unduplicated clients in August, 2018
625 unduplicated clients in Sept, 2018</t>
  </si>
  <si>
    <t>103 families currently being served</t>
  </si>
  <si>
    <t>10/1/17-10/1/18: 123 data requests processed statewide. 8 Data Use Agreements were executed or are currently in process. Worked with 138 Public Housing Authorities &amp; 74 completed DUAs with them</t>
  </si>
  <si>
    <t>2115 shower filter cartridge replacement cartridges distributed in Q4</t>
  </si>
  <si>
    <t>2115 shower filter cartridge replacement cartridges distributed</t>
  </si>
  <si>
    <t xml:space="preserve">Lead abatement/Service Line for SCHIP </t>
  </si>
  <si>
    <t>PA 207 
of 2018</t>
  </si>
  <si>
    <t>FY19 Expenditures Through 
End of Reporting Period</t>
  </si>
  <si>
    <t>FY19
Gross</t>
  </si>
  <si>
    <t>Reserve: Water Distribution Optimization Analysis</t>
  </si>
  <si>
    <t>Reserve: Water Plant Analysis</t>
  </si>
  <si>
    <t>Reserve: Technical Assistance and Training</t>
  </si>
  <si>
    <t>Reserve: Lab and Testing Costs</t>
  </si>
  <si>
    <t>Reserve: Parallel pipe; Genesee County Drain Commission</t>
  </si>
  <si>
    <t>Reserve: Testing and sampling per 'Concerned Pastors' settlement</t>
  </si>
  <si>
    <t>Reserve: Deloitte contract</t>
  </si>
  <si>
    <t>Reserve: Replacement of lead service lines for high risk, high hazard homes in Flint</t>
  </si>
  <si>
    <t>Reserve: CORE program funding - bottled water</t>
  </si>
  <si>
    <t>Reserve: Contractual services of an integrity oversight monitor</t>
  </si>
  <si>
    <t>Reserve: CORE Program funding - community outreach</t>
  </si>
  <si>
    <t>Reserve: Agency/SEOC Support Costs (National Guard deployment)</t>
  </si>
  <si>
    <t xml:space="preserve">Reserve: School nurses and social workers </t>
  </si>
  <si>
    <t>Reserve: Early intervention, early literacy, and nutritional services</t>
  </si>
  <si>
    <t>Reserve: Sec. 18 Reimburse - DTMB</t>
  </si>
  <si>
    <t>Reserve: Integrity monitoring</t>
  </si>
  <si>
    <t>Reserve: Pipe Replacement</t>
  </si>
  <si>
    <t>Reserve: Bottled Water Purchases</t>
  </si>
  <si>
    <t>Reserve: U of M water costs</t>
  </si>
  <si>
    <t>Reserve: Integrity monitoring oversight of lead service line replacements</t>
  </si>
  <si>
    <t>Reserve: Genesee County register of deeds</t>
  </si>
  <si>
    <t>Transfer to Treasury for Integrity monitoring oversight of lead service line replacement</t>
  </si>
  <si>
    <t>Transfer to Treasury for Genesee County register of deeds (target agreement)</t>
  </si>
  <si>
    <t>Home Depot - Fixtures, Filters</t>
  </si>
  <si>
    <t>KWR Water - Consultants</t>
  </si>
  <si>
    <t>Transfer to Treasury for Food Bank expenses</t>
  </si>
  <si>
    <t>Transfer to Treasury for Filters and Fixtures</t>
  </si>
  <si>
    <t>Transfer to Treasury for lead Service Line Replacement</t>
  </si>
  <si>
    <t>Reserve: Food Bank (DTMB)</t>
  </si>
  <si>
    <t>Reserve: Filters &amp; Fixtures (DTMB)</t>
  </si>
  <si>
    <t>Reserve: Lead Service Line Replacement (DEQ)</t>
  </si>
  <si>
    <t>Flood Law, PLLC, Special Council &amp; Staff</t>
  </si>
  <si>
    <t>Analysis Has Been Completed on Water Treatment Plant</t>
  </si>
  <si>
    <r>
      <rPr>
        <b/>
        <sz val="11"/>
        <rFont val="Calibri"/>
        <family val="2"/>
        <scheme val="minor"/>
      </rPr>
      <t>Completed</t>
    </r>
    <r>
      <rPr>
        <sz val="11"/>
        <rFont val="Calibri"/>
        <family val="2"/>
        <scheme val="minor"/>
      </rPr>
      <t xml:space="preserve">
Coverage of Targeted Case Management Services for Medicaid Beneficiaries who were served by the Flint water system began May 9, 2016.</t>
    </r>
  </si>
  <si>
    <t>Individuals are continuing to be served at these locations</t>
  </si>
  <si>
    <r>
      <rPr>
        <b/>
        <sz val="11"/>
        <rFont val="Calibri"/>
        <family val="2"/>
        <scheme val="minor"/>
      </rPr>
      <t>Completed</t>
    </r>
    <r>
      <rPr>
        <sz val="11"/>
        <rFont val="Calibri"/>
        <family val="2"/>
        <scheme val="minor"/>
      </rPr>
      <t xml:space="preserve">
MSUE programming concluded 9/30/18.  2257 participants attended class series and one-time events</t>
    </r>
  </si>
  <si>
    <r>
      <rPr>
        <b/>
        <sz val="11"/>
        <rFont val="Calibri"/>
        <family val="2"/>
        <scheme val="minor"/>
      </rPr>
      <t>Completed</t>
    </r>
    <r>
      <rPr>
        <sz val="11"/>
        <rFont val="Calibri"/>
        <family val="2"/>
        <scheme val="minor"/>
      </rPr>
      <t xml:space="preserve">
413 Senior referrals provided in July
484 Senior referrals provided in August
438 Senior referrals provided in September</t>
    </r>
  </si>
  <si>
    <t>Interpreters attending events as needed</t>
  </si>
  <si>
    <r>
      <rPr>
        <b/>
        <sz val="11"/>
        <rFont val="Calibri"/>
        <family val="2"/>
        <scheme val="minor"/>
      </rPr>
      <t>Completed</t>
    </r>
    <r>
      <rPr>
        <sz val="11"/>
        <rFont val="Calibri"/>
        <family val="2"/>
        <scheme val="minor"/>
      </rPr>
      <t xml:space="preserve">
Communication Access Center has provided Interpretation services as needed at local meetings</t>
    </r>
  </si>
  <si>
    <t>Lead Programming</t>
  </si>
  <si>
    <t>see row 109</t>
  </si>
  <si>
    <t>PA 265 of 2018</t>
  </si>
  <si>
    <t xml:space="preserve">As part of this grant project,  622 participants (156% of expected goal) were placed into temporary employment and 887 into subsidized employment.  
The number of hours worked is currently not available.    
Work experience jobs were created in areas such as career counselors, truck drivers, water distribution hub managers, water distribution workers, filter education liaisons, fork lift drivers, and food bank workers.  Subsidized employment, work-experience positions were created in a number of charitable and community organizations such as Mission of Hope, the Food Bank, and the Flint Housing Commission. 
The work experience portion of the Flint Water project is complete.  The last water distribution locations funded by this work experience grant closed 2018.  </t>
  </si>
  <si>
    <t>Mixed-use  rehab of the Fromer YWCA building and new construction</t>
  </si>
  <si>
    <t>mixed-use building with 92 market rate and affordable housing units and four new retail spaces.</t>
  </si>
  <si>
    <t>FY19 Spent to Date</t>
  </si>
  <si>
    <t>FY19 Spent 
to Date</t>
  </si>
  <si>
    <t>PA 265 
of 2018</t>
  </si>
  <si>
    <t>Cumulative through June 30, 2019</t>
  </si>
  <si>
    <t>Cumulative Expenditures through 
June 30, 2019</t>
  </si>
  <si>
    <t>Genesee ISD Nutrition; Early On</t>
  </si>
  <si>
    <t>Analysis Has Been Completed on Water Distribution Optimization Analysis</t>
  </si>
  <si>
    <t>Reserve: Community Outreach and Communications</t>
  </si>
  <si>
    <t>Provide Outreach &amp; Communications to Community</t>
  </si>
  <si>
    <t>Outreach &amp; Communications Will be Provided to the Community</t>
  </si>
  <si>
    <t xml:space="preserve">Outreach &amp; Communications Were Delivered to the Community </t>
  </si>
  <si>
    <t>Over 690 Service Lines Have Been Replaced and Over 5,080 Homes Have Had Excavations Completed</t>
  </si>
  <si>
    <t>City of Flint Reimbursement - Lead Service Line Replacement</t>
  </si>
  <si>
    <t>Intergrity Mointoring</t>
  </si>
  <si>
    <t>Our Lady of Guadalupe - 13 served; Word of Life Christian Center – 5; First Trinity Baptist Church – 12; New Jerusalem Full Gospel Baptist Church – 32; New Life Tabernacle Ministries – 11; Ebezer Ministries - 9; Metropolitan Baptist Tabernacle - 4; Total:  95 served.  6 week session of Grief Groups was completed during the quarter.</t>
  </si>
  <si>
    <t xml:space="preserve">Communication Access Center has provided Interpretation services as needed at local meetings. Expenditures are being moved to FY17 appropriation. </t>
  </si>
  <si>
    <t xml:space="preserve">Since the start of the contract 102,830* trips have been provided. (*June is an approximated amount as MTA Rides to Wellness is experiencing issues with their computer system used to compile their reports. An updated number will be provided on the next quarterly report.)  </t>
  </si>
  <si>
    <t xml:space="preserve">5,050 Rides in April 2019
4,994 Rides in May 2019
4,700* Rides in June 2019                                                                                                                                                                                 FY19 to date: 41,584* rides provided.                                                (*June is an approximated amount as MTA Rides to Wellness is experiencing issues with their computer system used to compile their reports. An updated number will be provided on the next quarterly report.)  </t>
  </si>
  <si>
    <t>10,193,080 lbs of food delivered since February 2016.</t>
  </si>
  <si>
    <t xml:space="preserve">1,009,010 lbs. of food delivered in Q3 (April 2019-June 2019)          FY19 total: 2,905,614 lbs. of food delivered </t>
  </si>
  <si>
    <t>58 CHIP eligible homes abated in FY19.</t>
  </si>
  <si>
    <t xml:space="preserve">149 Primary Care providers have been enrolled in MC3 in Flint. Enrollment meetings with primary care physicians continue to be schedule/held. </t>
  </si>
  <si>
    <t xml:space="preserve">In Genesee County, 149 providers have been enrolled, to date. The Behavioral Health Consultant (BHC) is integrated at Mott Children’s Health Center (MCHC) was on maternity leave. The second BHC has continued to provide in-person clinic visits to engage practices in MC3 services and covered services at MCHC by receiving referrals for patient consultants and providing brief interventions. The third BHC is integrated into the workflow at Genesee Health Center and has been connecting with patients during well child visits according to guidelines for referral, screening and follow-up. The integrated BHCs facilitated 7 referrals to the Family Navigator Program for patients impacted by the water crisis this month.  BHCs have been covering phone consultations for the Flint/Genesee area and providing ongoing outreach to providers. </t>
  </si>
  <si>
    <t xml:space="preserve">Continuation of 6 pathways workers in Flint Community Schools. </t>
  </si>
  <si>
    <t>Cumulative/FY 19 total:  5,238 recipients served.</t>
  </si>
  <si>
    <t xml:space="preserve">April – 906 recipients 
May - 727 recipients
June – 741 recipients  </t>
  </si>
  <si>
    <t>In FY19, 121 water heaters have been installed.</t>
  </si>
  <si>
    <t xml:space="preserve"> In FY19, 54 water heaters with Children in the household  (installed) </t>
  </si>
  <si>
    <t>In FY19, 54 water heaters with Children in the household  (installed) 
67 water heaters with Elderly in the household (installed)</t>
  </si>
  <si>
    <t>Through June 30, 2019, the number of health education and outreach initiatives in FY19 are 87.</t>
  </si>
  <si>
    <t>The number of health education and outreach initiatives in FY19 are 87.</t>
  </si>
  <si>
    <t>287 EBL children received case management since project start on 5/1/16</t>
  </si>
  <si>
    <t>In FY19, 18 providers received training, 67 providers contacted for follow-up, 94 pregnant clients received face to face counseling and 45 breastfeeding mothers received face to face counseling.</t>
  </si>
  <si>
    <t>In FY19, 18 providers received training, 67 providers contacted for follow-up, 94 pregnant clients received face to face counseling and 45 breastfeeding mothers received face to face counseling. Expenditures are being moved to the correct appropriation.</t>
  </si>
  <si>
    <t>For FY 19: Richfield, Kearsley and Carman Ainsworth saw a combined total of 754 youth with 2,509 visits in the first two quarters of FY 19.</t>
  </si>
  <si>
    <t>58 homes abated in FY19</t>
  </si>
  <si>
    <t xml:space="preserve">In FY 19, 122 Flint families have been served through the Nurse Family Partnership. When combined with the federal MIECHV and the Flint water funding, the Flint NFP program has served 229 families. </t>
  </si>
  <si>
    <t xml:space="preserve">In FY19, 49 Flint families have been served through the Parents as Teachers program. </t>
  </si>
  <si>
    <r>
      <rPr>
        <b/>
        <sz val="11"/>
        <rFont val="Calibri"/>
        <family val="2"/>
        <scheme val="minor"/>
      </rPr>
      <t>COMPLETED</t>
    </r>
    <r>
      <rPr>
        <sz val="11"/>
        <rFont val="Calibri"/>
        <family val="2"/>
        <scheme val="minor"/>
      </rPr>
      <t xml:space="preserve">         10/1/17-10/1/18: 123 data requests processed statewide. 8 Data Use Agreements were executed or are currently in process. Worked with 138 Public Housing Authorities &amp; 74 completed DUAs with them</t>
    </r>
  </si>
  <si>
    <t>The program is currently located in 10 retail locations and has 19,069 unique users.</t>
  </si>
  <si>
    <t xml:space="preserve">Since July of 2016 the program has added 19,069 unique users, of which 5,049 unique users were added in this quarter. Redemptions for this quarter total $56,884 bringing the total amount redeemed for incentive payments to $768,159. </t>
  </si>
  <si>
    <t>9,320 Total Senior Referrals since March 2017.</t>
  </si>
  <si>
    <t xml:space="preserve"> 327 Senior referrals provided in April 2019                                           553 Senior referrals provided in May 2019                                             336 Senior referrals provided in June 2019                                         FY19 total: 3,156 referrals provided</t>
  </si>
  <si>
    <r>
      <rPr>
        <b/>
        <sz val="11"/>
        <rFont val="Calibri"/>
        <family val="2"/>
        <scheme val="minor"/>
      </rPr>
      <t>COMPLETED</t>
    </r>
    <r>
      <rPr>
        <sz val="11"/>
        <rFont val="Calibri"/>
        <family val="2"/>
        <scheme val="minor"/>
      </rPr>
      <t xml:space="preserve">           Contract has been executed allowing project to start.</t>
    </r>
  </si>
  <si>
    <t>5,966 children served in FY19</t>
  </si>
  <si>
    <t>1,105 unduplicated children in April, 2019.                                                        1,059 unduplicated children in May, 2019</t>
  </si>
  <si>
    <t>Special Counsel Legal Services</t>
  </si>
  <si>
    <t>current approps</t>
  </si>
  <si>
    <t>CELLCO Partnership; David Hoort; West Publishing Corp; Reeves Law PLC; Keith Corbett; ;Innovative Network Solutions, Inc</t>
  </si>
  <si>
    <t>Flint Water Crisis Prosecution Team</t>
  </si>
  <si>
    <t>Alexandra Peterson; Ortal Lieberman; Bilal Baydoun</t>
  </si>
  <si>
    <t>Environment, Great Lakes, and Energy</t>
  </si>
  <si>
    <t xml:space="preserve">Environment, Great Lakes, and Energy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</si>
</sst>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44" formatCode="_(&quot;$&quot;* #,##0.00_);_(&quot;$&quot;* \(#,##0.00\);_(&quot;$&quot;* &quot;-&quot;??_);_(@_)"/>
    <numFmt numFmtId="43" formatCode="_(* #,##0.00_);_(* \(#,##0.00\);_(* &quot;-&quot;??_);_(@_)"/>
    <numFmt numFmtId="164" formatCode="_(&quot;$&quot;* #,##0.0_);_(&quot;$&quot;* \(#,##0.0\);_(&quot;$&quot;* &quot;-&quot;??_);_(@_)"/>
    <numFmt numFmtId="165" formatCode="&quot;$&quot;#,##0.0_);[Red]\(&quot;$&quot;#,##0.0\)"/>
    <numFmt numFmtId="166" formatCode="#.00"/>
    <numFmt numFmtId="167" formatCode="#,##0."/>
    <numFmt numFmtId="168" formatCode="&quot;$&quot;#."/>
    <numFmt numFmtId="169" formatCode="[$-409]d\-mmm\-yy;@"/>
    <numFmt numFmtId="170" formatCode="&quot;$&quot;#,##0;[Red]&quot;$&quot;#,##0"/>
    <numFmt numFmtId="171" formatCode="0.0%"/>
    <numFmt numFmtId="172" formatCode="&quot;$&quot;#,##0.0;[Red]&quot;$&quot;#,##0.0"/>
    <numFmt numFmtId="173" formatCode="&quot;$&quot;#,##0"/>
    <numFmt numFmtId="174" formatCode="_(* #,##0_);_(* \(#,##0\);_(* &quot;-&quot;??_);_(@_)"/>
  </numFmts>
  <fonts count="36">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0"/>
      <name val="Arial"/>
      <family val="2"/>
    </font>
    <font>
      <sz val="1"/>
      <color indexed="8"/>
      <name val="Courier"/>
      <family val="3"/>
    </font>
    <font>
      <sz val="12"/>
      <name val="Arial"/>
      <family val="2"/>
    </font>
    <font>
      <sz val="12"/>
      <color indexed="9"/>
      <name val="NewCenturySchlbk"/>
      <family val="1"/>
    </font>
    <font>
      <b/>
      <sz val="12"/>
      <color theme="0"/>
      <name val="Calibri"/>
      <family val="2"/>
      <scheme val="minor"/>
    </font>
    <font>
      <sz val="12"/>
      <color rgb="FF006100"/>
      <name val="Calibri"/>
      <family val="2"/>
      <scheme val="minor"/>
    </font>
    <font>
      <sz val="12"/>
      <color rgb="FF9C6500"/>
      <name val="Calibri"/>
      <family val="2"/>
      <scheme val="minor"/>
    </font>
    <font>
      <sz val="11"/>
      <name val="Calibri"/>
      <family val="2"/>
      <scheme val="minor"/>
    </font>
    <font>
      <sz val="12"/>
      <color theme="1"/>
      <name val="Calibri"/>
      <family val="2"/>
      <scheme val="minor"/>
    </font>
    <font>
      <sz val="10"/>
      <name val="Calibri"/>
      <family val="2"/>
      <scheme val="minor"/>
    </font>
    <font>
      <b/>
      <sz val="10"/>
      <name val="Calibri"/>
      <family val="2"/>
      <scheme val="minor"/>
    </font>
    <font>
      <b/>
      <sz val="12"/>
      <color theme="4" tint="0.79998168889431442"/>
      <name val="Calibri"/>
      <family val="2"/>
      <scheme val="minor"/>
    </font>
    <font>
      <sz val="9"/>
      <name val="Calibri"/>
      <family val="2"/>
      <scheme val="minor"/>
    </font>
    <font>
      <sz val="11"/>
      <color theme="1"/>
      <name val="Century Schoolbook"/>
      <family val="2"/>
    </font>
    <font>
      <sz val="10"/>
      <color theme="1"/>
      <name val="Arial"/>
      <family val="2"/>
    </font>
    <font>
      <sz val="11"/>
      <color theme="1"/>
      <name val="Agency FB"/>
      <family val="2"/>
    </font>
    <font>
      <b/>
      <sz val="11"/>
      <color rgb="FFFA7D00"/>
      <name val="Agency FB"/>
      <family val="2"/>
    </font>
    <font>
      <sz val="11"/>
      <color rgb="FF3F3F76"/>
      <name val="Agency FB"/>
      <family val="2"/>
    </font>
    <font>
      <sz val="11"/>
      <color rgb="FF0000FF"/>
      <name val="Calibri"/>
      <family val="2"/>
      <scheme val="minor"/>
    </font>
    <font>
      <b/>
      <sz val="11"/>
      <name val="Calibri"/>
      <family val="2"/>
      <scheme val="minor"/>
    </font>
    <font>
      <sz val="12"/>
      <name val="Calibri"/>
      <family val="2"/>
      <scheme val="minor"/>
    </font>
    <font>
      <b/>
      <sz val="12"/>
      <name val="Calibri"/>
      <family val="2"/>
      <scheme val="minor"/>
    </font>
    <font>
      <sz val="11"/>
      <name val="Calibri"/>
      <family val="2"/>
    </font>
    <font>
      <strike/>
      <sz val="11"/>
      <name val="Calibri"/>
      <family val="2"/>
    </font>
    <font>
      <b/>
      <sz val="14"/>
      <name val="Calibri"/>
      <family val="2"/>
      <scheme val="minor"/>
    </font>
    <font>
      <b/>
      <sz val="11"/>
      <name val="Calibri"/>
      <family val="2"/>
    </font>
    <font>
      <sz val="9"/>
      <color theme="1"/>
      <name val="Calibri"/>
      <family val="2"/>
      <scheme val="minor"/>
    </font>
    <font>
      <b/>
      <sz val="9"/>
      <color indexed="81"/>
      <name val="Tahoma"/>
      <family val="2"/>
    </font>
    <font>
      <sz val="9"/>
      <color indexed="81"/>
      <name val="Tahoma"/>
      <family val="2"/>
    </font>
    <font>
      <sz val="10"/>
      <name val="Calibri"/>
      <family val="2"/>
    </font>
    <font>
      <sz val="11"/>
      <color rgb="FFFF0000"/>
      <name val="Calibri"/>
      <family val="2"/>
      <scheme val="minor"/>
    </font>
    <font>
      <b/>
      <sz val="9"/>
      <color indexed="81"/>
      <name val="Tahoma"/>
      <charset val="1"/>
    </font>
  </fonts>
  <fills count="11">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EB9C"/>
      </patternFill>
    </fill>
    <fill>
      <patternFill patternType="solid">
        <fgColor rgb="FFA5A5A5"/>
      </patternFill>
    </fill>
    <fill>
      <patternFill patternType="solid">
        <fgColor theme="4" tint="0.79998168889431442"/>
        <bgColor indexed="64"/>
      </patternFill>
    </fill>
    <fill>
      <patternFill patternType="solid">
        <fgColor rgb="FFFFCC99"/>
      </patternFill>
    </fill>
    <fill>
      <patternFill patternType="solid">
        <fgColor rgb="FFF2F2F2"/>
      </patternFill>
    </fill>
    <fill>
      <patternFill patternType="solid">
        <fgColor theme="6" tint="0.79998168889431442"/>
        <bgColor theme="6" tint="0.79998168889431442"/>
      </patternFill>
    </fill>
    <fill>
      <patternFill patternType="solid">
        <fgColor rgb="FFFFFF0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right/>
      <top style="double">
        <color indexed="64"/>
      </top>
      <bottom/>
      <diagonal/>
    </border>
    <border>
      <left style="thin">
        <color indexed="64"/>
      </left>
      <right style="thin">
        <color indexed="64"/>
      </right>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7F7F7F"/>
      </left>
      <right style="thin">
        <color rgb="FF7F7F7F"/>
      </right>
      <top style="thin">
        <color rgb="FF7F7F7F"/>
      </top>
      <bottom style="thin">
        <color rgb="FF7F7F7F"/>
      </bottom>
      <diagonal/>
    </border>
    <border>
      <left style="thin">
        <color indexed="64"/>
      </left>
      <right style="thin">
        <color indexed="8"/>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
      <left/>
      <right style="thin">
        <color auto="1"/>
      </right>
      <top/>
      <bottom/>
      <diagonal/>
    </border>
    <border>
      <left/>
      <right style="thin">
        <color indexed="64"/>
      </right>
      <top/>
      <bottom style="thin">
        <color indexed="8"/>
      </bottom>
      <diagonal/>
    </border>
    <border>
      <left style="thin">
        <color auto="1"/>
      </left>
      <right style="thin">
        <color indexed="64"/>
      </right>
      <top/>
      <bottom style="thin">
        <color indexed="8"/>
      </bottom>
      <diagonal/>
    </border>
    <border>
      <left/>
      <right/>
      <top style="thin">
        <color indexed="64"/>
      </top>
      <bottom/>
      <diagonal/>
    </border>
    <border>
      <left/>
      <right/>
      <top style="thin">
        <color indexed="64"/>
      </top>
      <bottom/>
      <diagonal/>
    </border>
    <border>
      <left/>
      <right style="thin">
        <color indexed="8"/>
      </right>
      <top/>
      <bottom style="thin">
        <color indexed="8"/>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indexed="8"/>
      </top>
      <bottom style="thin">
        <color indexed="64"/>
      </bottom>
      <diagonal/>
    </border>
    <border>
      <left/>
      <right style="thin">
        <color indexed="64"/>
      </right>
      <top style="thin">
        <color indexed="8"/>
      </top>
      <bottom style="thin">
        <color indexed="8"/>
      </bottom>
      <diagonal/>
    </border>
    <border>
      <left/>
      <right style="thin">
        <color auto="1"/>
      </right>
      <top style="thin">
        <color auto="1"/>
      </top>
      <bottom style="thin">
        <color auto="1"/>
      </bottom>
      <diagonal/>
    </border>
    <border>
      <left style="thin">
        <color auto="1"/>
      </left>
      <right style="thin">
        <color indexed="64"/>
      </right>
      <top style="thin">
        <color indexed="8"/>
      </top>
      <bottom/>
      <diagonal/>
    </border>
    <border>
      <left style="thin">
        <color auto="1"/>
      </left>
      <right style="thin">
        <color indexed="64"/>
      </right>
      <top style="thin">
        <color indexed="8"/>
      </top>
      <bottom style="thin">
        <color indexed="8"/>
      </bottom>
      <diagonal/>
    </border>
    <border>
      <left/>
      <right style="thin">
        <color auto="1"/>
      </right>
      <top style="thin">
        <color indexed="8"/>
      </top>
      <bottom style="thin">
        <color indexed="64"/>
      </bottom>
      <diagonal/>
    </border>
    <border>
      <left style="thin">
        <color indexed="64"/>
      </left>
      <right style="thin">
        <color indexed="64"/>
      </right>
      <top style="thin">
        <color indexed="64"/>
      </top>
      <bottom/>
      <diagonal/>
    </border>
  </borders>
  <cellStyleXfs count="30">
    <xf numFmtId="0" fontId="0" fillId="0" borderId="0"/>
    <xf numFmtId="44" fontId="1" fillId="0" borderId="0" applyFont="0" applyFill="0" applyBorder="0" applyAlignment="0" applyProtection="0"/>
    <xf numFmtId="9" fontId="1" fillId="0" borderId="0" applyFont="0" applyFill="0" applyBorder="0" applyAlignment="0" applyProtection="0"/>
    <xf numFmtId="0" fontId="4" fillId="0" borderId="0"/>
    <xf numFmtId="43" fontId="4" fillId="0" borderId="0" applyFont="0" applyFill="0" applyBorder="0" applyAlignment="0" applyProtection="0"/>
    <xf numFmtId="167" fontId="5" fillId="0" borderId="0">
      <protection locked="0"/>
    </xf>
    <xf numFmtId="168" fontId="5" fillId="0" borderId="0">
      <protection locked="0"/>
    </xf>
    <xf numFmtId="0" fontId="5" fillId="0" borderId="0">
      <protection locked="0"/>
    </xf>
    <xf numFmtId="166" fontId="5" fillId="0" borderId="0">
      <protection locked="0"/>
    </xf>
    <xf numFmtId="0" fontId="5" fillId="0" borderId="0">
      <protection locked="0"/>
    </xf>
    <xf numFmtId="0" fontId="5" fillId="0" borderId="0">
      <protection locked="0"/>
    </xf>
    <xf numFmtId="0" fontId="7" fillId="0" borderId="0"/>
    <xf numFmtId="0" fontId="5" fillId="0" borderId="8">
      <protection locked="0"/>
    </xf>
    <xf numFmtId="0" fontId="6" fillId="0" borderId="0"/>
    <xf numFmtId="43" fontId="4" fillId="0" borderId="0" applyFont="0" applyFill="0" applyBorder="0" applyAlignment="0" applyProtection="0"/>
    <xf numFmtId="0" fontId="6" fillId="0" borderId="0"/>
    <xf numFmtId="0" fontId="8" fillId="5" borderId="7" applyNumberFormat="0" applyAlignment="0" applyProtection="0"/>
    <xf numFmtId="0" fontId="9" fillId="3" borderId="0" applyNumberFormat="0" applyBorder="0" applyAlignment="0" applyProtection="0"/>
    <xf numFmtId="0" fontId="10" fillId="4" borderId="0" applyNumberFormat="0" applyBorder="0" applyAlignment="0" applyProtection="0"/>
    <xf numFmtId="0" fontId="4" fillId="0" borderId="0"/>
    <xf numFmtId="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7" fillId="0" borderId="0"/>
    <xf numFmtId="0" fontId="19" fillId="9" borderId="0" applyNumberFormat="0" applyBorder="0" applyAlignment="0" applyProtection="0"/>
    <xf numFmtId="0" fontId="20" fillId="8" borderId="19" applyNumberFormat="0" applyAlignment="0" applyProtection="0"/>
    <xf numFmtId="0" fontId="21" fillId="7" borderId="19" applyNumberFormat="0" applyAlignment="0" applyProtection="0"/>
    <xf numFmtId="0" fontId="6" fillId="0" borderId="0"/>
    <xf numFmtId="0" fontId="18" fillId="0" borderId="0"/>
    <xf numFmtId="43" fontId="1" fillId="0" borderId="0" applyFont="0" applyFill="0" applyBorder="0" applyAlignment="0" applyProtection="0"/>
  </cellStyleXfs>
  <cellXfs count="312">
    <xf numFmtId="0" fontId="0" fillId="0" borderId="0" xfId="0"/>
    <xf numFmtId="0" fontId="0" fillId="0" borderId="0" xfId="0" applyFont="1" applyBorder="1" applyAlignment="1">
      <alignment vertical="center"/>
    </xf>
    <xf numFmtId="0" fontId="0" fillId="0" borderId="0" xfId="0" applyAlignment="1">
      <alignment horizontal="center"/>
    </xf>
    <xf numFmtId="0" fontId="0" fillId="0" borderId="0" xfId="0"/>
    <xf numFmtId="6" fontId="13" fillId="0" borderId="1" xfId="0" applyNumberFormat="1" applyFont="1" applyFill="1" applyBorder="1" applyAlignment="1">
      <alignment vertical="center"/>
    </xf>
    <xf numFmtId="6" fontId="14" fillId="0" borderId="1" xfId="0" applyNumberFormat="1" applyFont="1" applyFill="1" applyBorder="1" applyAlignment="1">
      <alignment horizontal="right" vertical="center"/>
    </xf>
    <xf numFmtId="0" fontId="0" fillId="0" borderId="0" xfId="0" applyAlignment="1">
      <alignment vertical="center"/>
    </xf>
    <xf numFmtId="0" fontId="16" fillId="0" borderId="0" xfId="0" applyFont="1"/>
    <xf numFmtId="172" fontId="0" fillId="0" borderId="0" xfId="0" applyNumberFormat="1" applyAlignment="1">
      <alignment horizontal="center"/>
    </xf>
    <xf numFmtId="164" fontId="0" fillId="0" borderId="0" xfId="1" applyNumberFormat="1" applyFont="1"/>
    <xf numFmtId="0" fontId="11" fillId="0" borderId="0" xfId="0" applyFont="1"/>
    <xf numFmtId="0" fontId="11" fillId="0" borderId="0" xfId="0" applyFont="1" applyAlignment="1">
      <alignment wrapText="1"/>
    </xf>
    <xf numFmtId="0" fontId="0" fillId="0" borderId="0" xfId="0"/>
    <xf numFmtId="0" fontId="0" fillId="0" borderId="0" xfId="0" applyAlignment="1">
      <alignment horizontal="right"/>
    </xf>
    <xf numFmtId="6" fontId="0" fillId="0" borderId="0" xfId="0" applyNumberFormat="1" applyAlignment="1">
      <alignment horizontal="right"/>
    </xf>
    <xf numFmtId="0" fontId="0" fillId="0" borderId="0" xfId="0" applyFont="1" applyFill="1" applyBorder="1" applyAlignment="1">
      <alignment horizontal="left" vertical="center"/>
    </xf>
    <xf numFmtId="6" fontId="0" fillId="0" borderId="0" xfId="0" applyNumberFormat="1" applyFont="1" applyAlignment="1">
      <alignment horizontal="right"/>
    </xf>
    <xf numFmtId="0" fontId="0" fillId="0" borderId="2" xfId="0" applyBorder="1"/>
    <xf numFmtId="0" fontId="0" fillId="0" borderId="2" xfId="0" applyBorder="1" applyAlignment="1">
      <alignment horizontal="right"/>
    </xf>
    <xf numFmtId="0" fontId="0" fillId="0" borderId="2" xfId="0" applyBorder="1" applyAlignment="1">
      <alignment horizontal="right" wrapText="1"/>
    </xf>
    <xf numFmtId="0" fontId="0" fillId="0" borderId="2" xfId="0" applyFont="1" applyFill="1" applyBorder="1" applyAlignment="1">
      <alignment horizontal="left"/>
    </xf>
    <xf numFmtId="0" fontId="2" fillId="0" borderId="0" xfId="0" applyFont="1" applyFill="1" applyBorder="1" applyAlignment="1">
      <alignment vertical="center"/>
    </xf>
    <xf numFmtId="6" fontId="2" fillId="0" borderId="0" xfId="0" applyNumberFormat="1" applyFont="1" applyAlignment="1">
      <alignment horizontal="right"/>
    </xf>
    <xf numFmtId="0" fontId="2" fillId="0" borderId="0" xfId="0" applyFont="1"/>
    <xf numFmtId="0" fontId="2" fillId="0" borderId="0" xfId="0" applyFont="1" applyFill="1" applyBorder="1" applyAlignment="1">
      <alignment horizontal="left" vertical="center"/>
    </xf>
    <xf numFmtId="6" fontId="0" fillId="0" borderId="2" xfId="0" applyNumberFormat="1" applyBorder="1" applyAlignment="1">
      <alignment horizontal="right"/>
    </xf>
    <xf numFmtId="6" fontId="0" fillId="0" borderId="2" xfId="0" applyNumberFormat="1" applyFont="1" applyBorder="1" applyAlignment="1">
      <alignment horizontal="right"/>
    </xf>
    <xf numFmtId="0" fontId="23" fillId="0" borderId="0" xfId="0" applyFont="1" applyAlignment="1">
      <alignment vertical="center"/>
    </xf>
    <xf numFmtId="0" fontId="11" fillId="0" borderId="0" xfId="0" applyFont="1" applyBorder="1" applyAlignment="1"/>
    <xf numFmtId="164" fontId="11" fillId="0" borderId="0" xfId="1" applyNumberFormat="1" applyFont="1" applyBorder="1" applyAlignment="1">
      <alignment horizontal="center" vertical="center"/>
    </xf>
    <xf numFmtId="0" fontId="11" fillId="0" borderId="0" xfId="0" applyFont="1" applyAlignment="1">
      <alignment horizontal="center"/>
    </xf>
    <xf numFmtId="0" fontId="11" fillId="0" borderId="0" xfId="0" applyFont="1" applyBorder="1"/>
    <xf numFmtId="0" fontId="24" fillId="0" borderId="0" xfId="0" applyFont="1" applyBorder="1" applyAlignment="1">
      <alignment horizontal="left" vertical="center"/>
    </xf>
    <xf numFmtId="164" fontId="11" fillId="0" borderId="0" xfId="1" applyNumberFormat="1" applyFont="1" applyBorder="1" applyAlignment="1"/>
    <xf numFmtId="164" fontId="11" fillId="0" borderId="0" xfId="1" applyNumberFormat="1" applyFont="1" applyBorder="1" applyAlignment="1">
      <alignment horizontal="left"/>
    </xf>
    <xf numFmtId="169" fontId="11" fillId="0" borderId="0" xfId="0" applyNumberFormat="1" applyFont="1" applyFill="1" applyBorder="1" applyAlignment="1">
      <alignment horizontal="left" vertical="top"/>
    </xf>
    <xf numFmtId="0" fontId="25" fillId="0" borderId="0" xfId="0" applyFont="1" applyBorder="1" applyAlignment="1">
      <alignment vertical="center"/>
    </xf>
    <xf numFmtId="0" fontId="11" fillId="0" borderId="0" xfId="0" applyFont="1" applyFill="1" applyBorder="1" applyAlignment="1">
      <alignment horizontal="center" vertical="center"/>
    </xf>
    <xf numFmtId="0" fontId="11" fillId="0" borderId="0" xfId="0" applyFont="1" applyBorder="1" applyAlignment="1">
      <alignment horizontal="left" vertical="center"/>
    </xf>
    <xf numFmtId="0" fontId="11" fillId="0" borderId="0" xfId="0" applyFont="1" applyFill="1" applyBorder="1" applyAlignment="1">
      <alignment vertical="top"/>
    </xf>
    <xf numFmtId="0" fontId="11" fillId="0" borderId="0" xfId="0" applyFont="1" applyFill="1" applyBorder="1" applyAlignment="1">
      <alignment vertical="center"/>
    </xf>
    <xf numFmtId="0" fontId="14" fillId="0" borderId="2" xfId="0" applyFont="1" applyFill="1" applyBorder="1" applyAlignment="1">
      <alignment horizontal="left" vertical="top"/>
    </xf>
    <xf numFmtId="0" fontId="13" fillId="0" borderId="2" xfId="0" applyFont="1" applyFill="1" applyBorder="1" applyAlignment="1">
      <alignment horizontal="left" vertical="top" wrapText="1"/>
    </xf>
    <xf numFmtId="0" fontId="25" fillId="0" borderId="0" xfId="0" applyFont="1" applyBorder="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1" xfId="0" quotePrefix="1" applyFont="1" applyFill="1" applyBorder="1" applyAlignment="1">
      <alignment horizontal="center" vertical="center" wrapText="1"/>
    </xf>
    <xf numFmtId="6" fontId="11" fillId="0" borderId="1" xfId="0" applyNumberFormat="1" applyFont="1" applyFill="1" applyBorder="1" applyAlignment="1">
      <alignment horizontal="center" vertical="center" wrapText="1"/>
    </xf>
    <xf numFmtId="6" fontId="11" fillId="0" borderId="1" xfId="1" applyNumberFormat="1" applyFont="1" applyFill="1" applyBorder="1" applyAlignment="1">
      <alignment horizontal="center" vertical="center"/>
    </xf>
    <xf numFmtId="6" fontId="11" fillId="0" borderId="1" xfId="1" applyNumberFormat="1"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0" borderId="0" xfId="0" applyFont="1" applyFill="1" applyBorder="1"/>
    <xf numFmtId="6" fontId="11" fillId="0" borderId="0" xfId="0" applyNumberFormat="1" applyFont="1" applyFill="1"/>
    <xf numFmtId="0" fontId="11" fillId="0" borderId="0" xfId="0" applyFont="1" applyFill="1"/>
    <xf numFmtId="6" fontId="23" fillId="0" borderId="0" xfId="0" applyNumberFormat="1" applyFont="1" applyFill="1" applyBorder="1" applyAlignment="1">
      <alignment horizontal="center" vertical="center"/>
    </xf>
    <xf numFmtId="0" fontId="11" fillId="0" borderId="0" xfId="0" applyFont="1" applyFill="1" applyAlignment="1">
      <alignment horizontal="center"/>
    </xf>
    <xf numFmtId="6" fontId="23" fillId="0" borderId="1" xfId="0" applyNumberFormat="1" applyFont="1" applyFill="1" applyBorder="1" applyAlignment="1">
      <alignment horizontal="center" vertical="center"/>
    </xf>
    <xf numFmtId="6" fontId="11" fillId="0" borderId="0" xfId="0" applyNumberFormat="1" applyFont="1" applyBorder="1"/>
    <xf numFmtId="0" fontId="14" fillId="0" borderId="1" xfId="0" applyFont="1" applyFill="1" applyBorder="1" applyAlignment="1">
      <alignment horizontal="left"/>
    </xf>
    <xf numFmtId="0" fontId="14" fillId="0" borderId="1" xfId="0" applyFont="1" applyFill="1" applyBorder="1" applyAlignment="1">
      <alignment horizontal="center" wrapText="1"/>
    </xf>
    <xf numFmtId="0" fontId="14" fillId="0" borderId="1" xfId="0" applyFont="1" applyFill="1" applyBorder="1" applyAlignment="1">
      <alignment horizontal="right" wrapText="1"/>
    </xf>
    <xf numFmtId="0" fontId="13" fillId="0" borderId="1" xfId="0" applyFont="1" applyFill="1" applyBorder="1" applyAlignment="1">
      <alignment horizontal="left" vertical="center"/>
    </xf>
    <xf numFmtId="0" fontId="13" fillId="0" borderId="9" xfId="0" applyFont="1" applyFill="1" applyBorder="1" applyAlignment="1">
      <alignment horizontal="left" vertical="center"/>
    </xf>
    <xf numFmtId="0" fontId="14" fillId="0" borderId="1" xfId="0" applyFont="1" applyFill="1" applyBorder="1" applyAlignment="1">
      <alignment horizontal="center" vertical="center"/>
    </xf>
    <xf numFmtId="6" fontId="14" fillId="0" borderId="1" xfId="0" applyNumberFormat="1" applyFont="1" applyFill="1" applyBorder="1" applyAlignment="1">
      <alignment vertical="center"/>
    </xf>
    <xf numFmtId="0" fontId="13" fillId="0" borderId="0" xfId="0" applyFont="1"/>
    <xf numFmtId="0" fontId="14" fillId="0" borderId="3" xfId="0" applyFont="1" applyBorder="1" applyAlignment="1"/>
    <xf numFmtId="0" fontId="14" fillId="0" borderId="1" xfId="0" applyFont="1" applyFill="1" applyBorder="1" applyAlignment="1">
      <alignment horizontal="right"/>
    </xf>
    <xf numFmtId="0" fontId="13" fillId="0" borderId="3" xfId="0" applyFont="1" applyBorder="1" applyAlignment="1"/>
    <xf numFmtId="0" fontId="13" fillId="0" borderId="3" xfId="0" applyFont="1" applyBorder="1" applyAlignment="1">
      <alignment vertical="center"/>
    </xf>
    <xf numFmtId="0" fontId="14" fillId="0" borderId="3" xfId="0" applyFont="1" applyBorder="1" applyAlignment="1">
      <alignment vertical="center"/>
    </xf>
    <xf numFmtId="0" fontId="14" fillId="0" borderId="10" xfId="0" applyFont="1" applyBorder="1" applyAlignment="1">
      <alignment vertical="center"/>
    </xf>
    <xf numFmtId="165" fontId="14" fillId="0" borderId="10" xfId="0" applyNumberFormat="1" applyFont="1" applyFill="1" applyBorder="1" applyAlignment="1">
      <alignment horizontal="right" vertical="center"/>
    </xf>
    <xf numFmtId="6" fontId="11" fillId="0" borderId="0" xfId="0" applyNumberFormat="1" applyFont="1"/>
    <xf numFmtId="14" fontId="23" fillId="6" borderId="1" xfId="1" applyNumberFormat="1" applyFont="1" applyFill="1" applyBorder="1" applyAlignment="1">
      <alignment horizontal="center" vertical="center" wrapText="1"/>
    </xf>
    <xf numFmtId="164" fontId="23" fillId="6" borderId="6" xfId="1" applyNumberFormat="1" applyFont="1" applyFill="1" applyBorder="1" applyAlignment="1">
      <alignment horizontal="center" vertical="center" wrapText="1"/>
    </xf>
    <xf numFmtId="9" fontId="23" fillId="6" borderId="1" xfId="2" applyFont="1" applyFill="1" applyBorder="1" applyAlignment="1">
      <alignment horizontal="center" vertical="center" wrapText="1"/>
    </xf>
    <xf numFmtId="0" fontId="23" fillId="6" borderId="1" xfId="0" applyFont="1" applyFill="1" applyBorder="1" applyAlignment="1">
      <alignment horizontal="center" vertical="center" wrapText="1"/>
    </xf>
    <xf numFmtId="165" fontId="23" fillId="6" borderId="6" xfId="0" applyNumberFormat="1" applyFont="1" applyFill="1" applyBorder="1" applyAlignment="1">
      <alignment horizontal="center" vertical="center" wrapText="1"/>
    </xf>
    <xf numFmtId="0" fontId="23" fillId="6" borderId="4" xfId="0" applyFont="1" applyFill="1" applyBorder="1" applyAlignment="1">
      <alignment vertical="center"/>
    </xf>
    <xf numFmtId="0" fontId="23" fillId="6" borderId="3" xfId="0" applyFont="1" applyFill="1" applyBorder="1" applyAlignment="1">
      <alignment vertical="center" wrapText="1"/>
    </xf>
    <xf numFmtId="0" fontId="11" fillId="6" borderId="1" xfId="0" applyFont="1" applyFill="1" applyBorder="1" applyAlignment="1">
      <alignment horizontal="center" vertical="center" wrapText="1"/>
    </xf>
    <xf numFmtId="0" fontId="11" fillId="2" borderId="0" xfId="0" applyFont="1" applyFill="1"/>
    <xf numFmtId="0" fontId="25" fillId="6" borderId="14" xfId="0" applyFont="1" applyFill="1" applyBorder="1"/>
    <xf numFmtId="0" fontId="25" fillId="6" borderId="0" xfId="0" applyFont="1" applyFill="1" applyBorder="1"/>
    <xf numFmtId="0" fontId="23" fillId="6" borderId="14" xfId="0" applyFont="1" applyFill="1" applyBorder="1"/>
    <xf numFmtId="0" fontId="23" fillId="6" borderId="0" xfId="0" applyFont="1" applyFill="1" applyBorder="1"/>
    <xf numFmtId="6" fontId="23" fillId="6" borderId="0" xfId="0" applyNumberFormat="1" applyFont="1" applyFill="1" applyBorder="1" applyAlignment="1">
      <alignment horizontal="center"/>
    </xf>
    <xf numFmtId="6" fontId="23" fillId="6" borderId="15" xfId="0" applyNumberFormat="1" applyFont="1" applyFill="1" applyBorder="1" applyAlignment="1">
      <alignment horizontal="center"/>
    </xf>
    <xf numFmtId="0" fontId="11" fillId="6" borderId="14" xfId="0" applyFont="1" applyFill="1" applyBorder="1"/>
    <xf numFmtId="0" fontId="11" fillId="6" borderId="0" xfId="0" applyFont="1" applyFill="1" applyBorder="1"/>
    <xf numFmtId="6" fontId="11" fillId="6" borderId="0" xfId="0" applyNumberFormat="1" applyFont="1" applyFill="1" applyBorder="1" applyAlignment="1">
      <alignment horizontal="center"/>
    </xf>
    <xf numFmtId="6" fontId="11" fillId="6" borderId="15" xfId="0" applyNumberFormat="1" applyFont="1" applyFill="1" applyBorder="1" applyAlignment="1">
      <alignment horizontal="center"/>
    </xf>
    <xf numFmtId="0" fontId="11" fillId="6" borderId="0" xfId="0" applyFont="1" applyFill="1"/>
    <xf numFmtId="0" fontId="23" fillId="6" borderId="17" xfId="0" applyFont="1" applyFill="1" applyBorder="1" applyAlignment="1">
      <alignment horizontal="center" wrapText="1"/>
    </xf>
    <xf numFmtId="0" fontId="23" fillId="6" borderId="18" xfId="0" applyFont="1" applyFill="1" applyBorder="1" applyAlignment="1">
      <alignment horizontal="center" wrapText="1"/>
    </xf>
    <xf numFmtId="0" fontId="25" fillId="0" borderId="14" xfId="0" applyFont="1" applyFill="1" applyBorder="1"/>
    <xf numFmtId="0" fontId="25" fillId="0" borderId="0" xfId="0" applyFont="1" applyFill="1" applyBorder="1"/>
    <xf numFmtId="0" fontId="25" fillId="0" borderId="0" xfId="0" applyFont="1" applyFill="1" applyBorder="1" applyAlignment="1">
      <alignment horizontal="center"/>
    </xf>
    <xf numFmtId="0" fontId="25" fillId="0" borderId="15" xfId="0" applyFont="1" applyFill="1" applyBorder="1" applyAlignment="1">
      <alignment horizontal="center"/>
    </xf>
    <xf numFmtId="0" fontId="23" fillId="0" borderId="14" xfId="0" applyFont="1" applyFill="1" applyBorder="1"/>
    <xf numFmtId="0" fontId="23" fillId="0" borderId="0" xfId="0" applyFont="1" applyFill="1" applyBorder="1"/>
    <xf numFmtId="6" fontId="23" fillId="0" borderId="0" xfId="0" applyNumberFormat="1" applyFont="1" applyFill="1" applyBorder="1" applyAlignment="1">
      <alignment horizontal="center"/>
    </xf>
    <xf numFmtId="6" fontId="23" fillId="0" borderId="15" xfId="0" applyNumberFormat="1" applyFont="1" applyFill="1" applyBorder="1" applyAlignment="1">
      <alignment horizontal="center"/>
    </xf>
    <xf numFmtId="0" fontId="11" fillId="0" borderId="14" xfId="0" applyFont="1" applyFill="1" applyBorder="1"/>
    <xf numFmtId="6" fontId="11" fillId="0" borderId="0" xfId="0" applyNumberFormat="1" applyFont="1" applyFill="1" applyBorder="1" applyAlignment="1">
      <alignment horizontal="center"/>
    </xf>
    <xf numFmtId="6" fontId="11" fillId="0" borderId="15" xfId="0" applyNumberFormat="1" applyFont="1" applyFill="1" applyBorder="1" applyAlignment="1">
      <alignment horizontal="center"/>
    </xf>
    <xf numFmtId="0" fontId="23" fillId="6" borderId="2" xfId="0" applyFont="1" applyFill="1" applyBorder="1"/>
    <xf numFmtId="6" fontId="23" fillId="6" borderId="2" xfId="0" applyNumberFormat="1" applyFont="1" applyFill="1" applyBorder="1" applyAlignment="1">
      <alignment horizontal="center"/>
    </xf>
    <xf numFmtId="6" fontId="23" fillId="6" borderId="21" xfId="0" applyNumberFormat="1" applyFont="1" applyFill="1" applyBorder="1" applyAlignment="1">
      <alignment horizontal="center"/>
    </xf>
    <xf numFmtId="0" fontId="24" fillId="0" borderId="0" xfId="0" applyFont="1" applyFill="1" applyBorder="1"/>
    <xf numFmtId="0" fontId="11" fillId="6" borderId="22" xfId="0" applyFont="1" applyFill="1" applyBorder="1"/>
    <xf numFmtId="0" fontId="11" fillId="0" borderId="16" xfId="0" applyFont="1" applyFill="1" applyBorder="1"/>
    <xf numFmtId="0" fontId="11" fillId="0" borderId="17" xfId="0" applyFont="1" applyFill="1" applyBorder="1"/>
    <xf numFmtId="0" fontId="25" fillId="0" borderId="17" xfId="0" applyFont="1" applyFill="1" applyBorder="1"/>
    <xf numFmtId="165" fontId="11" fillId="0" borderId="17" xfId="0" applyNumberFormat="1" applyFont="1" applyFill="1" applyBorder="1"/>
    <xf numFmtId="165" fontId="11" fillId="0" borderId="18" xfId="0" applyNumberFormat="1" applyFont="1" applyFill="1" applyBorder="1"/>
    <xf numFmtId="0" fontId="23" fillId="2" borderId="0" xfId="0" applyFont="1" applyFill="1"/>
    <xf numFmtId="0" fontId="11" fillId="0" borderId="0" xfId="0" applyFont="1" applyAlignment="1">
      <alignment vertical="center"/>
    </xf>
    <xf numFmtId="173" fontId="11" fillId="6" borderId="0" xfId="0" applyNumberFormat="1" applyFont="1" applyFill="1" applyBorder="1" applyAlignment="1">
      <alignment horizontal="center" vertical="center"/>
    </xf>
    <xf numFmtId="173" fontId="11" fillId="6" borderId="15" xfId="0" applyNumberFormat="1" applyFont="1" applyFill="1" applyBorder="1" applyAlignment="1">
      <alignment horizontal="center" vertical="center" wrapText="1"/>
    </xf>
    <xf numFmtId="0" fontId="23" fillId="6" borderId="2" xfId="0" applyFont="1" applyFill="1" applyBorder="1" applyAlignment="1">
      <alignment horizontal="center" wrapText="1"/>
    </xf>
    <xf numFmtId="0" fontId="23" fillId="6" borderId="21" xfId="0" applyFont="1" applyFill="1" applyBorder="1" applyAlignment="1">
      <alignment horizontal="center" wrapText="1"/>
    </xf>
    <xf numFmtId="0" fontId="11" fillId="0" borderId="14" xfId="0" applyFont="1" applyFill="1" applyBorder="1" applyAlignment="1">
      <alignment wrapText="1"/>
    </xf>
    <xf numFmtId="0" fontId="11" fillId="0" borderId="15" xfId="0" applyFont="1" applyFill="1" applyBorder="1" applyAlignment="1">
      <alignment wrapText="1"/>
    </xf>
    <xf numFmtId="0" fontId="11" fillId="0" borderId="14" xfId="0" applyFont="1" applyFill="1" applyBorder="1" applyAlignment="1">
      <alignment vertical="center" wrapText="1"/>
    </xf>
    <xf numFmtId="173" fontId="11" fillId="0" borderId="0" xfId="0" applyNumberFormat="1" applyFont="1" applyFill="1" applyBorder="1" applyAlignment="1">
      <alignment horizontal="center" vertical="center"/>
    </xf>
    <xf numFmtId="173" fontId="11" fillId="0" borderId="15" xfId="0" applyNumberFormat="1" applyFont="1" applyFill="1" applyBorder="1" applyAlignment="1">
      <alignment horizontal="center" vertical="center" wrapText="1"/>
    </xf>
    <xf numFmtId="0" fontId="11" fillId="0" borderId="0" xfId="0" applyFont="1" applyFill="1" applyAlignment="1">
      <alignment vertical="center"/>
    </xf>
    <xf numFmtId="0" fontId="25" fillId="6" borderId="16" xfId="0" applyFont="1" applyFill="1" applyBorder="1" applyAlignment="1">
      <alignment vertical="center" wrapText="1"/>
    </xf>
    <xf numFmtId="173" fontId="23" fillId="6" borderId="17" xfId="0" applyNumberFormat="1" applyFont="1" applyFill="1" applyBorder="1" applyAlignment="1">
      <alignment horizontal="center" vertical="center"/>
    </xf>
    <xf numFmtId="173" fontId="23" fillId="6" borderId="18" xfId="0" applyNumberFormat="1" applyFont="1" applyFill="1" applyBorder="1" applyAlignment="1">
      <alignment horizontal="center" vertical="center"/>
    </xf>
    <xf numFmtId="0" fontId="24" fillId="6" borderId="14" xfId="0" applyFont="1" applyFill="1" applyBorder="1" applyAlignment="1">
      <alignment vertical="center" wrapText="1"/>
    </xf>
    <xf numFmtId="0" fontId="25" fillId="6" borderId="0" xfId="0" applyFont="1" applyFill="1" applyBorder="1" applyAlignment="1">
      <alignment horizontal="center" wrapText="1"/>
    </xf>
    <xf numFmtId="0" fontId="25" fillId="6" borderId="0" xfId="0" applyFont="1" applyFill="1" applyBorder="1" applyAlignment="1">
      <alignment horizontal="center" wrapText="1" shrinkToFit="1"/>
    </xf>
    <xf numFmtId="0" fontId="25" fillId="6" borderId="15" xfId="0" applyFont="1" applyFill="1" applyBorder="1" applyAlignment="1">
      <alignment horizontal="center" wrapText="1"/>
    </xf>
    <xf numFmtId="0" fontId="12" fillId="0" borderId="14" xfId="0" applyFont="1" applyFill="1" applyBorder="1"/>
    <xf numFmtId="0" fontId="12" fillId="0" borderId="0" xfId="0" applyFont="1" applyFill="1" applyBorder="1" applyAlignment="1">
      <alignment horizontal="center"/>
    </xf>
    <xf numFmtId="0" fontId="12" fillId="0" borderId="15" xfId="0" applyFont="1" applyFill="1" applyBorder="1" applyAlignment="1">
      <alignment horizontal="center"/>
    </xf>
    <xf numFmtId="0" fontId="0" fillId="0" borderId="0" xfId="0" applyFill="1"/>
    <xf numFmtId="0" fontId="12" fillId="0" borderId="14" xfId="0" applyFont="1" applyFill="1" applyBorder="1" applyAlignment="1">
      <alignment vertical="center" wrapText="1"/>
    </xf>
    <xf numFmtId="170" fontId="3" fillId="0" borderId="0" xfId="0" applyNumberFormat="1" applyFont="1" applyFill="1" applyBorder="1" applyAlignment="1">
      <alignment horizontal="center" vertical="center"/>
    </xf>
    <xf numFmtId="170" fontId="8" fillId="0" borderId="0" xfId="0" applyNumberFormat="1" applyFont="1" applyFill="1" applyBorder="1" applyAlignment="1">
      <alignment horizontal="center" vertical="center"/>
    </xf>
    <xf numFmtId="170" fontId="12" fillId="0" borderId="0" xfId="0" applyNumberFormat="1" applyFont="1" applyFill="1" applyBorder="1" applyAlignment="1">
      <alignment horizontal="center" vertical="center"/>
    </xf>
    <xf numFmtId="170" fontId="12" fillId="0" borderId="15" xfId="0" applyNumberFormat="1" applyFont="1" applyFill="1" applyBorder="1" applyAlignment="1">
      <alignment horizontal="center" vertical="center"/>
    </xf>
    <xf numFmtId="0" fontId="0" fillId="0" borderId="0" xfId="0" applyFill="1" applyAlignment="1">
      <alignment vertical="center"/>
    </xf>
    <xf numFmtId="171" fontId="3" fillId="0" borderId="0" xfId="2" applyNumberFormat="1" applyFont="1" applyFill="1" applyBorder="1" applyAlignment="1">
      <alignment horizontal="center" vertical="center"/>
    </xf>
    <xf numFmtId="170" fontId="3" fillId="0" borderId="15" xfId="0" applyNumberFormat="1" applyFont="1" applyFill="1" applyBorder="1" applyAlignment="1">
      <alignment horizontal="center" vertical="center"/>
    </xf>
    <xf numFmtId="170" fontId="15" fillId="0" borderId="15" xfId="0" applyNumberFormat="1" applyFont="1" applyFill="1" applyBorder="1" applyAlignment="1">
      <alignment horizontal="center" vertical="center"/>
    </xf>
    <xf numFmtId="0" fontId="0" fillId="0" borderId="0" xfId="0" applyFill="1" applyBorder="1" applyAlignment="1">
      <alignment vertical="center"/>
    </xf>
    <xf numFmtId="0" fontId="0" fillId="0" borderId="16" xfId="0" applyFill="1" applyBorder="1"/>
    <xf numFmtId="0" fontId="0" fillId="0" borderId="17" xfId="0" applyFill="1" applyBorder="1" applyAlignment="1">
      <alignment horizontal="center"/>
    </xf>
    <xf numFmtId="171" fontId="0" fillId="0" borderId="17" xfId="2" applyNumberFormat="1" applyFont="1" applyFill="1" applyBorder="1" applyAlignment="1">
      <alignment horizontal="center"/>
    </xf>
    <xf numFmtId="0" fontId="0" fillId="0" borderId="18" xfId="0" applyFill="1" applyBorder="1" applyAlignment="1">
      <alignment horizontal="center"/>
    </xf>
    <xf numFmtId="170" fontId="25" fillId="6" borderId="0" xfId="0" applyNumberFormat="1" applyFont="1" applyFill="1" applyBorder="1" applyAlignment="1">
      <alignment horizontal="center" vertical="center"/>
    </xf>
    <xf numFmtId="170" fontId="25" fillId="6" borderId="15" xfId="0" applyNumberFormat="1" applyFont="1" applyFill="1" applyBorder="1" applyAlignment="1">
      <alignment horizontal="center" vertical="center"/>
    </xf>
    <xf numFmtId="0" fontId="25" fillId="6" borderId="14" xfId="0" applyFont="1" applyFill="1" applyBorder="1" applyAlignment="1">
      <alignment vertical="center"/>
    </xf>
    <xf numFmtId="170" fontId="24" fillId="6" borderId="0" xfId="0" applyNumberFormat="1" applyFont="1" applyFill="1" applyBorder="1" applyAlignment="1">
      <alignment horizontal="center" vertical="center"/>
    </xf>
    <xf numFmtId="173" fontId="24" fillId="6" borderId="0" xfId="0" applyNumberFormat="1" applyFont="1" applyFill="1" applyBorder="1" applyAlignment="1">
      <alignment horizontal="center" vertical="center"/>
    </xf>
    <xf numFmtId="171" fontId="24" fillId="6" borderId="0" xfId="2" applyNumberFormat="1" applyFont="1" applyFill="1" applyBorder="1" applyAlignment="1">
      <alignment horizontal="center" vertical="center"/>
    </xf>
    <xf numFmtId="170" fontId="24" fillId="6" borderId="15" xfId="0" applyNumberFormat="1" applyFont="1" applyFill="1" applyBorder="1" applyAlignment="1">
      <alignment horizontal="center" vertical="center"/>
    </xf>
    <xf numFmtId="0" fontId="2" fillId="0" borderId="0" xfId="0" applyFont="1" applyAlignment="1">
      <alignment vertical="center"/>
    </xf>
    <xf numFmtId="0" fontId="25" fillId="6" borderId="14" xfId="0" applyFont="1" applyFill="1" applyBorder="1" applyAlignment="1">
      <alignment wrapText="1"/>
    </xf>
    <xf numFmtId="0" fontId="12" fillId="0" borderId="0" xfId="0" applyFont="1"/>
    <xf numFmtId="9" fontId="11" fillId="0" borderId="1" xfId="2" applyFont="1" applyFill="1" applyBorder="1" applyAlignment="1">
      <alignment horizontal="center" vertical="center" wrapText="1"/>
    </xf>
    <xf numFmtId="6" fontId="13" fillId="2" borderId="1" xfId="0" applyNumberFormat="1" applyFont="1" applyFill="1" applyBorder="1" applyAlignment="1">
      <alignment vertical="center"/>
    </xf>
    <xf numFmtId="174" fontId="11" fillId="6" borderId="0" xfId="29" applyNumberFormat="1" applyFont="1" applyFill="1"/>
    <xf numFmtId="174" fontId="11" fillId="0" borderId="0" xfId="29" applyNumberFormat="1" applyFont="1" applyFill="1"/>
    <xf numFmtId="174" fontId="11" fillId="0" borderId="0" xfId="29" applyNumberFormat="1" applyFont="1"/>
    <xf numFmtId="174" fontId="11" fillId="2" borderId="0" xfId="29" applyNumberFormat="1" applyFont="1" applyFill="1"/>
    <xf numFmtId="174" fontId="23" fillId="2" borderId="0" xfId="29" applyNumberFormat="1" applyFont="1" applyFill="1"/>
    <xf numFmtId="38" fontId="11" fillId="0" borderId="0" xfId="29" applyNumberFormat="1" applyFont="1" applyFill="1"/>
    <xf numFmtId="6" fontId="0" fillId="0" borderId="10" xfId="0" applyNumberFormat="1" applyFont="1" applyBorder="1" applyAlignment="1">
      <alignment horizontal="right"/>
    </xf>
    <xf numFmtId="6" fontId="0" fillId="0" borderId="0" xfId="0" applyNumberFormat="1" applyFont="1" applyBorder="1" applyAlignment="1">
      <alignment horizontal="right"/>
    </xf>
    <xf numFmtId="174" fontId="0" fillId="0" borderId="0" xfId="29" applyNumberFormat="1" applyFont="1" applyAlignment="1">
      <alignment horizontal="right"/>
    </xf>
    <xf numFmtId="10" fontId="0" fillId="0" borderId="0" xfId="2" applyNumberFormat="1" applyFont="1" applyAlignment="1">
      <alignment horizontal="right"/>
    </xf>
    <xf numFmtId="10" fontId="0" fillId="0" borderId="0" xfId="0" applyNumberFormat="1" applyAlignment="1">
      <alignment horizontal="right"/>
    </xf>
    <xf numFmtId="0" fontId="11" fillId="0" borderId="0" xfId="0" applyFont="1" applyFill="1" applyBorder="1" applyAlignment="1">
      <alignment horizontal="center" wrapText="1"/>
    </xf>
    <xf numFmtId="0" fontId="30" fillId="0" borderId="0" xfId="0" applyFont="1"/>
    <xf numFmtId="0" fontId="13" fillId="6" borderId="22" xfId="0" applyFont="1" applyFill="1" applyBorder="1" applyAlignment="1">
      <alignment wrapText="1"/>
    </xf>
    <xf numFmtId="0" fontId="11" fillId="0" borderId="0" xfId="0" applyFont="1" applyBorder="1" applyAlignment="1">
      <alignment horizontal="left"/>
    </xf>
    <xf numFmtId="0" fontId="13" fillId="0" borderId="0" xfId="0" applyFont="1" applyFill="1" applyBorder="1" applyAlignment="1">
      <alignment horizontal="left" vertical="top"/>
    </xf>
    <xf numFmtId="0" fontId="23" fillId="6" borderId="1" xfId="0" applyFont="1" applyFill="1" applyBorder="1" applyAlignment="1">
      <alignment horizontal="left" vertical="center" wrapText="1"/>
    </xf>
    <xf numFmtId="0" fontId="11" fillId="0" borderId="0" xfId="0" applyFont="1" applyFill="1" applyBorder="1" applyAlignment="1">
      <alignment horizontal="left"/>
    </xf>
    <xf numFmtId="0" fontId="11" fillId="0" borderId="0" xfId="0" applyFont="1" applyFill="1" applyAlignment="1">
      <alignment horizontal="left"/>
    </xf>
    <xf numFmtId="0" fontId="11" fillId="0" borderId="0" xfId="0" applyFont="1" applyAlignment="1">
      <alignment horizontal="left"/>
    </xf>
    <xf numFmtId="6" fontId="14" fillId="0" borderId="10" xfId="0" applyNumberFormat="1" applyFont="1" applyFill="1" applyBorder="1" applyAlignment="1">
      <alignment horizontal="right" vertical="center"/>
    </xf>
    <xf numFmtId="10" fontId="25" fillId="6" borderId="0" xfId="2" applyNumberFormat="1" applyFont="1" applyFill="1" applyBorder="1" applyAlignment="1">
      <alignment horizontal="center" vertical="center"/>
    </xf>
    <xf numFmtId="10" fontId="24" fillId="6" borderId="0" xfId="2" applyNumberFormat="1" applyFont="1" applyFill="1" applyBorder="1" applyAlignment="1">
      <alignment horizontal="center" vertical="center"/>
    </xf>
    <xf numFmtId="10" fontId="12" fillId="0" borderId="0" xfId="2" applyNumberFormat="1" applyFont="1" applyFill="1" applyBorder="1" applyAlignment="1">
      <alignment horizontal="center" vertical="center"/>
    </xf>
    <xf numFmtId="10" fontId="3" fillId="0" borderId="0" xfId="2" applyNumberFormat="1" applyFont="1" applyFill="1" applyBorder="1" applyAlignment="1">
      <alignment horizontal="center" vertical="center"/>
    </xf>
    <xf numFmtId="0" fontId="11" fillId="0" borderId="0" xfId="0" applyFont="1" applyBorder="1" applyAlignment="1">
      <alignment horizontal="center"/>
    </xf>
    <xf numFmtId="6" fontId="13" fillId="0" borderId="1" xfId="0" applyNumberFormat="1" applyFont="1" applyFill="1" applyBorder="1" applyAlignment="1">
      <alignment horizontal="right" vertical="center"/>
    </xf>
    <xf numFmtId="6" fontId="13" fillId="0" borderId="0" xfId="0" applyNumberFormat="1" applyFont="1" applyAlignment="1">
      <alignment horizontal="right"/>
    </xf>
    <xf numFmtId="6" fontId="14" fillId="0" borderId="1" xfId="0" applyNumberFormat="1" applyFont="1" applyFill="1" applyBorder="1" applyAlignment="1">
      <alignment horizontal="right" wrapText="1"/>
    </xf>
    <xf numFmtId="6" fontId="13" fillId="2" borderId="1" xfId="0" applyNumberFormat="1" applyFont="1" applyFill="1" applyBorder="1" applyAlignment="1">
      <alignment horizontal="right" vertical="center"/>
    </xf>
    <xf numFmtId="164" fontId="23" fillId="6" borderId="1" xfId="1" applyNumberFormat="1" applyFont="1" applyFill="1" applyBorder="1" applyAlignment="1">
      <alignment horizontal="center" vertical="center" wrapText="1"/>
    </xf>
    <xf numFmtId="0" fontId="14" fillId="0" borderId="0" xfId="0" applyFont="1" applyFill="1" applyBorder="1" applyAlignment="1">
      <alignment horizontal="left" vertical="top"/>
    </xf>
    <xf numFmtId="0" fontId="13" fillId="0" borderId="0" xfId="0" applyFont="1" applyFill="1" applyBorder="1" applyAlignment="1">
      <alignment horizontal="left" vertical="top" wrapText="1"/>
    </xf>
    <xf numFmtId="0" fontId="14" fillId="0" borderId="29" xfId="0" applyFont="1" applyBorder="1" applyAlignment="1">
      <alignment vertical="center"/>
    </xf>
    <xf numFmtId="165" fontId="14" fillId="0" borderId="29" xfId="0" applyNumberFormat="1" applyFont="1" applyFill="1" applyBorder="1" applyAlignment="1">
      <alignment horizontal="right" vertical="center"/>
    </xf>
    <xf numFmtId="6" fontId="14" fillId="0" borderId="29" xfId="0" applyNumberFormat="1" applyFont="1" applyFill="1" applyBorder="1" applyAlignment="1">
      <alignment horizontal="right" vertical="center"/>
    </xf>
    <xf numFmtId="0" fontId="11" fillId="0" borderId="0" xfId="0" applyFont="1" applyAlignment="1">
      <alignment horizontal="right"/>
    </xf>
    <xf numFmtId="0" fontId="11" fillId="0" borderId="0" xfId="0" applyFont="1" applyFill="1" applyAlignment="1">
      <alignment horizontal="right"/>
    </xf>
    <xf numFmtId="6" fontId="11" fillId="0" borderId="0" xfId="0" applyNumberFormat="1" applyFont="1" applyFill="1" applyAlignment="1">
      <alignment horizontal="right"/>
    </xf>
    <xf numFmtId="165" fontId="14" fillId="0" borderId="30" xfId="0" applyNumberFormat="1" applyFont="1" applyFill="1" applyBorder="1" applyAlignment="1">
      <alignment horizontal="right" vertical="center"/>
    </xf>
    <xf numFmtId="174" fontId="11" fillId="0" borderId="0" xfId="29" applyNumberFormat="1" applyFont="1" applyBorder="1"/>
    <xf numFmtId="6" fontId="11" fillId="0" borderId="6" xfId="1" applyNumberFormat="1"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1" xfId="0" applyFont="1" applyFill="1" applyBorder="1" applyAlignment="1">
      <alignment horizontal="left" vertical="center" wrapText="1"/>
    </xf>
    <xf numFmtId="6" fontId="0" fillId="0" borderId="1" xfId="0" applyNumberFormat="1" applyFill="1" applyBorder="1" applyAlignment="1">
      <alignment horizontal="center" vertical="center"/>
    </xf>
    <xf numFmtId="6" fontId="0" fillId="0" borderId="1" xfId="1" applyNumberFormat="1" applyFont="1" applyFill="1" applyBorder="1" applyAlignment="1">
      <alignment horizontal="center" vertical="center"/>
    </xf>
    <xf numFmtId="0" fontId="22"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6" fontId="22" fillId="0" borderId="1" xfId="0" applyNumberFormat="1" applyFont="1" applyFill="1" applyBorder="1" applyAlignment="1">
      <alignment horizontal="center" vertical="center"/>
    </xf>
    <xf numFmtId="6" fontId="22" fillId="0" borderId="1" xfId="1" applyNumberFormat="1" applyFont="1" applyFill="1" applyBorder="1" applyAlignment="1">
      <alignment horizontal="center" vertical="center"/>
    </xf>
    <xf numFmtId="6" fontId="11" fillId="0" borderId="1" xfId="0" applyNumberFormat="1" applyFont="1" applyFill="1" applyBorder="1" applyAlignment="1">
      <alignment horizontal="center" vertical="center"/>
    </xf>
    <xf numFmtId="0" fontId="11" fillId="0" borderId="1" xfId="0" applyFont="1" applyFill="1" applyBorder="1" applyAlignment="1">
      <alignment horizontal="center" wrapText="1"/>
    </xf>
    <xf numFmtId="0" fontId="11" fillId="0" borderId="0" xfId="0" applyFont="1" applyFill="1" applyAlignment="1">
      <alignment horizontal="center" vertical="center" wrapText="1"/>
    </xf>
    <xf numFmtId="0" fontId="11" fillId="0" borderId="3" xfId="0" applyFont="1" applyFill="1" applyBorder="1" applyAlignment="1">
      <alignment horizontal="center" vertical="center" wrapText="1"/>
    </xf>
    <xf numFmtId="0" fontId="26" fillId="0" borderId="1" xfId="0" applyFont="1" applyFill="1" applyBorder="1" applyAlignment="1">
      <alignment horizontal="left" vertical="center" wrapText="1"/>
    </xf>
    <xf numFmtId="0" fontId="11" fillId="0" borderId="6" xfId="0" applyFont="1" applyFill="1" applyBorder="1" applyAlignment="1">
      <alignment horizontal="center" vertical="center" wrapText="1"/>
    </xf>
    <xf numFmtId="6" fontId="11" fillId="0" borderId="6" xfId="0" applyNumberFormat="1" applyFont="1" applyFill="1" applyBorder="1" applyAlignment="1">
      <alignment horizontal="center" vertical="center" wrapText="1"/>
    </xf>
    <xf numFmtId="6" fontId="11" fillId="0" borderId="23" xfId="0" applyNumberFormat="1" applyFont="1" applyFill="1" applyBorder="1" applyAlignment="1">
      <alignment horizontal="center" vertical="center" wrapText="1"/>
    </xf>
    <xf numFmtId="6" fontId="11" fillId="0" borderId="5" xfId="1" applyNumberFormat="1" applyFont="1" applyFill="1" applyBorder="1" applyAlignment="1">
      <alignment horizontal="center" vertical="center"/>
    </xf>
    <xf numFmtId="165" fontId="14" fillId="0" borderId="1" xfId="0" applyNumberFormat="1" applyFont="1" applyFill="1" applyBorder="1" applyAlignment="1">
      <alignment horizontal="right" vertical="center"/>
    </xf>
    <xf numFmtId="6" fontId="11" fillId="0" borderId="0" xfId="0" applyNumberFormat="1" applyFont="1" applyFill="1" applyBorder="1" applyAlignment="1">
      <alignment vertical="center"/>
    </xf>
    <xf numFmtId="0" fontId="26" fillId="0" borderId="1" xfId="0" applyFont="1" applyFill="1" applyBorder="1" applyAlignment="1">
      <alignment vertical="center" wrapText="1"/>
    </xf>
    <xf numFmtId="0" fontId="26" fillId="0" borderId="1" xfId="0" applyFont="1" applyFill="1" applyBorder="1" applyAlignment="1">
      <alignment horizontal="center" vertical="center"/>
    </xf>
    <xf numFmtId="0" fontId="26" fillId="0" borderId="1" xfId="0" applyFont="1" applyFill="1" applyBorder="1" applyAlignment="1">
      <alignment horizontal="center" vertical="center" wrapText="1"/>
    </xf>
    <xf numFmtId="6" fontId="26" fillId="0" borderId="1" xfId="0" applyNumberFormat="1" applyFont="1" applyFill="1" applyBorder="1" applyAlignment="1">
      <alignment horizontal="center" vertical="center" wrapText="1"/>
    </xf>
    <xf numFmtId="6" fontId="26" fillId="0" borderId="1" xfId="1" applyNumberFormat="1" applyFont="1" applyFill="1" applyBorder="1" applyAlignment="1">
      <alignment horizontal="center" vertical="center"/>
    </xf>
    <xf numFmtId="6" fontId="26" fillId="0" borderId="1" xfId="1" applyNumberFormat="1"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1" xfId="0" applyFont="1" applyFill="1" applyBorder="1" applyAlignment="1">
      <alignment horizontal="center" vertical="top" wrapText="1"/>
    </xf>
    <xf numFmtId="6" fontId="29" fillId="0" borderId="1" xfId="0" applyNumberFormat="1" applyFont="1" applyFill="1" applyBorder="1" applyAlignment="1">
      <alignment horizontal="center" vertical="center" wrapText="1"/>
    </xf>
    <xf numFmtId="6" fontId="22" fillId="0" borderId="1" xfId="0" applyNumberFormat="1" applyFont="1" applyFill="1" applyBorder="1" applyAlignment="1">
      <alignment horizontal="center" vertical="center" wrapText="1"/>
    </xf>
    <xf numFmtId="6" fontId="22" fillId="0" borderId="1" xfId="1" applyNumberFormat="1" applyFont="1" applyFill="1" applyBorder="1" applyAlignment="1">
      <alignment horizontal="center" vertical="center" wrapText="1"/>
    </xf>
    <xf numFmtId="164" fontId="23" fillId="6" borderId="1" xfId="1" applyNumberFormat="1" applyFont="1" applyFill="1" applyBorder="1" applyAlignment="1">
      <alignment horizontal="center" vertical="center" wrapText="1"/>
    </xf>
    <xf numFmtId="0" fontId="22" fillId="0" borderId="0" xfId="0" applyFont="1" applyFill="1" applyBorder="1"/>
    <xf numFmtId="6" fontId="22" fillId="0" borderId="0" xfId="0" applyNumberFormat="1" applyFont="1" applyFill="1" applyBorder="1" applyAlignment="1">
      <alignment vertical="center"/>
    </xf>
    <xf numFmtId="6" fontId="23" fillId="0" borderId="0" xfId="0" applyNumberFormat="1" applyFont="1" applyFill="1" applyBorder="1" applyAlignment="1">
      <alignment vertical="center"/>
    </xf>
    <xf numFmtId="6" fontId="13" fillId="10" borderId="1" xfId="0" applyNumberFormat="1" applyFont="1" applyFill="1" applyBorder="1" applyAlignment="1">
      <alignment vertical="center"/>
    </xf>
    <xf numFmtId="165" fontId="11" fillId="0" borderId="6" xfId="0" applyNumberFormat="1" applyFont="1" applyFill="1" applyBorder="1" applyAlignment="1">
      <alignment horizontal="center" vertical="center" wrapText="1"/>
    </xf>
    <xf numFmtId="164" fontId="11" fillId="0" borderId="1" xfId="1" applyNumberFormat="1" applyFont="1" applyFill="1" applyBorder="1" applyAlignment="1">
      <alignment horizontal="center" vertical="center" wrapText="1"/>
    </xf>
    <xf numFmtId="164" fontId="11" fillId="0" borderId="6" xfId="1" applyNumberFormat="1"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9" fontId="1" fillId="0" borderId="1" xfId="2" applyFill="1" applyBorder="1" applyAlignment="1">
      <alignment horizontal="center" vertical="center" wrapText="1"/>
    </xf>
    <xf numFmtId="0" fontId="11" fillId="0" borderId="1" xfId="3" applyFont="1" applyFill="1" applyBorder="1" applyAlignment="1">
      <alignment horizontal="left" vertical="center" wrapText="1"/>
    </xf>
    <xf numFmtId="9" fontId="34" fillId="0" borderId="1" xfId="2" applyFont="1" applyFill="1" applyBorder="1" applyAlignment="1">
      <alignment horizontal="center" vertical="center" wrapText="1"/>
    </xf>
    <xf numFmtId="0" fontId="11" fillId="0" borderId="32" xfId="0" applyFont="1" applyFill="1" applyBorder="1" applyAlignment="1">
      <alignment horizontal="center" vertical="center" wrapText="1"/>
    </xf>
    <xf numFmtId="0" fontId="11" fillId="0" borderId="1" xfId="0" applyFont="1" applyFill="1" applyBorder="1" applyAlignment="1">
      <alignment vertical="center" wrapText="1"/>
    </xf>
    <xf numFmtId="0" fontId="23" fillId="0" borderId="32" xfId="0" applyFont="1" applyFill="1" applyBorder="1" applyAlignment="1">
      <alignment horizontal="center" vertical="center" wrapText="1"/>
    </xf>
    <xf numFmtId="0" fontId="26" fillId="0" borderId="33" xfId="0" applyFont="1" applyFill="1" applyBorder="1" applyAlignment="1">
      <alignment horizontal="center" vertical="center" wrapText="1"/>
    </xf>
    <xf numFmtId="40" fontId="11" fillId="0" borderId="1" xfId="1" applyNumberFormat="1" applyFont="1" applyFill="1" applyBorder="1" applyAlignment="1">
      <alignment horizontal="center" vertical="center"/>
    </xf>
    <xf numFmtId="40" fontId="0" fillId="0" borderId="1" xfId="0" applyNumberFormat="1" applyFill="1" applyBorder="1" applyAlignment="1">
      <alignment horizontal="center" vertical="center"/>
    </xf>
    <xf numFmtId="0" fontId="23" fillId="0" borderId="1" xfId="0" applyFont="1" applyFill="1" applyBorder="1" applyAlignment="1">
      <alignment horizontal="center" vertical="center" wrapText="1"/>
    </xf>
    <xf numFmtId="40" fontId="0" fillId="0" borderId="1" xfId="0" applyNumberFormat="1" applyFill="1" applyBorder="1" applyAlignment="1">
      <alignment vertical="center"/>
    </xf>
    <xf numFmtId="6" fontId="0" fillId="0" borderId="1" xfId="0" applyNumberFormat="1" applyFill="1" applyBorder="1" applyAlignment="1">
      <alignment vertical="center"/>
    </xf>
    <xf numFmtId="0" fontId="26" fillId="0" borderId="20" xfId="0" applyFont="1" applyFill="1" applyBorder="1" applyAlignment="1">
      <alignment horizontal="center" vertical="center" wrapText="1"/>
    </xf>
    <xf numFmtId="6" fontId="11" fillId="0" borderId="0" xfId="0" applyNumberFormat="1" applyFont="1" applyFill="1" applyAlignment="1">
      <alignment horizontal="center"/>
    </xf>
    <xf numFmtId="6" fontId="11" fillId="0" borderId="0" xfId="0" applyNumberFormat="1" applyFont="1" applyFill="1" applyAlignment="1">
      <alignment horizontal="center" vertical="center"/>
    </xf>
    <xf numFmtId="0" fontId="29" fillId="0" borderId="24" xfId="0" applyFont="1" applyFill="1" applyBorder="1" applyAlignment="1">
      <alignment horizontal="center" vertical="center" wrapText="1"/>
    </xf>
    <xf numFmtId="0" fontId="11" fillId="0" borderId="1" xfId="0" applyFont="1" applyFill="1" applyBorder="1" applyAlignment="1">
      <alignment horizontal="center" vertical="top" wrapText="1"/>
    </xf>
    <xf numFmtId="0" fontId="11" fillId="0" borderId="1" xfId="19" applyFont="1" applyFill="1" applyBorder="1" applyAlignment="1">
      <alignment horizontal="left" vertical="center" wrapText="1"/>
    </xf>
    <xf numFmtId="6" fontId="11" fillId="0" borderId="25" xfId="1" applyNumberFormat="1" applyFont="1" applyFill="1" applyBorder="1" applyAlignment="1">
      <alignment horizontal="center" vertical="center"/>
    </xf>
    <xf numFmtId="49" fontId="11" fillId="0" borderId="27" xfId="0" applyNumberFormat="1" applyFont="1" applyFill="1" applyBorder="1" applyAlignment="1">
      <alignment horizontal="center" vertical="center" wrapText="1"/>
    </xf>
    <xf numFmtId="49" fontId="11" fillId="0" borderId="28" xfId="0" applyNumberFormat="1" applyFont="1" applyFill="1" applyBorder="1" applyAlignment="1">
      <alignment horizontal="left" vertical="center" wrapText="1"/>
    </xf>
    <xf numFmtId="6" fontId="11" fillId="0" borderId="31" xfId="0" applyNumberFormat="1" applyFont="1" applyFill="1" applyBorder="1" applyAlignment="1">
      <alignment horizontal="center" vertical="center"/>
    </xf>
    <xf numFmtId="6" fontId="11" fillId="0" borderId="34" xfId="0" applyNumberFormat="1" applyFont="1" applyFill="1" applyBorder="1" applyAlignment="1">
      <alignment horizontal="center" vertical="center"/>
    </xf>
    <xf numFmtId="49" fontId="11" fillId="0" borderId="26" xfId="0" applyNumberFormat="1" applyFont="1" applyFill="1" applyBorder="1" applyAlignment="1">
      <alignment horizontal="center" vertical="center" wrapText="1"/>
    </xf>
    <xf numFmtId="49" fontId="11" fillId="0" borderId="35" xfId="0" applyNumberFormat="1" applyFont="1" applyFill="1" applyBorder="1" applyAlignment="1">
      <alignment horizontal="left" vertical="center" wrapText="1"/>
    </xf>
    <xf numFmtId="49" fontId="11" fillId="0" borderId="36" xfId="0" applyNumberFormat="1" applyFont="1" applyFill="1" applyBorder="1" applyAlignment="1">
      <alignment horizontal="center" vertical="center" wrapText="1"/>
    </xf>
    <xf numFmtId="49" fontId="11" fillId="0" borderId="35" xfId="0" applyNumberFormat="1" applyFont="1" applyFill="1" applyBorder="1" applyAlignment="1">
      <alignment horizontal="center" vertical="center" wrapText="1"/>
    </xf>
    <xf numFmtId="6" fontId="11" fillId="0" borderId="37" xfId="0" applyNumberFormat="1" applyFont="1" applyFill="1" applyBorder="1" applyAlignment="1">
      <alignment horizontal="center" vertical="center"/>
    </xf>
    <xf numFmtId="49" fontId="11" fillId="0" borderId="38" xfId="0" applyNumberFormat="1" applyFont="1" applyFill="1" applyBorder="1" applyAlignment="1">
      <alignment horizontal="left" vertical="center" wrapText="1"/>
    </xf>
    <xf numFmtId="49" fontId="11"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left" vertical="center" wrapText="1"/>
    </xf>
    <xf numFmtId="0" fontId="29" fillId="0" borderId="33" xfId="0" applyFont="1" applyFill="1" applyBorder="1" applyAlignment="1">
      <alignment horizontal="center" vertical="center" wrapText="1"/>
    </xf>
    <xf numFmtId="49" fontId="11" fillId="0" borderId="39" xfId="0" applyNumberFormat="1" applyFont="1" applyFill="1" applyBorder="1" applyAlignment="1">
      <alignment horizontal="left" vertical="center" wrapText="1"/>
    </xf>
    <xf numFmtId="49" fontId="11" fillId="0" borderId="40" xfId="0" applyNumberFormat="1" applyFont="1" applyFill="1" applyBorder="1" applyAlignment="1">
      <alignment horizontal="center" vertical="center" wrapText="1"/>
    </xf>
    <xf numFmtId="6" fontId="11" fillId="0" borderId="5" xfId="0" applyNumberFormat="1" applyFont="1" applyFill="1" applyBorder="1" applyAlignment="1">
      <alignment horizontal="center" vertical="center"/>
    </xf>
    <xf numFmtId="0" fontId="11" fillId="0" borderId="32" xfId="0" applyFont="1" applyFill="1" applyBorder="1" applyAlignment="1">
      <alignment horizontal="center" vertical="center"/>
    </xf>
    <xf numFmtId="0" fontId="11" fillId="0" borderId="32" xfId="0" applyFont="1" applyFill="1" applyBorder="1" applyAlignment="1">
      <alignment horizontal="left" vertical="center" wrapText="1"/>
    </xf>
    <xf numFmtId="6" fontId="11" fillId="0" borderId="32" xfId="1" applyNumberFormat="1" applyFont="1" applyFill="1" applyBorder="1" applyAlignment="1">
      <alignment horizontal="center" vertical="center"/>
    </xf>
    <xf numFmtId="6" fontId="11" fillId="0" borderId="32" xfId="1" applyNumberFormat="1" applyFont="1" applyFill="1" applyBorder="1" applyAlignment="1">
      <alignment horizontal="center" vertical="center" wrapText="1"/>
    </xf>
    <xf numFmtId="0" fontId="11" fillId="0" borderId="41" xfId="0" applyFont="1" applyFill="1" applyBorder="1" applyAlignment="1">
      <alignment horizontal="center" vertical="center" wrapText="1"/>
    </xf>
    <xf numFmtId="0" fontId="11" fillId="0" borderId="1" xfId="0" applyFont="1" applyFill="1" applyBorder="1"/>
    <xf numFmtId="0" fontId="13" fillId="0" borderId="1" xfId="0" applyFont="1" applyFill="1" applyBorder="1" applyAlignment="1">
      <alignment horizontal="center" vertical="center" wrapText="1"/>
    </xf>
    <xf numFmtId="0" fontId="11" fillId="0" borderId="1" xfId="0" applyFont="1" applyFill="1" applyBorder="1" applyAlignment="1">
      <alignment vertical="center"/>
    </xf>
    <xf numFmtId="6" fontId="11" fillId="0" borderId="1" xfId="0" applyNumberFormat="1" applyFont="1" applyFill="1" applyBorder="1" applyAlignment="1">
      <alignment horizontal="center"/>
    </xf>
    <xf numFmtId="49" fontId="0" fillId="0" borderId="0" xfId="0" applyNumberFormat="1" applyFill="1" applyAlignment="1">
      <alignment horizontal="center" wrapText="1"/>
    </xf>
    <xf numFmtId="0" fontId="0" fillId="0" borderId="1" xfId="0" applyFill="1" applyBorder="1" applyAlignment="1">
      <alignment vertical="center" wrapText="1"/>
    </xf>
    <xf numFmtId="0" fontId="0" fillId="0" borderId="0" xfId="0" applyFill="1" applyAlignment="1">
      <alignment wrapText="1"/>
    </xf>
    <xf numFmtId="0" fontId="0" fillId="0" borderId="0" xfId="0" applyAlignment="1">
      <alignment horizontal="left" vertical="center" wrapText="1"/>
    </xf>
    <xf numFmtId="0" fontId="28" fillId="6" borderId="11" xfId="0" applyFont="1" applyFill="1" applyBorder="1" applyAlignment="1">
      <alignment horizontal="center" vertical="top"/>
    </xf>
    <xf numFmtId="0" fontId="28" fillId="6" borderId="12" xfId="0" applyFont="1" applyFill="1" applyBorder="1" applyAlignment="1">
      <alignment horizontal="center" vertical="top"/>
    </xf>
    <xf numFmtId="0" fontId="28" fillId="6" borderId="13" xfId="0" applyFont="1" applyFill="1" applyBorder="1" applyAlignment="1">
      <alignment horizontal="center" vertical="top"/>
    </xf>
    <xf numFmtId="0" fontId="28" fillId="6" borderId="11" xfId="0" applyFont="1" applyFill="1" applyBorder="1" applyAlignment="1">
      <alignment horizontal="center"/>
    </xf>
    <xf numFmtId="0" fontId="28" fillId="6" borderId="12" xfId="0" applyFont="1" applyFill="1" applyBorder="1" applyAlignment="1">
      <alignment horizontal="center"/>
    </xf>
    <xf numFmtId="0" fontId="28" fillId="6" borderId="13" xfId="0" applyFont="1" applyFill="1" applyBorder="1" applyAlignment="1">
      <alignment horizontal="center"/>
    </xf>
    <xf numFmtId="0" fontId="11" fillId="6" borderId="16" xfId="0" applyFont="1" applyFill="1" applyBorder="1" applyAlignment="1">
      <alignment horizontal="left" wrapText="1"/>
    </xf>
    <xf numFmtId="0" fontId="11" fillId="6" borderId="17" xfId="0" applyFont="1" applyFill="1" applyBorder="1" applyAlignment="1">
      <alignment horizontal="left" wrapText="1"/>
    </xf>
    <xf numFmtId="14" fontId="23" fillId="6" borderId="1" xfId="1" applyNumberFormat="1" applyFont="1" applyFill="1" applyBorder="1" applyAlignment="1">
      <alignment horizontal="center" vertical="center" wrapText="1"/>
    </xf>
    <xf numFmtId="164" fontId="23" fillId="6" borderId="1" xfId="1" applyNumberFormat="1" applyFont="1" applyFill="1" applyBorder="1" applyAlignment="1">
      <alignment horizontal="center" vertical="center" wrapText="1"/>
    </xf>
    <xf numFmtId="0" fontId="23" fillId="6" borderId="3" xfId="0" applyFont="1" applyFill="1" applyBorder="1" applyAlignment="1">
      <alignment horizontal="center" vertical="center"/>
    </xf>
    <xf numFmtId="0" fontId="23" fillId="6" borderId="4" xfId="0" applyFont="1" applyFill="1" applyBorder="1" applyAlignment="1">
      <alignment horizontal="center" vertical="center"/>
    </xf>
    <xf numFmtId="0" fontId="23" fillId="6" borderId="5" xfId="0" applyFont="1" applyFill="1" applyBorder="1" applyAlignment="1">
      <alignment horizontal="center" vertical="center"/>
    </xf>
    <xf numFmtId="165" fontId="23" fillId="6" borderId="3" xfId="0" applyNumberFormat="1" applyFont="1" applyFill="1" applyBorder="1" applyAlignment="1">
      <alignment horizontal="center" vertical="center" wrapText="1"/>
    </xf>
    <xf numFmtId="165" fontId="23" fillId="6" borderId="5" xfId="0" applyNumberFormat="1" applyFont="1" applyFill="1" applyBorder="1" applyAlignment="1">
      <alignment horizontal="center" vertical="center" wrapText="1"/>
    </xf>
  </cellXfs>
  <cellStyles count="30">
    <cellStyle name="20% - Accent3 2" xfId="24" xr:uid="{00000000-0005-0000-0000-000000000000}"/>
    <cellStyle name="Calculation 2" xfId="25" xr:uid="{00000000-0005-0000-0000-000001000000}"/>
    <cellStyle name="Check Cell 2" xfId="16" xr:uid="{00000000-0005-0000-0000-000002000000}"/>
    <cellStyle name="Comma" xfId="29" builtinId="3"/>
    <cellStyle name="Comma 2" xfId="14" xr:uid="{00000000-0005-0000-0000-000004000000}"/>
    <cellStyle name="Comma 3" xfId="4" xr:uid="{00000000-0005-0000-0000-000005000000}"/>
    <cellStyle name="Comma0" xfId="5" xr:uid="{00000000-0005-0000-0000-000006000000}"/>
    <cellStyle name="Currency" xfId="1" builtinId="4"/>
    <cellStyle name="Currency 2" xfId="21" xr:uid="{00000000-0005-0000-0000-000008000000}"/>
    <cellStyle name="Currency 3" xfId="22" xr:uid="{00000000-0005-0000-0000-000009000000}"/>
    <cellStyle name="Currency0" xfId="6" xr:uid="{00000000-0005-0000-0000-00000A000000}"/>
    <cellStyle name="Date" xfId="7" xr:uid="{00000000-0005-0000-0000-00000B000000}"/>
    <cellStyle name="Fixed" xfId="8" xr:uid="{00000000-0005-0000-0000-00000C000000}"/>
    <cellStyle name="Good 2" xfId="17" xr:uid="{00000000-0005-0000-0000-00000D000000}"/>
    <cellStyle name="Heading 1 2" xfId="9" xr:uid="{00000000-0005-0000-0000-00000E000000}"/>
    <cellStyle name="Heading 2 2" xfId="10" xr:uid="{00000000-0005-0000-0000-00000F000000}"/>
    <cellStyle name="Input 2" xfId="26" xr:uid="{00000000-0005-0000-0000-000010000000}"/>
    <cellStyle name="Neutral 2" xfId="18" xr:uid="{00000000-0005-0000-0000-000011000000}"/>
    <cellStyle name="Normal" xfId="0" builtinId="0"/>
    <cellStyle name="Normal 2" xfId="13" xr:uid="{00000000-0005-0000-0000-000013000000}"/>
    <cellStyle name="Normal 2 2" xfId="19" xr:uid="{00000000-0005-0000-0000-000014000000}"/>
    <cellStyle name="Normal 2 3" xfId="27" xr:uid="{00000000-0005-0000-0000-000015000000}"/>
    <cellStyle name="Normal 2 4" xfId="28" xr:uid="{00000000-0005-0000-0000-000016000000}"/>
    <cellStyle name="Normal 3" xfId="3" xr:uid="{00000000-0005-0000-0000-000017000000}"/>
    <cellStyle name="Normal 4" xfId="23" xr:uid="{00000000-0005-0000-0000-000018000000}"/>
    <cellStyle name="Normal 5" xfId="15" xr:uid="{00000000-0005-0000-0000-000019000000}"/>
    <cellStyle name="Percent" xfId="2" builtinId="5"/>
    <cellStyle name="Percent 2" xfId="20" xr:uid="{00000000-0005-0000-0000-00001B000000}"/>
    <cellStyle name="summary spreadsheet" xfId="11" xr:uid="{00000000-0005-0000-0000-00001C000000}"/>
    <cellStyle name="Total 2" xfId="12" xr:uid="{00000000-0005-0000-0000-00001D000000}"/>
  </cellStyles>
  <dxfs count="0"/>
  <tableStyles count="0" defaultTableStyle="TableStyleMedium2" defaultPivotStyle="PivotStyleMedium9"/>
  <colors>
    <mruColors>
      <color rgb="FFFFFF99"/>
      <color rgb="FF0000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Flint</a:t>
            </a:r>
            <a:r>
              <a:rPr lang="en-US" baseline="0"/>
              <a:t> Appropriations by Category</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'graph data'!$B$1</c:f>
              <c:strCache>
                <c:ptCount val="1"/>
                <c:pt idx="0">
                  <c:v>Appropriated</c:v>
                </c:pt>
              </c:strCache>
            </c:strRef>
          </c:tx>
          <c:spPr>
            <a:solidFill>
              <a:schemeClr val="accent2">
                <a:shade val="76000"/>
              </a:schemeClr>
            </a:solidFill>
            <a:ln>
              <a:noFill/>
            </a:ln>
            <a:effectLst/>
          </c:spPr>
          <c:invertIfNegative val="0"/>
          <c:cat>
            <c:strRef>
              <c:f>'graph data'!$A$2:$A$8</c:f>
              <c:strCache>
                <c:ptCount val="7"/>
                <c:pt idx="0">
                  <c:v>Economic Development</c:v>
                </c:pt>
                <c:pt idx="1">
                  <c:v>Food and Nutrition</c:v>
                </c:pt>
                <c:pt idx="2">
                  <c:v>Physical Well Being</c:v>
                </c:pt>
                <c:pt idx="3">
                  <c:v>Social Development and Well-Being</c:v>
                </c:pt>
                <c:pt idx="4">
                  <c:v>Safe Drinking Water</c:v>
                </c:pt>
                <c:pt idx="5">
                  <c:v>Water Bill Credits</c:v>
                </c:pt>
                <c:pt idx="6">
                  <c:v>Total</c:v>
                </c:pt>
              </c:strCache>
            </c:strRef>
          </c:cat>
          <c:val>
            <c:numRef>
              <c:f>'graph data'!$B$2:$B$8</c:f>
              <c:numCache>
                <c:formatCode>"$"#,##0_);[Red]\("$"#,##0\)</c:formatCode>
                <c:ptCount val="7"/>
                <c:pt idx="0">
                  <c:v>0</c:v>
                </c:pt>
                <c:pt idx="1">
                  <c:v>31519200</c:v>
                </c:pt>
                <c:pt idx="2">
                  <c:v>30435600</c:v>
                </c:pt>
                <c:pt idx="3">
                  <c:v>84962400</c:v>
                </c:pt>
                <c:pt idx="4">
                  <c:v>140331900</c:v>
                </c:pt>
                <c:pt idx="5">
                  <c:v>42750000</c:v>
                </c:pt>
                <c:pt idx="6">
                  <c:v>329999100</c:v>
                </c:pt>
              </c:numCache>
            </c:numRef>
          </c:val>
          <c:extLst>
            <c:ext xmlns:c16="http://schemas.microsoft.com/office/drawing/2014/chart" uri="{C3380CC4-5D6E-409C-BE32-E72D297353CC}">
              <c16:uniqueId val="{00000000-FB24-4A99-B629-33DBF5F5DB9A}"/>
            </c:ext>
          </c:extLst>
        </c:ser>
        <c:ser>
          <c:idx val="1"/>
          <c:order val="1"/>
          <c:tx>
            <c:strRef>
              <c:f>'graph data'!$C$1</c:f>
              <c:strCache>
                <c:ptCount val="1"/>
                <c:pt idx="0">
                  <c:v>Spent/
Encumbered/
Obligated</c:v>
                </c:pt>
              </c:strCache>
            </c:strRef>
          </c:tx>
          <c:spPr>
            <a:solidFill>
              <a:schemeClr val="accent2">
                <a:tint val="77000"/>
              </a:schemeClr>
            </a:solidFill>
            <a:ln>
              <a:noFill/>
            </a:ln>
            <a:effectLst/>
          </c:spPr>
          <c:invertIfNegative val="0"/>
          <c:cat>
            <c:strRef>
              <c:f>'graph data'!$A$2:$A$8</c:f>
              <c:strCache>
                <c:ptCount val="7"/>
                <c:pt idx="0">
                  <c:v>Economic Development</c:v>
                </c:pt>
                <c:pt idx="1">
                  <c:v>Food and Nutrition</c:v>
                </c:pt>
                <c:pt idx="2">
                  <c:v>Physical Well Being</c:v>
                </c:pt>
                <c:pt idx="3">
                  <c:v>Social Development and Well-Being</c:v>
                </c:pt>
                <c:pt idx="4">
                  <c:v>Safe Drinking Water</c:v>
                </c:pt>
                <c:pt idx="5">
                  <c:v>Water Bill Credits</c:v>
                </c:pt>
                <c:pt idx="6">
                  <c:v>Total</c:v>
                </c:pt>
              </c:strCache>
            </c:strRef>
          </c:cat>
          <c:val>
            <c:numRef>
              <c:f>'graph data'!$C$2:$C$8</c:f>
              <c:numCache>
                <c:formatCode>"$"#,##0_);[Red]\("$"#,##0\)</c:formatCode>
                <c:ptCount val="7"/>
                <c:pt idx="0">
                  <c:v>66415139</c:v>
                </c:pt>
                <c:pt idx="1">
                  <c:v>26396654</c:v>
                </c:pt>
                <c:pt idx="2">
                  <c:v>46842916</c:v>
                </c:pt>
                <c:pt idx="3">
                  <c:v>63396604</c:v>
                </c:pt>
                <c:pt idx="4">
                  <c:v>144883863</c:v>
                </c:pt>
                <c:pt idx="5">
                  <c:v>41737844</c:v>
                </c:pt>
                <c:pt idx="6">
                  <c:v>389673020</c:v>
                </c:pt>
              </c:numCache>
            </c:numRef>
          </c:val>
          <c:extLst>
            <c:ext xmlns:c16="http://schemas.microsoft.com/office/drawing/2014/chart" uri="{C3380CC4-5D6E-409C-BE32-E72D297353CC}">
              <c16:uniqueId val="{00000001-FB24-4A99-B629-33DBF5F5DB9A}"/>
            </c:ext>
          </c:extLst>
        </c:ser>
        <c:dLbls>
          <c:showLegendKey val="0"/>
          <c:showVal val="0"/>
          <c:showCatName val="0"/>
          <c:showSerName val="0"/>
          <c:showPercent val="0"/>
          <c:showBubbleSize val="0"/>
        </c:dLbls>
        <c:gapWidth val="182"/>
        <c:axId val="417048768"/>
        <c:axId val="417045816"/>
      </c:barChart>
      <c:catAx>
        <c:axId val="41704876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7045816"/>
        <c:crosses val="autoZero"/>
        <c:auto val="1"/>
        <c:lblAlgn val="ctr"/>
        <c:lblOffset val="100"/>
        <c:noMultiLvlLbl val="0"/>
      </c:catAx>
      <c:valAx>
        <c:axId val="417045816"/>
        <c:scaling>
          <c:orientation val="minMax"/>
        </c:scaling>
        <c:delete val="0"/>
        <c:axPos val="b"/>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7048768"/>
        <c:crosses val="autoZero"/>
        <c:crossBetween val="between"/>
      </c:valAx>
      <c:spPr>
        <a:noFill/>
        <a:ln>
          <a:noFill/>
        </a:ln>
        <a:effectLst/>
      </c:spPr>
    </c:plotArea>
    <c:legend>
      <c:legendPos val="b"/>
      <c:layout>
        <c:manualLayout>
          <c:xMode val="edge"/>
          <c:yMode val="edge"/>
          <c:x val="0.55219444444444454"/>
          <c:y val="0.39062335958005251"/>
          <c:w val="0.31648871391076122"/>
          <c:h val="0.1450717533547743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Flint Appropriations by Agency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'graph data'!$B$10</c:f>
              <c:strCache>
                <c:ptCount val="1"/>
                <c:pt idx="0">
                  <c:v>Appropriated</c:v>
                </c:pt>
              </c:strCache>
            </c:strRef>
          </c:tx>
          <c:spPr>
            <a:solidFill>
              <a:schemeClr val="accent1">
                <a:shade val="76000"/>
              </a:schemeClr>
            </a:solidFill>
            <a:ln>
              <a:noFill/>
            </a:ln>
            <a:effectLst/>
          </c:spPr>
          <c:invertIfNegative val="0"/>
          <c:cat>
            <c:strRef>
              <c:f>'graph data'!$A$11:$A$29</c:f>
              <c:strCache>
                <c:ptCount val="19"/>
                <c:pt idx="0">
                  <c:v>MDARD</c:v>
                </c:pt>
                <c:pt idx="1">
                  <c:v>Attorney General</c:v>
                </c:pt>
                <c:pt idx="2">
                  <c:v>Civil Rights</c:v>
                </c:pt>
                <c:pt idx="3">
                  <c:v>MDOC</c:v>
                </c:pt>
                <c:pt idx="4">
                  <c:v>Education</c:v>
                </c:pt>
                <c:pt idx="5">
                  <c:v>DEQ</c:v>
                </c:pt>
                <c:pt idx="6">
                  <c:v>DHHS</c:v>
                </c:pt>
                <c:pt idx="7">
                  <c:v>DIFS</c:v>
                </c:pt>
                <c:pt idx="8">
                  <c:v>LARA</c:v>
                </c:pt>
                <c:pt idx="9">
                  <c:v>DMVA</c:v>
                </c:pt>
                <c:pt idx="10">
                  <c:v>DNR</c:v>
                </c:pt>
                <c:pt idx="11">
                  <c:v>School Aid</c:v>
                </c:pt>
                <c:pt idx="12">
                  <c:v>State</c:v>
                </c:pt>
                <c:pt idx="13">
                  <c:v>MSP</c:v>
                </c:pt>
                <c:pt idx="14">
                  <c:v>TED</c:v>
                </c:pt>
                <c:pt idx="15">
                  <c:v>DTMB</c:v>
                </c:pt>
                <c:pt idx="16">
                  <c:v>MDOT</c:v>
                </c:pt>
                <c:pt idx="17">
                  <c:v>Treasury</c:v>
                </c:pt>
                <c:pt idx="18">
                  <c:v>Total</c:v>
                </c:pt>
              </c:strCache>
            </c:strRef>
          </c:cat>
          <c:val>
            <c:numRef>
              <c:f>'graph data'!$B$11:$B$29</c:f>
              <c:numCache>
                <c:formatCode>"$"#,##0_);[Red]\("$"#,##0\)</c:formatCode>
                <c:ptCount val="19"/>
                <c:pt idx="0">
                  <c:v>100</c:v>
                </c:pt>
                <c:pt idx="1">
                  <c:v>9100000</c:v>
                </c:pt>
                <c:pt idx="2">
                  <c:v>0</c:v>
                </c:pt>
                <c:pt idx="3">
                  <c:v>0</c:v>
                </c:pt>
                <c:pt idx="4">
                  <c:v>36335300</c:v>
                </c:pt>
                <c:pt idx="5">
                  <c:v>79953800</c:v>
                </c:pt>
                <c:pt idx="6">
                  <c:v>77868500</c:v>
                </c:pt>
                <c:pt idx="7">
                  <c:v>0</c:v>
                </c:pt>
                <c:pt idx="8">
                  <c:v>1860000</c:v>
                </c:pt>
                <c:pt idx="9">
                  <c:v>2500000</c:v>
                </c:pt>
                <c:pt idx="10">
                  <c:v>250000</c:v>
                </c:pt>
                <c:pt idx="11">
                  <c:v>37929900</c:v>
                </c:pt>
                <c:pt idx="12">
                  <c:v>0</c:v>
                </c:pt>
                <c:pt idx="13">
                  <c:v>10008100</c:v>
                </c:pt>
                <c:pt idx="14">
                  <c:v>100</c:v>
                </c:pt>
                <c:pt idx="15">
                  <c:v>500100</c:v>
                </c:pt>
                <c:pt idx="16">
                  <c:v>0</c:v>
                </c:pt>
                <c:pt idx="17">
                  <c:v>73693200</c:v>
                </c:pt>
                <c:pt idx="18">
                  <c:v>329999100</c:v>
                </c:pt>
              </c:numCache>
            </c:numRef>
          </c:val>
          <c:extLst>
            <c:ext xmlns:c16="http://schemas.microsoft.com/office/drawing/2014/chart" uri="{C3380CC4-5D6E-409C-BE32-E72D297353CC}">
              <c16:uniqueId val="{00000000-A535-45C9-8F11-ED7BAE655DB4}"/>
            </c:ext>
          </c:extLst>
        </c:ser>
        <c:ser>
          <c:idx val="1"/>
          <c:order val="1"/>
          <c:tx>
            <c:strRef>
              <c:f>'graph data'!$C$10</c:f>
              <c:strCache>
                <c:ptCount val="1"/>
                <c:pt idx="0">
                  <c:v>Spent/
Encumbered/
Obligated</c:v>
                </c:pt>
              </c:strCache>
            </c:strRef>
          </c:tx>
          <c:spPr>
            <a:solidFill>
              <a:schemeClr val="accent1">
                <a:tint val="77000"/>
              </a:schemeClr>
            </a:solidFill>
            <a:ln>
              <a:noFill/>
            </a:ln>
            <a:effectLst/>
          </c:spPr>
          <c:invertIfNegative val="0"/>
          <c:cat>
            <c:strRef>
              <c:f>'graph data'!$A$11:$A$29</c:f>
              <c:strCache>
                <c:ptCount val="19"/>
                <c:pt idx="0">
                  <c:v>MDARD</c:v>
                </c:pt>
                <c:pt idx="1">
                  <c:v>Attorney General</c:v>
                </c:pt>
                <c:pt idx="2">
                  <c:v>Civil Rights</c:v>
                </c:pt>
                <c:pt idx="3">
                  <c:v>MDOC</c:v>
                </c:pt>
                <c:pt idx="4">
                  <c:v>Education</c:v>
                </c:pt>
                <c:pt idx="5">
                  <c:v>DEQ</c:v>
                </c:pt>
                <c:pt idx="6">
                  <c:v>DHHS</c:v>
                </c:pt>
                <c:pt idx="7">
                  <c:v>DIFS</c:v>
                </c:pt>
                <c:pt idx="8">
                  <c:v>LARA</c:v>
                </c:pt>
                <c:pt idx="9">
                  <c:v>DMVA</c:v>
                </c:pt>
                <c:pt idx="10">
                  <c:v>DNR</c:v>
                </c:pt>
                <c:pt idx="11">
                  <c:v>School Aid</c:v>
                </c:pt>
                <c:pt idx="12">
                  <c:v>State</c:v>
                </c:pt>
                <c:pt idx="13">
                  <c:v>MSP</c:v>
                </c:pt>
                <c:pt idx="14">
                  <c:v>TED</c:v>
                </c:pt>
                <c:pt idx="15">
                  <c:v>DTMB</c:v>
                </c:pt>
                <c:pt idx="16">
                  <c:v>MDOT</c:v>
                </c:pt>
                <c:pt idx="17">
                  <c:v>Treasury</c:v>
                </c:pt>
                <c:pt idx="18">
                  <c:v>Total</c:v>
                </c:pt>
              </c:strCache>
            </c:strRef>
          </c:cat>
          <c:val>
            <c:numRef>
              <c:f>'graph data'!$C$11:$C$29</c:f>
              <c:numCache>
                <c:formatCode>"$"#,##0_);[Red]\("$"#,##0\)</c:formatCode>
                <c:ptCount val="19"/>
                <c:pt idx="0">
                  <c:v>464917</c:v>
                </c:pt>
                <c:pt idx="1">
                  <c:v>11036309</c:v>
                </c:pt>
                <c:pt idx="2">
                  <c:v>48107</c:v>
                </c:pt>
                <c:pt idx="3">
                  <c:v>1731680</c:v>
                </c:pt>
                <c:pt idx="4">
                  <c:v>21052490</c:v>
                </c:pt>
                <c:pt idx="5">
                  <c:v>82802641</c:v>
                </c:pt>
                <c:pt idx="6">
                  <c:v>78232028</c:v>
                </c:pt>
                <c:pt idx="7">
                  <c:v>5659</c:v>
                </c:pt>
                <c:pt idx="8">
                  <c:v>1859605</c:v>
                </c:pt>
                <c:pt idx="9">
                  <c:v>2541945</c:v>
                </c:pt>
                <c:pt idx="10">
                  <c:v>253389</c:v>
                </c:pt>
                <c:pt idx="11">
                  <c:v>37009599</c:v>
                </c:pt>
                <c:pt idx="12">
                  <c:v>3131</c:v>
                </c:pt>
                <c:pt idx="13">
                  <c:v>11575839</c:v>
                </c:pt>
                <c:pt idx="14">
                  <c:v>66455615</c:v>
                </c:pt>
                <c:pt idx="15">
                  <c:v>5673159</c:v>
                </c:pt>
                <c:pt idx="16">
                  <c:v>694135</c:v>
                </c:pt>
                <c:pt idx="17">
                  <c:v>68232772</c:v>
                </c:pt>
                <c:pt idx="18">
                  <c:v>389673020</c:v>
                </c:pt>
              </c:numCache>
            </c:numRef>
          </c:val>
          <c:extLst>
            <c:ext xmlns:c16="http://schemas.microsoft.com/office/drawing/2014/chart" uri="{C3380CC4-5D6E-409C-BE32-E72D297353CC}">
              <c16:uniqueId val="{00000001-A535-45C9-8F11-ED7BAE655DB4}"/>
            </c:ext>
          </c:extLst>
        </c:ser>
        <c:dLbls>
          <c:showLegendKey val="0"/>
          <c:showVal val="0"/>
          <c:showCatName val="0"/>
          <c:showSerName val="0"/>
          <c:showPercent val="0"/>
          <c:showBubbleSize val="0"/>
        </c:dLbls>
        <c:gapWidth val="219"/>
        <c:overlap val="-27"/>
        <c:axId val="283414592"/>
        <c:axId val="283415248"/>
      </c:barChart>
      <c:catAx>
        <c:axId val="2834145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83415248"/>
        <c:crosses val="autoZero"/>
        <c:auto val="1"/>
        <c:lblAlgn val="ctr"/>
        <c:lblOffset val="100"/>
        <c:noMultiLvlLbl val="0"/>
      </c:catAx>
      <c:valAx>
        <c:axId val="283415248"/>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83414592"/>
        <c:crosses val="autoZero"/>
        <c:crossBetween val="between"/>
      </c:valAx>
      <c:spPr>
        <a:noFill/>
        <a:ln>
          <a:noFill/>
        </a:ln>
        <a:effectLst/>
      </c:spPr>
    </c:plotArea>
    <c:legend>
      <c:legendPos val="b"/>
      <c:layout>
        <c:manualLayout>
          <c:xMode val="edge"/>
          <c:yMode val="edge"/>
          <c:x val="0.31268482490272376"/>
          <c:y val="0.19487032418147049"/>
          <c:w val="0.317547204592737"/>
          <c:h val="0.1544241323004014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Flint Water</a:t>
            </a:r>
            <a:r>
              <a:rPr lang="en-US" baseline="0"/>
              <a:t> Emergency Appropriations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'graph data'!$B$31</c:f>
              <c:strCache>
                <c:ptCount val="1"/>
                <c:pt idx="0">
                  <c:v>Appropriated</c:v>
                </c:pt>
              </c:strCache>
            </c:strRef>
          </c:tx>
          <c:spPr>
            <a:solidFill>
              <a:schemeClr val="accent3">
                <a:shade val="76000"/>
              </a:schemeClr>
            </a:solidFill>
            <a:ln>
              <a:noFill/>
            </a:ln>
            <a:effectLst/>
          </c:spPr>
          <c:invertIfNegative val="0"/>
          <c:cat>
            <c:strRef>
              <c:f>'graph data'!$A$32:$A$44</c:f>
              <c:strCache>
                <c:ptCount val="13"/>
                <c:pt idx="0">
                  <c:v>PA 143 of 2015</c:v>
                </c:pt>
                <c:pt idx="1">
                  <c:v>PA 3 of 2016</c:v>
                </c:pt>
                <c:pt idx="2">
                  <c:v>PA 24 of 2016</c:v>
                </c:pt>
                <c:pt idx="3">
                  <c:v>PA 268 of 2016</c:v>
                </c:pt>
                <c:pt idx="4">
                  <c:v>PA 249 of 2016</c:v>
                </c:pt>
                <c:pt idx="5">
                  <c:v>PA 340 of 2016</c:v>
                </c:pt>
                <c:pt idx="6">
                  <c:v>PA 107 of 2017</c:v>
                </c:pt>
                <c:pt idx="7">
                  <c:v>PA 108 of 2017</c:v>
                </c:pt>
                <c:pt idx="8">
                  <c:v>PA 265 of 2018</c:v>
                </c:pt>
                <c:pt idx="9">
                  <c:v>PA 207 of 2018</c:v>
                </c:pt>
                <c:pt idx="10">
                  <c:v>Current Approps</c:v>
                </c:pt>
                <c:pt idx="11">
                  <c:v>Component Unit</c:v>
                </c:pt>
                <c:pt idx="12">
                  <c:v>Total</c:v>
                </c:pt>
              </c:strCache>
            </c:strRef>
          </c:cat>
          <c:val>
            <c:numRef>
              <c:f>'graph data'!$B$32:$B$44</c:f>
              <c:numCache>
                <c:formatCode>"$"#,##0_);[Red]\("$"#,##0\)</c:formatCode>
                <c:ptCount val="13"/>
                <c:pt idx="0">
                  <c:v>9350000</c:v>
                </c:pt>
                <c:pt idx="1">
                  <c:v>27688500</c:v>
                </c:pt>
                <c:pt idx="2">
                  <c:v>30000000</c:v>
                </c:pt>
                <c:pt idx="3">
                  <c:v>140579500</c:v>
                </c:pt>
                <c:pt idx="4">
                  <c:v>21830100</c:v>
                </c:pt>
                <c:pt idx="5">
                  <c:v>13117000</c:v>
                </c:pt>
                <c:pt idx="6">
                  <c:v>41642000</c:v>
                </c:pt>
                <c:pt idx="7">
                  <c:v>8730100</c:v>
                </c:pt>
                <c:pt idx="8">
                  <c:v>7369700</c:v>
                </c:pt>
                <c:pt idx="9">
                  <c:v>25221600</c:v>
                </c:pt>
                <c:pt idx="10">
                  <c:v>4470600</c:v>
                </c:pt>
                <c:pt idx="11">
                  <c:v>0</c:v>
                </c:pt>
                <c:pt idx="12">
                  <c:v>329999100</c:v>
                </c:pt>
              </c:numCache>
            </c:numRef>
          </c:val>
          <c:extLst>
            <c:ext xmlns:c16="http://schemas.microsoft.com/office/drawing/2014/chart" uri="{C3380CC4-5D6E-409C-BE32-E72D297353CC}">
              <c16:uniqueId val="{00000000-8EFD-497C-BDA5-967179199997}"/>
            </c:ext>
          </c:extLst>
        </c:ser>
        <c:ser>
          <c:idx val="1"/>
          <c:order val="1"/>
          <c:tx>
            <c:strRef>
              <c:f>'graph data'!$C$31</c:f>
              <c:strCache>
                <c:ptCount val="1"/>
                <c:pt idx="0">
                  <c:v>Spent/
Encumbered/
Obligated</c:v>
                </c:pt>
              </c:strCache>
            </c:strRef>
          </c:tx>
          <c:spPr>
            <a:solidFill>
              <a:schemeClr val="accent3">
                <a:tint val="77000"/>
              </a:schemeClr>
            </a:solidFill>
            <a:ln>
              <a:noFill/>
            </a:ln>
            <a:effectLst/>
          </c:spPr>
          <c:invertIfNegative val="0"/>
          <c:cat>
            <c:strRef>
              <c:f>'graph data'!$A$32:$A$44</c:f>
              <c:strCache>
                <c:ptCount val="13"/>
                <c:pt idx="0">
                  <c:v>PA 143 of 2015</c:v>
                </c:pt>
                <c:pt idx="1">
                  <c:v>PA 3 of 2016</c:v>
                </c:pt>
                <c:pt idx="2">
                  <c:v>PA 24 of 2016</c:v>
                </c:pt>
                <c:pt idx="3">
                  <c:v>PA 268 of 2016</c:v>
                </c:pt>
                <c:pt idx="4">
                  <c:v>PA 249 of 2016</c:v>
                </c:pt>
                <c:pt idx="5">
                  <c:v>PA 340 of 2016</c:v>
                </c:pt>
                <c:pt idx="6">
                  <c:v>PA 107 of 2017</c:v>
                </c:pt>
                <c:pt idx="7">
                  <c:v>PA 108 of 2017</c:v>
                </c:pt>
                <c:pt idx="8">
                  <c:v>PA 265 of 2018</c:v>
                </c:pt>
                <c:pt idx="9">
                  <c:v>PA 207 of 2018</c:v>
                </c:pt>
                <c:pt idx="10">
                  <c:v>Current Approps</c:v>
                </c:pt>
                <c:pt idx="11">
                  <c:v>Component Unit</c:v>
                </c:pt>
                <c:pt idx="12">
                  <c:v>Total</c:v>
                </c:pt>
              </c:strCache>
            </c:strRef>
          </c:cat>
          <c:val>
            <c:numRef>
              <c:f>'graph data'!$C$32:$C$44</c:f>
              <c:numCache>
                <c:formatCode>"$"#,##0_);[Red]\("$"#,##0\)</c:formatCode>
                <c:ptCount val="13"/>
                <c:pt idx="0">
                  <c:v>9349606.3200000003</c:v>
                </c:pt>
                <c:pt idx="1">
                  <c:v>24945448.720000006</c:v>
                </c:pt>
                <c:pt idx="2">
                  <c:v>30000000</c:v>
                </c:pt>
                <c:pt idx="3">
                  <c:v>110193164.85999998</c:v>
                </c:pt>
                <c:pt idx="4">
                  <c:v>21829300</c:v>
                </c:pt>
                <c:pt idx="5">
                  <c:v>2950559</c:v>
                </c:pt>
                <c:pt idx="6">
                  <c:v>35320122.539999999</c:v>
                </c:pt>
                <c:pt idx="7">
                  <c:v>8730000</c:v>
                </c:pt>
                <c:pt idx="8">
                  <c:v>6450299</c:v>
                </c:pt>
                <c:pt idx="9">
                  <c:v>21747542.09</c:v>
                </c:pt>
                <c:pt idx="10">
                  <c:v>109175942.6094375</c:v>
                </c:pt>
                <c:pt idx="11">
                  <c:v>8981035.7899999991</c:v>
                </c:pt>
                <c:pt idx="12">
                  <c:v>389673020.92943746</c:v>
                </c:pt>
              </c:numCache>
            </c:numRef>
          </c:val>
          <c:extLst>
            <c:ext xmlns:c16="http://schemas.microsoft.com/office/drawing/2014/chart" uri="{C3380CC4-5D6E-409C-BE32-E72D297353CC}">
              <c16:uniqueId val="{00000001-8EFD-497C-BDA5-967179199997}"/>
            </c:ext>
          </c:extLst>
        </c:ser>
        <c:dLbls>
          <c:showLegendKey val="0"/>
          <c:showVal val="0"/>
          <c:showCatName val="0"/>
          <c:showSerName val="0"/>
          <c:showPercent val="0"/>
          <c:showBubbleSize val="0"/>
        </c:dLbls>
        <c:gapWidth val="219"/>
        <c:overlap val="-27"/>
        <c:axId val="405498888"/>
        <c:axId val="405496920"/>
      </c:barChart>
      <c:catAx>
        <c:axId val="405498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5496920"/>
        <c:crosses val="autoZero"/>
        <c:auto val="1"/>
        <c:lblAlgn val="ctr"/>
        <c:lblOffset val="100"/>
        <c:noMultiLvlLbl val="0"/>
      </c:catAx>
      <c:valAx>
        <c:axId val="405496920"/>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5498888"/>
        <c:crosses val="autoZero"/>
        <c:crossBetween val="between"/>
      </c:valAx>
      <c:spPr>
        <a:noFill/>
        <a:ln>
          <a:noFill/>
        </a:ln>
        <a:effectLst/>
      </c:spPr>
    </c:plotArea>
    <c:legend>
      <c:legendPos val="b"/>
      <c:layout>
        <c:manualLayout>
          <c:xMode val="edge"/>
          <c:yMode val="edge"/>
          <c:x val="0.35159533073929966"/>
          <c:y val="0.21246472270836736"/>
          <c:w val="0.31283892643567829"/>
          <c:h val="0.1596913614207635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colors2.xml><?xml version="1.0" encoding="utf-8"?>
<cs:colorStyle xmlns:cs="http://schemas.microsoft.com/office/drawing/2012/chartStyle" xmlns:a="http://schemas.openxmlformats.org/drawingml/2006/main" meth="withinLinear" id="14">
  <a:schemeClr val="accent1"/>
</cs:colorStyle>
</file>

<file path=xl/charts/colors3.xml><?xml version="1.0" encoding="utf-8"?>
<cs:colorStyle xmlns:cs="http://schemas.microsoft.com/office/drawing/2012/chartStyle" xmlns:a="http://schemas.openxmlformats.org/drawingml/2006/main" meth="withinLinear" id="16">
  <a:schemeClr val="accent3"/>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6</xdr:col>
      <xdr:colOff>0</xdr:colOff>
      <xdr:row>0</xdr:row>
      <xdr:rowOff>0</xdr:rowOff>
    </xdr:from>
    <xdr:ext cx="3702938" cy="806952"/>
    <xdr:sp macro="" textlink="">
      <xdr:nvSpPr>
        <xdr:cNvPr id="2" name="Rectangle 1">
          <a:extLst>
            <a:ext uri="{FF2B5EF4-FFF2-40B4-BE49-F238E27FC236}">
              <a16:creationId xmlns:a16="http://schemas.microsoft.com/office/drawing/2014/main" id="{00000000-0008-0000-0400-000002000000}"/>
            </a:ext>
          </a:extLst>
        </xdr:cNvPr>
        <xdr:cNvSpPr/>
      </xdr:nvSpPr>
      <xdr:spPr>
        <a:xfrm>
          <a:off x="13559981" y="0"/>
          <a:ext cx="3702938" cy="806952"/>
        </a:xfrm>
        <a:prstGeom prst="rect">
          <a:avLst/>
        </a:prstGeom>
        <a:noFill/>
      </xdr:spPr>
      <xdr:txBody>
        <a:bodyPr wrap="none" lIns="91440" tIns="45720" rIns="91440" bIns="45720">
          <a:noAutofit/>
        </a:bodyPr>
        <a:lstStyle/>
        <a:p>
          <a:pPr algn="ctr"/>
          <a:endParaRPr lang="en-US"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7</xdr:col>
      <xdr:colOff>0</xdr:colOff>
      <xdr:row>0</xdr:row>
      <xdr:rowOff>0</xdr:rowOff>
    </xdr:from>
    <xdr:ext cx="3702938" cy="806952"/>
    <xdr:sp macro="" textlink="">
      <xdr:nvSpPr>
        <xdr:cNvPr id="3" name="Rectangle 2">
          <a:extLst>
            <a:ext uri="{FF2B5EF4-FFF2-40B4-BE49-F238E27FC236}">
              <a16:creationId xmlns:a16="http://schemas.microsoft.com/office/drawing/2014/main" id="{00000000-0008-0000-0400-000003000000}"/>
            </a:ext>
          </a:extLst>
        </xdr:cNvPr>
        <xdr:cNvSpPr/>
      </xdr:nvSpPr>
      <xdr:spPr>
        <a:xfrm>
          <a:off x="27466481" y="0"/>
          <a:ext cx="3702938" cy="806952"/>
        </a:xfrm>
        <a:prstGeom prst="rect">
          <a:avLst/>
        </a:prstGeom>
        <a:noFill/>
      </xdr:spPr>
      <xdr:txBody>
        <a:bodyPr wrap="none" lIns="91440" tIns="45720" rIns="91440" bIns="45720">
          <a:noAutofit/>
        </a:bodyPr>
        <a:lstStyle/>
        <a:p>
          <a:pPr algn="ctr"/>
          <a:r>
            <a:rPr lang="en-US"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rPr>
            <a:t>UNAUDITED</a:t>
          </a:r>
        </a:p>
      </xdr:txBody>
    </xdr:sp>
    <xdr:clientData/>
  </xdr:oneCellAnchor>
  <xdr:oneCellAnchor>
    <xdr:from>
      <xdr:col>7</xdr:col>
      <xdr:colOff>0</xdr:colOff>
      <xdr:row>0</xdr:row>
      <xdr:rowOff>0</xdr:rowOff>
    </xdr:from>
    <xdr:ext cx="3702938" cy="806952"/>
    <xdr:sp macro="" textlink="">
      <xdr:nvSpPr>
        <xdr:cNvPr id="5" name="Rectangle 4">
          <a:extLst>
            <a:ext uri="{FF2B5EF4-FFF2-40B4-BE49-F238E27FC236}">
              <a16:creationId xmlns:a16="http://schemas.microsoft.com/office/drawing/2014/main" id="{00000000-0008-0000-0400-000005000000}"/>
            </a:ext>
          </a:extLst>
        </xdr:cNvPr>
        <xdr:cNvSpPr/>
      </xdr:nvSpPr>
      <xdr:spPr>
        <a:xfrm>
          <a:off x="13902881" y="0"/>
          <a:ext cx="3702938" cy="806952"/>
        </a:xfrm>
        <a:prstGeom prst="rect">
          <a:avLst/>
        </a:prstGeom>
        <a:noFill/>
      </xdr:spPr>
      <xdr:txBody>
        <a:bodyPr wrap="none" lIns="91440" tIns="45720" rIns="91440" bIns="45720">
          <a:noAutofit/>
        </a:bodyPr>
        <a:lstStyle/>
        <a:p>
          <a:pPr algn="ctr"/>
          <a:r>
            <a:rPr lang="en-US"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rPr>
            <a:t>UNAUDITED</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7</xdr:col>
      <xdr:colOff>295275</xdr:colOff>
      <xdr:row>0</xdr:row>
      <xdr:rowOff>0</xdr:rowOff>
    </xdr:from>
    <xdr:ext cx="3702938" cy="806952"/>
    <xdr:sp macro="" textlink="">
      <xdr:nvSpPr>
        <xdr:cNvPr id="2" name="Rectangle 1">
          <a:extLst>
            <a:ext uri="{FF2B5EF4-FFF2-40B4-BE49-F238E27FC236}">
              <a16:creationId xmlns:a16="http://schemas.microsoft.com/office/drawing/2014/main" id="{00000000-0008-0000-0500-000002000000}"/>
            </a:ext>
          </a:extLst>
        </xdr:cNvPr>
        <xdr:cNvSpPr/>
      </xdr:nvSpPr>
      <xdr:spPr>
        <a:xfrm>
          <a:off x="4905375" y="0"/>
          <a:ext cx="3702938" cy="806952"/>
        </a:xfrm>
        <a:prstGeom prst="rect">
          <a:avLst/>
        </a:prstGeom>
        <a:noFill/>
      </xdr:spPr>
      <xdr:txBody>
        <a:bodyPr wrap="none" lIns="91440" tIns="45720" rIns="91440" bIns="45720">
          <a:noAutofit/>
        </a:bodyPr>
        <a:lstStyle/>
        <a:p>
          <a:pPr algn="ctr"/>
          <a:endParaRPr lang="en-US"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6</xdr:col>
      <xdr:colOff>0</xdr:colOff>
      <xdr:row>0</xdr:row>
      <xdr:rowOff>0</xdr:rowOff>
    </xdr:from>
    <xdr:ext cx="3702938" cy="806952"/>
    <xdr:sp macro="" textlink="">
      <xdr:nvSpPr>
        <xdr:cNvPr id="3" name="Rectangle 2">
          <a:extLst>
            <a:ext uri="{FF2B5EF4-FFF2-40B4-BE49-F238E27FC236}">
              <a16:creationId xmlns:a16="http://schemas.microsoft.com/office/drawing/2014/main" id="{00000000-0008-0000-0500-000003000000}"/>
            </a:ext>
          </a:extLst>
        </xdr:cNvPr>
        <xdr:cNvSpPr/>
      </xdr:nvSpPr>
      <xdr:spPr>
        <a:xfrm>
          <a:off x="3448050" y="0"/>
          <a:ext cx="3702938" cy="806952"/>
        </a:xfrm>
        <a:prstGeom prst="rect">
          <a:avLst/>
        </a:prstGeom>
        <a:noFill/>
      </xdr:spPr>
      <xdr:txBody>
        <a:bodyPr wrap="none" lIns="91440" tIns="45720" rIns="91440" bIns="45720">
          <a:noAutofit/>
        </a:bodyPr>
        <a:lstStyle/>
        <a:p>
          <a:pPr algn="ctr"/>
          <a:endParaRPr lang="en-US"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6</xdr:col>
      <xdr:colOff>0</xdr:colOff>
      <xdr:row>0</xdr:row>
      <xdr:rowOff>0</xdr:rowOff>
    </xdr:from>
    <xdr:ext cx="3702938" cy="806952"/>
    <xdr:sp macro="" textlink="">
      <xdr:nvSpPr>
        <xdr:cNvPr id="4" name="Rectangle 3">
          <a:extLst>
            <a:ext uri="{FF2B5EF4-FFF2-40B4-BE49-F238E27FC236}">
              <a16:creationId xmlns:a16="http://schemas.microsoft.com/office/drawing/2014/main" id="{00000000-0008-0000-0500-000004000000}"/>
            </a:ext>
          </a:extLst>
        </xdr:cNvPr>
        <xdr:cNvSpPr/>
      </xdr:nvSpPr>
      <xdr:spPr>
        <a:xfrm>
          <a:off x="3448050" y="0"/>
          <a:ext cx="3702938" cy="806952"/>
        </a:xfrm>
        <a:prstGeom prst="rect">
          <a:avLst/>
        </a:prstGeom>
        <a:noFill/>
      </xdr:spPr>
      <xdr:txBody>
        <a:bodyPr wrap="none" lIns="91440" tIns="45720" rIns="91440" bIns="45720">
          <a:noAutofit/>
        </a:bodyPr>
        <a:lstStyle/>
        <a:p>
          <a:pPr algn="ctr"/>
          <a:endParaRPr lang="en-US"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7</xdr:col>
      <xdr:colOff>666750</xdr:colOff>
      <xdr:row>0</xdr:row>
      <xdr:rowOff>0</xdr:rowOff>
    </xdr:from>
    <xdr:ext cx="3876674" cy="806952"/>
    <xdr:sp macro="" textlink="">
      <xdr:nvSpPr>
        <xdr:cNvPr id="5" name="Rectangle 4">
          <a:extLst>
            <a:ext uri="{FF2B5EF4-FFF2-40B4-BE49-F238E27FC236}">
              <a16:creationId xmlns:a16="http://schemas.microsoft.com/office/drawing/2014/main" id="{00000000-0008-0000-0500-000005000000}"/>
            </a:ext>
          </a:extLst>
        </xdr:cNvPr>
        <xdr:cNvSpPr/>
      </xdr:nvSpPr>
      <xdr:spPr>
        <a:xfrm>
          <a:off x="5276850" y="0"/>
          <a:ext cx="3876674" cy="806952"/>
        </a:xfrm>
        <a:prstGeom prst="rect">
          <a:avLst/>
        </a:prstGeom>
        <a:noFill/>
      </xdr:spPr>
      <xdr:txBody>
        <a:bodyPr wrap="none" lIns="91440" tIns="45720" rIns="91440" bIns="45720">
          <a:noAutofit/>
        </a:bodyPr>
        <a:lstStyle/>
        <a:p>
          <a:pPr algn="ctr"/>
          <a:r>
            <a:rPr lang="en-US"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rPr>
            <a:t>UNAUDITED</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5</xdr:col>
      <xdr:colOff>38100</xdr:colOff>
      <xdr:row>0</xdr:row>
      <xdr:rowOff>285750</xdr:rowOff>
    </xdr:from>
    <xdr:to>
      <xdr:col>14</xdr:col>
      <xdr:colOff>266700</xdr:colOff>
      <xdr:row>15</xdr:row>
      <xdr:rowOff>47625</xdr:rowOff>
    </xdr:to>
    <xdr:graphicFrame macro="">
      <xdr:nvGraphicFramePr>
        <xdr:cNvPr id="2" name="Chart 1">
          <a:extLst>
            <a:ext uri="{FF2B5EF4-FFF2-40B4-BE49-F238E27FC236}">
              <a16:creationId xmlns:a16="http://schemas.microsoft.com/office/drawing/2014/main" id="{B84EA61B-1F7C-40DE-8F65-5E87445AAF4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28575</xdr:colOff>
      <xdr:row>17</xdr:row>
      <xdr:rowOff>61911</xdr:rowOff>
    </xdr:from>
    <xdr:to>
      <xdr:col>14</xdr:col>
      <xdr:colOff>238125</xdr:colOff>
      <xdr:row>32</xdr:row>
      <xdr:rowOff>0</xdr:rowOff>
    </xdr:to>
    <xdr:graphicFrame macro="">
      <xdr:nvGraphicFramePr>
        <xdr:cNvPr id="3" name="Chart 2">
          <a:extLst>
            <a:ext uri="{FF2B5EF4-FFF2-40B4-BE49-F238E27FC236}">
              <a16:creationId xmlns:a16="http://schemas.microsoft.com/office/drawing/2014/main" id="{1EA57F00-73B3-40EA-93CC-5C21BFC1EC3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561974</xdr:colOff>
      <xdr:row>36</xdr:row>
      <xdr:rowOff>90486</xdr:rowOff>
    </xdr:from>
    <xdr:to>
      <xdr:col>14</xdr:col>
      <xdr:colOff>247649</xdr:colOff>
      <xdr:row>52</xdr:row>
      <xdr:rowOff>114299</xdr:rowOff>
    </xdr:to>
    <xdr:graphicFrame macro="">
      <xdr:nvGraphicFramePr>
        <xdr:cNvPr id="4" name="Chart 3">
          <a:extLst>
            <a:ext uri="{FF2B5EF4-FFF2-40B4-BE49-F238E27FC236}">
              <a16:creationId xmlns:a16="http://schemas.microsoft.com/office/drawing/2014/main" id="{6AD0E3B0-A17A-4461-BB97-2AF7EB15D08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ibrary/Flint%20Tracking/April%2029,%202016%20Reports/SBO%20Flint%20Tracking%20Doc%20042816_DMV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Library\Flint%20Tracking\Nov%2028,%202016%20Reports\Reports\SBO%20Flint%20Tracking%20Doc%20112816_DMV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Library\Flint%20Tracking\Dec%2031,%202016%20reports\reports\SBO%20Flint%20Tracking%20Doc%20123116_DMV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boxe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lint Water Exp &amp; Act Track"/>
      <sheetName val="pivot"/>
      <sheetName val="drop down boxes"/>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lint Water Exp &amp; Act Track"/>
      <sheetName val="pivot"/>
      <sheetName val="drop down boxes"/>
    </sheetNames>
    <sheetDataSet>
      <sheetData sheetId="0" refreshError="1"/>
      <sheetData sheetId="1" refreshError="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P201" dT="2019-07-11T14:43:36.20" personId="{00000000-0000-0000-0000-000000000000}" id="{4F332760-FA9A-44E4-BD3A-66FE11B99D9B}">
    <text>Included ABLES whic will be transferred back to TW4026018</text>
  </threadedComment>
  <threadedComment ref="O333" dT="2019-05-20T14:27:11.01" personId="{00000000-0000-0000-0000-000000000000}" id="{A4824DE9-5820-4CBA-80A8-8E7AE7FAD45D}">
    <text>$1,415,321.35 on 11/28/18, $2,144,864.65 on 12/17/18, $720,951.34 on 12/28/18, $4,718,862.66 on 3/1/2019 = $9M.</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4"/>
  <sheetViews>
    <sheetView tabSelected="1" workbookViewId="0">
      <selection activeCell="K15" sqref="K15"/>
    </sheetView>
  </sheetViews>
  <sheetFormatPr defaultColWidth="9.140625" defaultRowHeight="15"/>
  <cols>
    <col min="1" max="1" width="21.28515625" style="3" customWidth="1"/>
    <col min="2" max="2" width="16" style="2" customWidth="1"/>
    <col min="3" max="4" width="21.42578125" style="2" customWidth="1"/>
    <col min="5" max="5" width="16.5703125" style="2" customWidth="1"/>
    <col min="6" max="6" width="21.42578125" style="2" customWidth="1"/>
    <col min="7" max="7" width="15.28515625" style="2" customWidth="1"/>
    <col min="8" max="8" width="16.28515625" style="3" customWidth="1"/>
    <col min="9" max="16384" width="9.140625" style="3"/>
  </cols>
  <sheetData>
    <row r="1" spans="1:9" ht="15.75" thickBot="1"/>
    <row r="2" spans="1:9" ht="18.75">
      <c r="A2" s="297" t="s">
        <v>175</v>
      </c>
      <c r="B2" s="298"/>
      <c r="C2" s="298"/>
      <c r="D2" s="298"/>
      <c r="E2" s="298"/>
      <c r="F2" s="298"/>
      <c r="G2" s="298"/>
      <c r="H2" s="299"/>
    </row>
    <row r="3" spans="1:9" s="163" customFormat="1" ht="78.75">
      <c r="A3" s="162" t="s">
        <v>874</v>
      </c>
      <c r="B3" s="133" t="s">
        <v>176</v>
      </c>
      <c r="C3" s="134" t="s">
        <v>177</v>
      </c>
      <c r="D3" s="134" t="s">
        <v>178</v>
      </c>
      <c r="E3" s="134" t="s">
        <v>179</v>
      </c>
      <c r="F3" s="133" t="s">
        <v>180</v>
      </c>
      <c r="G3" s="133" t="s">
        <v>242</v>
      </c>
      <c r="H3" s="135" t="s">
        <v>215</v>
      </c>
    </row>
    <row r="4" spans="1:9" s="139" customFormat="1" ht="15.75">
      <c r="A4" s="136"/>
      <c r="B4" s="137"/>
      <c r="C4" s="137"/>
      <c r="D4" s="137"/>
      <c r="E4" s="137"/>
      <c r="F4" s="137"/>
      <c r="G4" s="137"/>
      <c r="H4" s="138"/>
    </row>
    <row r="5" spans="1:9" s="6" customFormat="1" ht="15.75">
      <c r="A5" s="132" t="s">
        <v>182</v>
      </c>
      <c r="B5" s="157">
        <f>+'Flint Water Exp &amp; Act Track'!I387</f>
        <v>140331900</v>
      </c>
      <c r="C5" s="158">
        <f>+'Flint Water Exp &amp; Act Track'!J387+'Flint Water Exp &amp; Act Track'!K387+'Flint Water Exp &amp; Act Track'!L387+'Flint Water Exp &amp; Act Track'!N387-F5-G5</f>
        <v>116975130.75</v>
      </c>
      <c r="D5" s="157">
        <f>+'Flint Water Exp &amp; Act Track'!M387</f>
        <v>7000056.2000000272</v>
      </c>
      <c r="E5" s="188">
        <f>(+C5+D5)/B5</f>
        <v>0.88344265950934919</v>
      </c>
      <c r="F5" s="157">
        <f>+'spend by department and outcome'!N40</f>
        <v>20868453</v>
      </c>
      <c r="G5" s="157">
        <f>+'spend by department and outcome'!O40</f>
        <v>40227</v>
      </c>
      <c r="H5" s="160">
        <f>+F5+D5+C5+G5</f>
        <v>144883866.95000002</v>
      </c>
    </row>
    <row r="6" spans="1:9" s="145" customFormat="1" ht="15.75">
      <c r="A6" s="140"/>
      <c r="B6" s="141"/>
      <c r="C6" s="142"/>
      <c r="D6" s="141"/>
      <c r="E6" s="189"/>
      <c r="F6" s="143"/>
      <c r="G6" s="143"/>
      <c r="H6" s="144"/>
    </row>
    <row r="7" spans="1:9" s="6" customFormat="1" ht="15.75">
      <c r="A7" s="132" t="s">
        <v>183</v>
      </c>
      <c r="B7" s="157">
        <f>+'Flint Water Exp &amp; Act Track'!I384</f>
        <v>31519200</v>
      </c>
      <c r="C7" s="157">
        <f>+'Flint Water Exp &amp; Act Track'!J384+'Flint Water Exp &amp; Act Track'!K384+'Flint Water Exp &amp; Act Track'!L384+'Flint Water Exp &amp; Act Track'!N384-F7-G7</f>
        <v>24451110.100000001</v>
      </c>
      <c r="D7" s="157">
        <f>+'Flint Water Exp &amp; Act Track'!M384</f>
        <v>1845254.1500000011</v>
      </c>
      <c r="E7" s="188">
        <f>(+C7+D7)/B7</f>
        <v>0.83429669058859379</v>
      </c>
      <c r="F7" s="157">
        <f>+'spend by department and outcome'!N50</f>
        <v>100289</v>
      </c>
      <c r="G7" s="157">
        <f>+'spend by department and outcome'!O50</f>
        <v>0</v>
      </c>
      <c r="H7" s="160">
        <f>+F7+D7+C7+G7</f>
        <v>26396653.250000004</v>
      </c>
    </row>
    <row r="8" spans="1:9" s="145" customFormat="1" ht="15.75">
      <c r="A8" s="140"/>
      <c r="B8" s="141"/>
      <c r="C8" s="142"/>
      <c r="D8" s="141"/>
      <c r="E8" s="190"/>
      <c r="F8" s="141"/>
      <c r="G8" s="141"/>
      <c r="H8" s="147"/>
    </row>
    <row r="9" spans="1:9" s="6" customFormat="1" ht="31.5">
      <c r="A9" s="132" t="s">
        <v>238</v>
      </c>
      <c r="B9" s="157">
        <f>+'Flint Water Exp &amp; Act Track'!I386</f>
        <v>84962400</v>
      </c>
      <c r="C9" s="157">
        <f>+'Flint Water Exp &amp; Act Track'!J386+'Flint Water Exp &amp; Act Track'!K386+'Flint Water Exp &amp; Act Track'!L386+'Flint Water Exp &amp; Act Track'!N386-F9-G9</f>
        <v>54033612.2294375</v>
      </c>
      <c r="D9" s="157">
        <f>+'Flint Water Exp &amp; Act Track'!M386</f>
        <v>1541430.3799999878</v>
      </c>
      <c r="E9" s="188">
        <f>(+C9+D9)/B9</f>
        <v>0.65411337967662742</v>
      </c>
      <c r="F9" s="157">
        <f>+'spend by department and outcome'!N66</f>
        <v>7821560</v>
      </c>
      <c r="G9" s="157">
        <f>+'spend by department and outcome'!O66</f>
        <v>0</v>
      </c>
      <c r="H9" s="160">
        <f>+F9+D9+C9+G9</f>
        <v>63396602.609437488</v>
      </c>
    </row>
    <row r="10" spans="1:9" s="145" customFormat="1" ht="15.75">
      <c r="A10" s="140"/>
      <c r="B10" s="141"/>
      <c r="C10" s="142"/>
      <c r="D10" s="141"/>
      <c r="E10" s="190"/>
      <c r="F10" s="141"/>
      <c r="G10" s="141"/>
      <c r="H10" s="148"/>
    </row>
    <row r="11" spans="1:9" s="6" customFormat="1" ht="15.75">
      <c r="A11" s="132" t="s">
        <v>184</v>
      </c>
      <c r="B11" s="157">
        <f>+'Flint Water Exp &amp; Act Track'!I385</f>
        <v>30435600</v>
      </c>
      <c r="C11" s="157">
        <f>+'Flint Water Exp &amp; Act Track'!J385+'Flint Water Exp &amp; Act Track'!K385+'Flint Water Exp &amp; Act Track'!L385+'Flint Water Exp &amp; Act Track'!N385-F11-G11</f>
        <v>19025280.609999999</v>
      </c>
      <c r="D11" s="157">
        <f>+'Flint Water Exp &amp; Act Track'!M385</f>
        <v>4906323.4899999984</v>
      </c>
      <c r="E11" s="188">
        <f>(+C11+D11)/B11</f>
        <v>0.78630301686183279</v>
      </c>
      <c r="F11" s="157">
        <f>+'spend by department and outcome'!N78</f>
        <v>22911062</v>
      </c>
      <c r="G11" s="157">
        <f>+'spend by department and outcome'!O78</f>
        <v>249</v>
      </c>
      <c r="H11" s="160">
        <f>+F11+D11+C11+G11</f>
        <v>46842915.099999994</v>
      </c>
    </row>
    <row r="12" spans="1:9" s="145" customFormat="1" ht="15.75">
      <c r="A12" s="140"/>
      <c r="B12" s="141"/>
      <c r="C12" s="142"/>
      <c r="D12" s="141"/>
      <c r="E12" s="190"/>
      <c r="F12" s="141"/>
      <c r="G12" s="141"/>
      <c r="H12" s="148"/>
    </row>
    <row r="13" spans="1:9" s="6" customFormat="1" ht="15.75">
      <c r="A13" s="132" t="s">
        <v>41</v>
      </c>
      <c r="B13" s="157">
        <f>+'Flint Water Exp &amp; Act Track'!I388</f>
        <v>42750000</v>
      </c>
      <c r="C13" s="157">
        <f>+'Flint Water Exp &amp; Act Track'!J388+'Flint Water Exp &amp; Act Track'!K388+'Flint Water Exp &amp; Act Track'!L388+'Flint Water Exp &amp; Act Track'!N388-F13-G13</f>
        <v>40952130</v>
      </c>
      <c r="D13" s="157">
        <f>+'Flint Water Exp &amp; Act Track'!M388</f>
        <v>785714.20000000298</v>
      </c>
      <c r="E13" s="188">
        <f>(+C13+D13)/B13</f>
        <v>0.97632384093567259</v>
      </c>
      <c r="F13" s="157">
        <f>+'spend by department and outcome'!N84</f>
        <v>0</v>
      </c>
      <c r="G13" s="157">
        <f>+'spend by department and outcome'!O84</f>
        <v>0</v>
      </c>
      <c r="H13" s="160">
        <f>+F13+D13+C13+G13</f>
        <v>41737844.200000003</v>
      </c>
    </row>
    <row r="14" spans="1:9" s="145" customFormat="1" ht="15.75">
      <c r="A14" s="140"/>
      <c r="B14" s="141"/>
      <c r="C14" s="142"/>
      <c r="D14" s="141"/>
      <c r="E14" s="146"/>
      <c r="F14" s="141"/>
      <c r="G14" s="141"/>
      <c r="H14" s="148"/>
      <c r="I14" s="149"/>
    </row>
    <row r="15" spans="1:9" s="6" customFormat="1" ht="31.5">
      <c r="A15" s="132" t="s">
        <v>235</v>
      </c>
      <c r="B15" s="157">
        <f>+'Flint Water Exp &amp; Act Track'!I383</f>
        <v>0</v>
      </c>
      <c r="C15" s="157">
        <v>0</v>
      </c>
      <c r="D15" s="157">
        <v>0</v>
      </c>
      <c r="E15" s="159" t="str">
        <f>IF(B15=0,"n/a",(+C15+D15)/B15)</f>
        <v>n/a</v>
      </c>
      <c r="F15" s="157">
        <f>+'spend by department and outcome'!N88</f>
        <v>57474579</v>
      </c>
      <c r="G15" s="157">
        <f>+'spend by department and outcome'!O90</f>
        <v>8940560</v>
      </c>
      <c r="H15" s="160">
        <f>+F15+D15+C15+G15</f>
        <v>66415139</v>
      </c>
    </row>
    <row r="16" spans="1:9" s="145" customFormat="1" ht="15.75">
      <c r="A16" s="140"/>
      <c r="B16" s="141"/>
      <c r="C16" s="142"/>
      <c r="D16" s="141"/>
      <c r="E16" s="146"/>
      <c r="F16" s="141"/>
      <c r="G16" s="141"/>
      <c r="H16" s="148"/>
    </row>
    <row r="17" spans="1:8" s="161" customFormat="1" ht="15.75">
      <c r="A17" s="156" t="s">
        <v>181</v>
      </c>
      <c r="B17" s="154">
        <f>SUM(B5:B16)</f>
        <v>329999100</v>
      </c>
      <c r="C17" s="154">
        <f>SUM(C5:C16)</f>
        <v>255437263.68943751</v>
      </c>
      <c r="D17" s="154">
        <f>SUM(D5:D16)</f>
        <v>16078778.420000017</v>
      </c>
      <c r="E17" s="187">
        <f>(+C17+D17)/B17</f>
        <v>0.82277812912046588</v>
      </c>
      <c r="F17" s="154">
        <f>SUM(F5:F16)</f>
        <v>109175943</v>
      </c>
      <c r="G17" s="154">
        <f>SUM(G5:G16)</f>
        <v>8981036</v>
      </c>
      <c r="H17" s="155">
        <f>SUM(H5:H16)</f>
        <v>389673021.10943753</v>
      </c>
    </row>
    <row r="18" spans="1:8" s="139" customFormat="1" ht="15.75" thickBot="1">
      <c r="A18" s="150"/>
      <c r="B18" s="151"/>
      <c r="C18" s="151"/>
      <c r="D18" s="151"/>
      <c r="E18" s="152"/>
      <c r="F18" s="151"/>
      <c r="G18" s="151"/>
      <c r="H18" s="153"/>
    </row>
    <row r="20" spans="1:8">
      <c r="A20" s="296" t="s">
        <v>185</v>
      </c>
      <c r="B20" s="296"/>
      <c r="C20" s="296"/>
      <c r="D20" s="296"/>
      <c r="E20" s="296"/>
      <c r="F20" s="296"/>
      <c r="G20" s="296"/>
      <c r="H20" s="296"/>
    </row>
    <row r="21" spans="1:8">
      <c r="A21" s="7" t="s">
        <v>486</v>
      </c>
    </row>
    <row r="22" spans="1:8">
      <c r="A22" s="178" t="s">
        <v>667</v>
      </c>
      <c r="C22" s="8"/>
      <c r="D22" s="8"/>
      <c r="E22" s="8"/>
      <c r="F22" s="8"/>
      <c r="G22" s="8"/>
    </row>
    <row r="29" spans="1:8">
      <c r="A29" s="9"/>
    </row>
    <row r="30" spans="1:8">
      <c r="A30" s="9"/>
    </row>
    <row r="31" spans="1:8">
      <c r="A31" s="9"/>
    </row>
    <row r="32" spans="1:8">
      <c r="A32" s="9"/>
    </row>
    <row r="33" spans="1:7">
      <c r="A33" s="9"/>
    </row>
    <row r="34" spans="1:7">
      <c r="A34" s="9"/>
      <c r="B34" s="3"/>
      <c r="C34" s="3"/>
      <c r="D34" s="3"/>
      <c r="E34" s="3"/>
      <c r="F34" s="3"/>
      <c r="G34" s="12"/>
    </row>
  </sheetData>
  <mergeCells count="2">
    <mergeCell ref="A20:H20"/>
    <mergeCell ref="A2:H2"/>
  </mergeCells>
  <printOptions horizontalCentered="1"/>
  <pageMargins left="0" right="0" top="0.75" bottom="0.75" header="0.3" footer="0.3"/>
  <pageSetup scale="90" orientation="landscape" r:id="rId1"/>
  <headerFooter>
    <oddFooter>&amp;L&amp;8&amp;D  &amp;T&amp;C&amp;8&amp;P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42"/>
  <sheetViews>
    <sheetView topLeftCell="B1" workbookViewId="0">
      <selection activeCell="B1" sqref="A1:N43"/>
    </sheetView>
  </sheetViews>
  <sheetFormatPr defaultColWidth="9.140625" defaultRowHeight="15"/>
  <cols>
    <col min="1" max="1" width="29.5703125" style="11" customWidth="1"/>
    <col min="2" max="13" width="13.7109375" style="10" customWidth="1"/>
    <col min="14" max="14" width="17.42578125" style="10" customWidth="1"/>
    <col min="15" max="16384" width="9.140625" style="10"/>
  </cols>
  <sheetData>
    <row r="1" spans="1:14" ht="15.75" thickBot="1"/>
    <row r="2" spans="1:14" ht="18.75">
      <c r="A2" s="297" t="s">
        <v>186</v>
      </c>
      <c r="B2" s="298"/>
      <c r="C2" s="298"/>
      <c r="D2" s="298"/>
      <c r="E2" s="298"/>
      <c r="F2" s="298"/>
      <c r="G2" s="298"/>
      <c r="H2" s="298"/>
      <c r="I2" s="298"/>
      <c r="J2" s="298"/>
      <c r="K2" s="298"/>
      <c r="L2" s="298"/>
      <c r="M2" s="298"/>
      <c r="N2" s="299"/>
    </row>
    <row r="3" spans="1:14" ht="45">
      <c r="A3" s="179" t="str">
        <f>+'overall spend by category'!A3</f>
        <v>Cumulative Expenditures through 
June 30, 2019</v>
      </c>
      <c r="B3" s="121" t="s">
        <v>187</v>
      </c>
      <c r="C3" s="121" t="s">
        <v>188</v>
      </c>
      <c r="D3" s="121" t="s">
        <v>189</v>
      </c>
      <c r="E3" s="121" t="s">
        <v>424</v>
      </c>
      <c r="F3" s="121" t="s">
        <v>425</v>
      </c>
      <c r="G3" s="121" t="s">
        <v>507</v>
      </c>
      <c r="H3" s="121" t="s">
        <v>664</v>
      </c>
      <c r="I3" s="121" t="s">
        <v>665</v>
      </c>
      <c r="J3" s="121" t="s">
        <v>872</v>
      </c>
      <c r="K3" s="121" t="s">
        <v>822</v>
      </c>
      <c r="L3" s="121" t="s">
        <v>666</v>
      </c>
      <c r="M3" s="121" t="s">
        <v>174</v>
      </c>
      <c r="N3" s="122" t="s">
        <v>220</v>
      </c>
    </row>
    <row r="4" spans="1:14" s="53" customFormat="1">
      <c r="A4" s="123"/>
      <c r="B4" s="51"/>
      <c r="C4" s="51"/>
      <c r="D4" s="51"/>
      <c r="E4" s="51"/>
      <c r="F4" s="51"/>
      <c r="G4" s="51"/>
      <c r="H4" s="51"/>
      <c r="I4" s="51"/>
      <c r="J4" s="51"/>
      <c r="K4" s="51"/>
      <c r="L4" s="51"/>
      <c r="M4" s="51"/>
      <c r="N4" s="124"/>
    </row>
    <row r="5" spans="1:14" s="118" customFormat="1" ht="31.5">
      <c r="A5" s="132" t="s">
        <v>190</v>
      </c>
      <c r="B5" s="119">
        <f>+'spend by department and outcome'!D6</f>
        <v>0</v>
      </c>
      <c r="C5" s="119">
        <f>+'spend by department and outcome'!E6</f>
        <v>0</v>
      </c>
      <c r="D5" s="119">
        <f>+'spend by department and outcome'!F6</f>
        <v>0</v>
      </c>
      <c r="E5" s="119">
        <f>+'spend by department and outcome'!G6</f>
        <v>0</v>
      </c>
      <c r="F5" s="119">
        <f>+'spend by department and outcome'!H6</f>
        <v>0</v>
      </c>
      <c r="G5" s="119">
        <f>+'spend by department and outcome'!I6</f>
        <v>0</v>
      </c>
      <c r="H5" s="119">
        <f>+'spend by department and outcome'!J6</f>
        <v>0</v>
      </c>
      <c r="I5" s="119">
        <f>+'spend by department and outcome'!K6</f>
        <v>0</v>
      </c>
      <c r="J5" s="119">
        <f>+'spend by department and outcome'!L6</f>
        <v>0</v>
      </c>
      <c r="K5" s="119">
        <f>+'spend by department and outcome'!M6</f>
        <v>0</v>
      </c>
      <c r="L5" s="119">
        <f>+'spend by department and outcome'!N6</f>
        <v>464917</v>
      </c>
      <c r="M5" s="119">
        <f>+'spend by department and outcome'!O6</f>
        <v>0</v>
      </c>
      <c r="N5" s="120">
        <f>SUM(B5:M5)</f>
        <v>464917</v>
      </c>
    </row>
    <row r="6" spans="1:14" s="128" customFormat="1">
      <c r="A6" s="125"/>
      <c r="B6" s="126"/>
      <c r="C6" s="126"/>
      <c r="D6" s="126"/>
      <c r="E6" s="126"/>
      <c r="F6" s="126"/>
      <c r="G6" s="126"/>
      <c r="H6" s="126"/>
      <c r="I6" s="126"/>
      <c r="J6" s="126"/>
      <c r="K6" s="126"/>
      <c r="L6" s="126"/>
      <c r="M6" s="126"/>
      <c r="N6" s="127"/>
    </row>
    <row r="7" spans="1:14" s="118" customFormat="1" ht="15.75">
      <c r="A7" s="132" t="s">
        <v>191</v>
      </c>
      <c r="B7" s="119">
        <f>+'spend by department and outcome'!D54</f>
        <v>0</v>
      </c>
      <c r="C7" s="119">
        <f>+'spend by department and outcome'!E54</f>
        <v>0</v>
      </c>
      <c r="D7" s="119">
        <f>+'spend by department and outcome'!F54</f>
        <v>0</v>
      </c>
      <c r="E7" s="119">
        <f>+'spend by department and outcome'!G54+'spend by department and outcome'!G8</f>
        <v>3900000</v>
      </c>
      <c r="F7" s="119">
        <f>+'spend by department and outcome'!H54</f>
        <v>0</v>
      </c>
      <c r="G7" s="119">
        <f>+'spend by department and outcome'!I54</f>
        <v>0</v>
      </c>
      <c r="H7" s="119">
        <f>+'spend by department and outcome'!J54</f>
        <v>2599980</v>
      </c>
      <c r="I7" s="119">
        <f>+'spend by department and outcome'!K54</f>
        <v>0</v>
      </c>
      <c r="J7" s="119">
        <f>+'spend by department and outcome'!L54</f>
        <v>0</v>
      </c>
      <c r="K7" s="119">
        <f>+'spend by department and outcome'!M54</f>
        <v>790446</v>
      </c>
      <c r="L7" s="119">
        <f>+'spend by department and outcome'!N54</f>
        <v>3745883</v>
      </c>
      <c r="M7" s="119">
        <f>+'spend by department and outcome'!O54</f>
        <v>0</v>
      </c>
      <c r="N7" s="120">
        <f>SUM(B7:M7)</f>
        <v>11036309</v>
      </c>
    </row>
    <row r="8" spans="1:14" s="128" customFormat="1">
      <c r="A8" s="125"/>
      <c r="B8" s="126"/>
      <c r="C8" s="126"/>
      <c r="D8" s="126"/>
      <c r="E8" s="126"/>
      <c r="F8" s="126"/>
      <c r="G8" s="126"/>
      <c r="H8" s="126"/>
      <c r="I8" s="126"/>
      <c r="J8" s="126"/>
      <c r="K8" s="126"/>
      <c r="L8" s="126"/>
      <c r="M8" s="126"/>
      <c r="N8" s="127"/>
    </row>
    <row r="9" spans="1:14" s="118" customFormat="1" ht="15.75">
      <c r="A9" s="132" t="s">
        <v>159</v>
      </c>
      <c r="B9" s="119">
        <f>+'spend by department and outcome'!D10+'spend by department and outcome'!D56</f>
        <v>0</v>
      </c>
      <c r="C9" s="119">
        <f>+'spend by department and outcome'!E10+'spend by department and outcome'!E56</f>
        <v>0</v>
      </c>
      <c r="D9" s="119">
        <f>+'spend by department and outcome'!F10+'spend by department and outcome'!F56</f>
        <v>0</v>
      </c>
      <c r="E9" s="119">
        <f>+'spend by department and outcome'!G10+'spend by department and outcome'!G56</f>
        <v>0</v>
      </c>
      <c r="F9" s="119">
        <f>+'spend by department and outcome'!H10+'spend by department and outcome'!H56</f>
        <v>0</v>
      </c>
      <c r="G9" s="119">
        <f>+'spend by department and outcome'!I10+'spend by department and outcome'!I56</f>
        <v>0</v>
      </c>
      <c r="H9" s="119">
        <f>+'spend by department and outcome'!J10+'spend by department and outcome'!J56</f>
        <v>0</v>
      </c>
      <c r="I9" s="119">
        <f>+'spend by department and outcome'!K10+'spend by department and outcome'!K56</f>
        <v>0</v>
      </c>
      <c r="J9" s="119">
        <f>+'spend by department and outcome'!L10+'spend by department and outcome'!L56</f>
        <v>0</v>
      </c>
      <c r="K9" s="119">
        <f>+'spend by department and outcome'!M10+'spend by department and outcome'!M56</f>
        <v>0</v>
      </c>
      <c r="L9" s="119">
        <f>+'spend by department and outcome'!N10+'spend by department and outcome'!N56</f>
        <v>48107</v>
      </c>
      <c r="M9" s="119">
        <f>+'spend by department and outcome'!O10+'spend by department and outcome'!O56</f>
        <v>0</v>
      </c>
      <c r="N9" s="120">
        <f>SUM(B9:M9)</f>
        <v>48107</v>
      </c>
    </row>
    <row r="10" spans="1:14" s="128" customFormat="1">
      <c r="A10" s="125"/>
      <c r="B10" s="126"/>
      <c r="C10" s="126"/>
      <c r="D10" s="126"/>
      <c r="E10" s="126"/>
      <c r="F10" s="126"/>
      <c r="G10" s="126"/>
      <c r="H10" s="126"/>
      <c r="I10" s="126"/>
      <c r="J10" s="126"/>
      <c r="K10" s="126"/>
      <c r="L10" s="126"/>
      <c r="M10" s="126"/>
      <c r="N10" s="127"/>
    </row>
    <row r="11" spans="1:14" s="118" customFormat="1" ht="15.75">
      <c r="A11" s="132" t="s">
        <v>160</v>
      </c>
      <c r="B11" s="119">
        <f>+'spend by department and outcome'!D12</f>
        <v>0</v>
      </c>
      <c r="C11" s="119">
        <f>+'spend by department and outcome'!E12</f>
        <v>0</v>
      </c>
      <c r="D11" s="119">
        <f>+'spend by department and outcome'!F12</f>
        <v>0</v>
      </c>
      <c r="E11" s="119">
        <f>+'spend by department and outcome'!G12</f>
        <v>0</v>
      </c>
      <c r="F11" s="119">
        <f>+'spend by department and outcome'!H12</f>
        <v>0</v>
      </c>
      <c r="G11" s="119">
        <f>+'spend by department and outcome'!I12</f>
        <v>0</v>
      </c>
      <c r="H11" s="119">
        <f>+'spend by department and outcome'!J12</f>
        <v>0</v>
      </c>
      <c r="I11" s="119">
        <f>+'spend by department and outcome'!K12</f>
        <v>0</v>
      </c>
      <c r="J11" s="119">
        <f>+'spend by department and outcome'!L12</f>
        <v>0</v>
      </c>
      <c r="K11" s="119">
        <f>+'spend by department and outcome'!M12</f>
        <v>0</v>
      </c>
      <c r="L11" s="119">
        <f>+'spend by department and outcome'!N12</f>
        <v>1731680</v>
      </c>
      <c r="M11" s="119">
        <f>+'spend by department and outcome'!O12</f>
        <v>0</v>
      </c>
      <c r="N11" s="120">
        <f>SUM(B11:M11)</f>
        <v>1731680</v>
      </c>
    </row>
    <row r="12" spans="1:14" s="128" customFormat="1">
      <c r="A12" s="125"/>
      <c r="B12" s="126"/>
      <c r="C12" s="126"/>
      <c r="D12" s="126"/>
      <c r="E12" s="126"/>
      <c r="F12" s="126"/>
      <c r="G12" s="126"/>
      <c r="H12" s="126"/>
      <c r="I12" s="126"/>
      <c r="J12" s="126"/>
      <c r="K12" s="126"/>
      <c r="L12" s="126"/>
      <c r="M12" s="126"/>
      <c r="N12" s="127"/>
    </row>
    <row r="13" spans="1:14" s="118" customFormat="1" ht="15.75">
      <c r="A13" s="132" t="s">
        <v>192</v>
      </c>
      <c r="B13" s="119">
        <f>+'spend by department and outcome'!D14+'spend by department and outcome'!D44+'spend by department and outcome'!D58+'spend by department and outcome'!D70</f>
        <v>0</v>
      </c>
      <c r="C13" s="119">
        <f>+'spend by department and outcome'!E14+'spend by department and outcome'!E44+'spend by department and outcome'!E58+'spend by department and outcome'!E70</f>
        <v>2685000</v>
      </c>
      <c r="D13" s="119">
        <f>+'spend by department and outcome'!F14+'spend by department and outcome'!F44+'spend by department and outcome'!F58+'spend by department and outcome'!F70</f>
        <v>0</v>
      </c>
      <c r="E13" s="119">
        <f>+'spend by department and outcome'!G14+'spend by department and outcome'!G44+'spend by department and outcome'!G58+'spend by department and outcome'!G70</f>
        <v>18322201</v>
      </c>
      <c r="F13" s="119">
        <f>+'spend by department and outcome'!H14+'spend by department and outcome'!H44+'spend by department and outcome'!H58+'spend by department and outcome'!H70</f>
        <v>0</v>
      </c>
      <c r="G13" s="119">
        <f>+'spend by department and outcome'!I14+'spend by department and outcome'!I44+'spend by department and outcome'!I58+'spend by department and outcome'!I70</f>
        <v>0</v>
      </c>
      <c r="H13" s="119">
        <f>+'spend by department and outcome'!J14+'spend by department and outcome'!J44+'spend by department and outcome'!J58+'spend by department and outcome'!J70</f>
        <v>0</v>
      </c>
      <c r="I13" s="119">
        <f>+'spend by department and outcome'!K14+'spend by department and outcome'!K44+'spend by department and outcome'!K58+'spend by department and outcome'!K70</f>
        <v>0</v>
      </c>
      <c r="J13" s="119">
        <f>+'spend by department and outcome'!L14+'spend by department and outcome'!L44+'spend by department and outcome'!L58+'spend by department and outcome'!L70</f>
        <v>0</v>
      </c>
      <c r="K13" s="119">
        <f>+'spend by department and outcome'!M14+'spend by department and outcome'!M44+'spend by department and outcome'!M58+'spend by department and outcome'!M70</f>
        <v>0</v>
      </c>
      <c r="L13" s="119">
        <f>+'spend by department and outcome'!N14+'spend by department and outcome'!N44+'spend by department and outcome'!N58+'spend by department and outcome'!N70</f>
        <v>45289</v>
      </c>
      <c r="M13" s="119">
        <f>+'spend by department and outcome'!O14+'spend by department and outcome'!O44+'spend by department and outcome'!O58+'spend by department and outcome'!O70</f>
        <v>0</v>
      </c>
      <c r="N13" s="120">
        <f>SUM(B13:M13)</f>
        <v>21052490</v>
      </c>
    </row>
    <row r="14" spans="1:14" s="128" customFormat="1">
      <c r="A14" s="125"/>
      <c r="B14" s="126"/>
      <c r="C14" s="126"/>
      <c r="D14" s="126"/>
      <c r="E14" s="126"/>
      <c r="F14" s="126"/>
      <c r="G14" s="126"/>
      <c r="H14" s="126"/>
      <c r="I14" s="126"/>
      <c r="J14" s="126"/>
      <c r="K14" s="126"/>
      <c r="L14" s="126"/>
      <c r="M14" s="126"/>
      <c r="N14" s="127"/>
    </row>
    <row r="15" spans="1:14" s="118" customFormat="1" ht="31.5">
      <c r="A15" s="132" t="s">
        <v>921</v>
      </c>
      <c r="B15" s="119">
        <f>+'spend by department and outcome'!D16</f>
        <v>7300000</v>
      </c>
      <c r="C15" s="119">
        <f>+'spend by department and outcome'!E16</f>
        <v>5786500</v>
      </c>
      <c r="D15" s="119">
        <f>+'spend by department and outcome'!F16</f>
        <v>0</v>
      </c>
      <c r="E15" s="119">
        <f>+'spend by department and outcome'!G16</f>
        <v>38750100</v>
      </c>
      <c r="F15" s="119">
        <f>+'spend by department and outcome'!H16</f>
        <v>0</v>
      </c>
      <c r="G15" s="119">
        <f>+'spend by department and outcome'!I16</f>
        <v>2473725</v>
      </c>
      <c r="H15" s="119">
        <f>+'spend by department and outcome'!J16</f>
        <v>4110897</v>
      </c>
      <c r="I15" s="119">
        <f>+'spend by department and outcome'!K16</f>
        <v>0</v>
      </c>
      <c r="J15" s="119">
        <f>+'spend by department and outcome'!L16</f>
        <v>0</v>
      </c>
      <c r="K15" s="119">
        <f>+'spend by department and outcome'!M16</f>
        <v>20000000</v>
      </c>
      <c r="L15" s="119">
        <f>+'spend by department and outcome'!N16</f>
        <v>4381419</v>
      </c>
      <c r="M15" s="119">
        <f>+'spend by department and outcome'!O16</f>
        <v>0</v>
      </c>
      <c r="N15" s="120">
        <f>SUM(B15:M15)</f>
        <v>82802641</v>
      </c>
    </row>
    <row r="16" spans="1:14" s="128" customFormat="1">
      <c r="A16" s="125"/>
      <c r="B16" s="126"/>
      <c r="C16" s="126"/>
      <c r="D16" s="126"/>
      <c r="E16" s="126"/>
      <c r="F16" s="126"/>
      <c r="G16" s="126"/>
      <c r="H16" s="126"/>
      <c r="I16" s="126"/>
      <c r="J16" s="126"/>
      <c r="K16" s="126"/>
      <c r="L16" s="126"/>
      <c r="M16" s="126"/>
      <c r="N16" s="127"/>
    </row>
    <row r="17" spans="1:14" s="118" customFormat="1" ht="15.75">
      <c r="A17" s="132" t="s">
        <v>193</v>
      </c>
      <c r="B17" s="119">
        <f>+'spend by department and outcome'!D18+'spend by department and outcome'!D46+'spend by department and outcome'!D60+'spend by department and outcome'!D72</f>
        <v>1850000</v>
      </c>
      <c r="C17" s="119">
        <f>+'spend by department and outcome'!E18+'spend by department and outcome'!E46+'spend by department and outcome'!E60+'spend by department and outcome'!E72</f>
        <v>12804906</v>
      </c>
      <c r="D17" s="119">
        <f>+'spend by department and outcome'!F18+'spend by department and outcome'!F46+'spend by department and outcome'!F60+'spend by department and outcome'!F72</f>
        <v>0</v>
      </c>
      <c r="E17" s="119">
        <f>+'spend by department and outcome'!G18+'spend by department and outcome'!G46+'spend by department and outcome'!G60+'spend by department and outcome'!G72</f>
        <v>21778885</v>
      </c>
      <c r="F17" s="119">
        <f>+'spend by department and outcome'!H18+'spend by department and outcome'!H46+'spend by department and outcome'!H60+'spend by department and outcome'!H72</f>
        <v>0</v>
      </c>
      <c r="G17" s="119">
        <f>+'spend by department and outcome'!I18+'spend by department and outcome'!I46+'spend by department and outcome'!I60+'spend by department and outcome'!I72</f>
        <v>0</v>
      </c>
      <c r="H17" s="119">
        <f>+'spend by department and outcome'!J18+'spend by department and outcome'!J46+'spend by department and outcome'!J60+'spend by department and outcome'!J72</f>
        <v>11696092</v>
      </c>
      <c r="I17" s="119">
        <f>+'spend by department and outcome'!K18+'spend by department and outcome'!K46+'spend by department and outcome'!K60+'spend by department and outcome'!K72</f>
        <v>0</v>
      </c>
      <c r="J17" s="119">
        <f>+'spend by department and outcome'!L18+'spend by department and outcome'!L46+'spend by department and outcome'!L60+'spend by department and outcome'!L72</f>
        <v>0</v>
      </c>
      <c r="K17" s="119">
        <f>+'spend by department and outcome'!M18+'spend by department and outcome'!M46+'spend by department and outcome'!M60+'spend by department and outcome'!M72</f>
        <v>957096</v>
      </c>
      <c r="L17" s="119">
        <f>+'spend by department and outcome'!N18+'spend by department and outcome'!N46+'spend by department and outcome'!N60+'spend by department and outcome'!N72</f>
        <v>29145049</v>
      </c>
      <c r="M17" s="119">
        <f>+'spend by department and outcome'!O18+'spend by department and outcome'!O46+'spend by department and outcome'!O60+'spend by department and outcome'!O72</f>
        <v>0</v>
      </c>
      <c r="N17" s="120">
        <f>SUM(B17:M17)</f>
        <v>78232028</v>
      </c>
    </row>
    <row r="18" spans="1:14" s="128" customFormat="1">
      <c r="A18" s="125"/>
      <c r="B18" s="126"/>
      <c r="C18" s="126"/>
      <c r="D18" s="126"/>
      <c r="E18" s="126"/>
      <c r="F18" s="126"/>
      <c r="G18" s="126"/>
      <c r="H18" s="126"/>
      <c r="I18" s="126"/>
      <c r="J18" s="126"/>
      <c r="K18" s="126"/>
      <c r="L18" s="126"/>
      <c r="M18" s="126"/>
      <c r="N18" s="127"/>
    </row>
    <row r="19" spans="1:14" s="118" customFormat="1" ht="31.5">
      <c r="A19" s="132" t="s">
        <v>194</v>
      </c>
      <c r="B19" s="119">
        <f>+'spend by department and outcome'!D20+'spend by department and outcome'!D62</f>
        <v>0</v>
      </c>
      <c r="C19" s="119">
        <f>+'spend by department and outcome'!E20+'spend by department and outcome'!E62</f>
        <v>0</v>
      </c>
      <c r="D19" s="119">
        <f>+'spend by department and outcome'!F20+'spend by department and outcome'!F62</f>
        <v>0</v>
      </c>
      <c r="E19" s="119">
        <f>+'spend by department and outcome'!G20+'spend by department and outcome'!G62</f>
        <v>0</v>
      </c>
      <c r="F19" s="119">
        <f>+'spend by department and outcome'!H20+'spend by department and outcome'!H62</f>
        <v>0</v>
      </c>
      <c r="G19" s="119">
        <f>+'spend by department and outcome'!I20+'spend by department and outcome'!I62</f>
        <v>0</v>
      </c>
      <c r="H19" s="119">
        <f>+'spend by department and outcome'!J20+'spend by department and outcome'!J62</f>
        <v>0</v>
      </c>
      <c r="I19" s="119">
        <f>+'spend by department and outcome'!K20+'spend by department and outcome'!K62</f>
        <v>0</v>
      </c>
      <c r="J19" s="119">
        <f>+'spend by department and outcome'!L20+'spend by department and outcome'!L62</f>
        <v>0</v>
      </c>
      <c r="K19" s="119">
        <f>+'spend by department and outcome'!M20+'spend by department and outcome'!M62</f>
        <v>0</v>
      </c>
      <c r="L19" s="119">
        <f>+'spend by department and outcome'!N20+'spend by department and outcome'!N62</f>
        <v>5659</v>
      </c>
      <c r="M19" s="119">
        <f>+'spend by department and outcome'!O20+'spend by department and outcome'!O62</f>
        <v>0</v>
      </c>
      <c r="N19" s="120">
        <f>SUM(B19:M19)</f>
        <v>5659</v>
      </c>
    </row>
    <row r="20" spans="1:14" s="128" customFormat="1">
      <c r="A20" s="125"/>
      <c r="B20" s="126"/>
      <c r="C20" s="126"/>
      <c r="D20" s="126"/>
      <c r="E20" s="126"/>
      <c r="F20" s="126"/>
      <c r="G20" s="126"/>
      <c r="H20" s="126"/>
      <c r="I20" s="126"/>
      <c r="J20" s="126"/>
      <c r="K20" s="126"/>
      <c r="L20" s="126"/>
      <c r="M20" s="126"/>
      <c r="N20" s="127"/>
    </row>
    <row r="21" spans="1:14" s="118" customFormat="1" ht="31.5">
      <c r="A21" s="132" t="s">
        <v>195</v>
      </c>
      <c r="B21" s="119">
        <f>+'spend by department and outcome'!D22</f>
        <v>199606</v>
      </c>
      <c r="C21" s="119">
        <f>+'spend by department and outcome'!E22</f>
        <v>1659999</v>
      </c>
      <c r="D21" s="119">
        <f>+'spend by department and outcome'!F22</f>
        <v>0</v>
      </c>
      <c r="E21" s="119">
        <f>+'spend by department and outcome'!G22</f>
        <v>0</v>
      </c>
      <c r="F21" s="119">
        <f>+'spend by department and outcome'!H22</f>
        <v>0</v>
      </c>
      <c r="G21" s="119">
        <f>+'spend by department and outcome'!I22</f>
        <v>0</v>
      </c>
      <c r="H21" s="119">
        <f>+'spend by department and outcome'!J22</f>
        <v>0</v>
      </c>
      <c r="I21" s="119">
        <f>+'spend by department and outcome'!K22</f>
        <v>0</v>
      </c>
      <c r="J21" s="119">
        <f>+'spend by department and outcome'!L22</f>
        <v>0</v>
      </c>
      <c r="K21" s="119">
        <f>+'spend by department and outcome'!M22</f>
        <v>0</v>
      </c>
      <c r="L21" s="119">
        <f>+'spend by department and outcome'!N22</f>
        <v>0</v>
      </c>
      <c r="M21" s="119">
        <f>+'spend by department and outcome'!O22</f>
        <v>0</v>
      </c>
      <c r="N21" s="120">
        <f>SUM(B21:M21)</f>
        <v>1859605</v>
      </c>
    </row>
    <row r="22" spans="1:14" s="128" customFormat="1">
      <c r="A22" s="125"/>
      <c r="B22" s="126"/>
      <c r="C22" s="126"/>
      <c r="D22" s="126"/>
      <c r="E22" s="126"/>
      <c r="F22" s="126"/>
      <c r="G22" s="126"/>
      <c r="H22" s="126"/>
      <c r="I22" s="126"/>
      <c r="J22" s="126"/>
      <c r="K22" s="126"/>
      <c r="L22" s="126"/>
      <c r="M22" s="126"/>
      <c r="N22" s="127"/>
    </row>
    <row r="23" spans="1:14" s="118" customFormat="1" ht="15.75">
      <c r="A23" s="132" t="s">
        <v>196</v>
      </c>
      <c r="B23" s="119">
        <f>+'spend by department and outcome'!D24</f>
        <v>0</v>
      </c>
      <c r="C23" s="119">
        <f>+'spend by department and outcome'!E24</f>
        <v>2000000</v>
      </c>
      <c r="D23" s="119">
        <f>+'spend by department and outcome'!F24</f>
        <v>0</v>
      </c>
      <c r="E23" s="119">
        <f>+'spend by department and outcome'!G24</f>
        <v>0</v>
      </c>
      <c r="F23" s="119">
        <f>+'spend by department and outcome'!H24</f>
        <v>0</v>
      </c>
      <c r="G23" s="119">
        <f>+'spend by department and outcome'!I24</f>
        <v>476834</v>
      </c>
      <c r="H23" s="119">
        <f>+'spend by department and outcome'!J24</f>
        <v>0</v>
      </c>
      <c r="I23" s="119">
        <f>+'spend by department and outcome'!K24</f>
        <v>0</v>
      </c>
      <c r="J23" s="119">
        <f>+'spend by department and outcome'!L24</f>
        <v>0</v>
      </c>
      <c r="K23" s="119">
        <f>+'spend by department and outcome'!M24</f>
        <v>0</v>
      </c>
      <c r="L23" s="119">
        <f>+'spend by department and outcome'!N24</f>
        <v>65111</v>
      </c>
      <c r="M23" s="119">
        <f>+'spend by department and outcome'!O24</f>
        <v>0</v>
      </c>
      <c r="N23" s="120">
        <f>SUM(B23:M23)</f>
        <v>2541945</v>
      </c>
    </row>
    <row r="24" spans="1:14" s="128" customFormat="1">
      <c r="A24" s="125"/>
      <c r="B24" s="126"/>
      <c r="C24" s="126"/>
      <c r="D24" s="126"/>
      <c r="E24" s="126"/>
      <c r="F24" s="126"/>
      <c r="G24" s="126"/>
      <c r="H24" s="126"/>
      <c r="I24" s="126"/>
      <c r="J24" s="126"/>
      <c r="K24" s="126"/>
      <c r="L24" s="126"/>
      <c r="M24" s="126"/>
      <c r="N24" s="127"/>
    </row>
    <row r="25" spans="1:14" s="118" customFormat="1" ht="15.75">
      <c r="A25" s="132" t="s">
        <v>197</v>
      </c>
      <c r="B25" s="119">
        <f>+'spend by department and outcome'!D26</f>
        <v>0</v>
      </c>
      <c r="C25" s="119">
        <f>+'spend by department and outcome'!E26</f>
        <v>0</v>
      </c>
      <c r="D25" s="119">
        <f>+'spend by department and outcome'!F26</f>
        <v>0</v>
      </c>
      <c r="E25" s="119">
        <f>+'spend by department and outcome'!G26</f>
        <v>250000</v>
      </c>
      <c r="F25" s="119">
        <f>+'spend by department and outcome'!H26</f>
        <v>0</v>
      </c>
      <c r="G25" s="119">
        <f>+'spend by department and outcome'!I26</f>
        <v>0</v>
      </c>
      <c r="H25" s="119">
        <f>+'spend by department and outcome'!J26</f>
        <v>0</v>
      </c>
      <c r="I25" s="119">
        <f>+'spend by department and outcome'!K26</f>
        <v>0</v>
      </c>
      <c r="J25" s="119">
        <f>+'spend by department and outcome'!L26</f>
        <v>0</v>
      </c>
      <c r="K25" s="119">
        <f>+'spend by department and outcome'!M26</f>
        <v>0</v>
      </c>
      <c r="L25" s="119">
        <f>+'spend by department and outcome'!N26</f>
        <v>3389</v>
      </c>
      <c r="M25" s="119">
        <f>+'spend by department and outcome'!O26</f>
        <v>0</v>
      </c>
      <c r="N25" s="120">
        <f>SUM(B25:M25)</f>
        <v>253389</v>
      </c>
    </row>
    <row r="26" spans="1:14" s="128" customFormat="1">
      <c r="A26" s="125"/>
      <c r="B26" s="126"/>
      <c r="C26" s="126"/>
      <c r="D26" s="126"/>
      <c r="E26" s="126"/>
      <c r="F26" s="126"/>
      <c r="G26" s="126"/>
      <c r="H26" s="126"/>
      <c r="I26" s="126"/>
      <c r="J26" s="126"/>
      <c r="K26" s="126"/>
      <c r="L26" s="126"/>
      <c r="M26" s="126"/>
      <c r="N26" s="127"/>
    </row>
    <row r="27" spans="1:14" s="118" customFormat="1" ht="15.75">
      <c r="A27" s="132" t="s">
        <v>395</v>
      </c>
      <c r="B27" s="119">
        <v>0</v>
      </c>
      <c r="C27" s="119">
        <v>0</v>
      </c>
      <c r="D27" s="119">
        <v>0</v>
      </c>
      <c r="E27" s="119">
        <v>0</v>
      </c>
      <c r="F27" s="119">
        <f>+'spend by department and outcome'!H64+'spend by department and outcome'!H48+'spend by department and outcome'!H74</f>
        <v>21829300</v>
      </c>
      <c r="G27" s="119">
        <f>+'spend by department and outcome'!I64</f>
        <v>0</v>
      </c>
      <c r="H27" s="119">
        <f>+'spend by department and outcome'!J64</f>
        <v>0</v>
      </c>
      <c r="I27" s="119">
        <f>+'spend by department and outcome'!K64+'spend by department and outcome'!K48</f>
        <v>8730000</v>
      </c>
      <c r="J27" s="119">
        <f>+'spend by department and outcome'!L64+'spend by department and outcome'!L48+'spend by department and outcome'!L74</f>
        <v>6450299</v>
      </c>
      <c r="K27" s="119">
        <f>+'spend by department and outcome'!M64</f>
        <v>0</v>
      </c>
      <c r="L27" s="119">
        <v>0</v>
      </c>
      <c r="M27" s="119">
        <v>0</v>
      </c>
      <c r="N27" s="120">
        <f>SUM(B27:M27)</f>
        <v>37009599</v>
      </c>
    </row>
    <row r="28" spans="1:14" s="128" customFormat="1">
      <c r="A28" s="125"/>
      <c r="B28" s="126"/>
      <c r="C28" s="126"/>
      <c r="D28" s="126"/>
      <c r="E28" s="126"/>
      <c r="F28" s="126"/>
      <c r="G28" s="126"/>
      <c r="H28" s="126"/>
      <c r="I28" s="126"/>
      <c r="J28" s="126"/>
      <c r="K28" s="126"/>
      <c r="L28" s="126"/>
      <c r="M28" s="126"/>
      <c r="N28" s="127"/>
    </row>
    <row r="29" spans="1:14" s="118" customFormat="1" ht="15.75">
      <c r="A29" s="132" t="s">
        <v>198</v>
      </c>
      <c r="B29" s="119">
        <f>+'spend by department and outcome'!D28</f>
        <v>0</v>
      </c>
      <c r="C29" s="119">
        <f>+'spend by department and outcome'!E28</f>
        <v>0</v>
      </c>
      <c r="D29" s="119">
        <f>+'spend by department and outcome'!F28</f>
        <v>0</v>
      </c>
      <c r="E29" s="119">
        <f>+'spend by department and outcome'!G28</f>
        <v>0</v>
      </c>
      <c r="F29" s="119">
        <f>+'spend by department and outcome'!H28</f>
        <v>0</v>
      </c>
      <c r="G29" s="119">
        <f>+'spend by department and outcome'!I28</f>
        <v>0</v>
      </c>
      <c r="H29" s="119">
        <f>+'spend by department and outcome'!J28</f>
        <v>0</v>
      </c>
      <c r="I29" s="119">
        <f>+'spend by department and outcome'!K28</f>
        <v>0</v>
      </c>
      <c r="J29" s="119">
        <f>+'spend by department and outcome'!L28</f>
        <v>0</v>
      </c>
      <c r="K29" s="119">
        <f>+'spend by department and outcome'!M28</f>
        <v>0</v>
      </c>
      <c r="L29" s="119">
        <f>+'spend by department and outcome'!N28</f>
        <v>3131</v>
      </c>
      <c r="M29" s="119">
        <f>+'spend by department and outcome'!O28</f>
        <v>0</v>
      </c>
      <c r="N29" s="120">
        <f>SUM(B29:M29)</f>
        <v>3131</v>
      </c>
    </row>
    <row r="30" spans="1:14" s="128" customFormat="1">
      <c r="A30" s="125"/>
      <c r="B30" s="126"/>
      <c r="C30" s="126"/>
      <c r="D30" s="126"/>
      <c r="E30" s="126"/>
      <c r="F30" s="126"/>
      <c r="G30" s="126"/>
      <c r="H30" s="126"/>
      <c r="I30" s="126"/>
      <c r="J30" s="126"/>
      <c r="K30" s="126"/>
      <c r="L30" s="126"/>
      <c r="M30" s="126"/>
      <c r="N30" s="127"/>
    </row>
    <row r="31" spans="1:14" s="118" customFormat="1" ht="15.75">
      <c r="A31" s="132" t="s">
        <v>199</v>
      </c>
      <c r="B31" s="119">
        <f>+'spend by department and outcome'!D30</f>
        <v>0</v>
      </c>
      <c r="C31" s="119">
        <f>+'spend by department and outcome'!E30</f>
        <v>9043</v>
      </c>
      <c r="D31" s="119">
        <f>+'spend by department and outcome'!F30</f>
        <v>0</v>
      </c>
      <c r="E31" s="119">
        <f>+'spend by department and outcome'!G30</f>
        <v>6000000</v>
      </c>
      <c r="F31" s="119">
        <f>+'spend by department and outcome'!H30</f>
        <v>0</v>
      </c>
      <c r="G31" s="119">
        <f>+'spend by department and outcome'!I30</f>
        <v>0</v>
      </c>
      <c r="H31" s="119">
        <f>+'spend by department and outcome'!J30</f>
        <v>2508100</v>
      </c>
      <c r="I31" s="119">
        <f>+'spend by department and outcome'!K30</f>
        <v>0</v>
      </c>
      <c r="J31" s="119">
        <f>+'spend by department and outcome'!L30</f>
        <v>0</v>
      </c>
      <c r="K31" s="119">
        <f>+'spend by department and outcome'!M30</f>
        <v>0</v>
      </c>
      <c r="L31" s="119">
        <f>+'spend by department and outcome'!N30</f>
        <v>3058696</v>
      </c>
      <c r="M31" s="119">
        <f>+'spend by department and outcome'!O30</f>
        <v>0</v>
      </c>
      <c r="N31" s="120">
        <f>SUM(B31:M31)</f>
        <v>11575839</v>
      </c>
    </row>
    <row r="32" spans="1:14" s="128" customFormat="1">
      <c r="A32" s="125"/>
      <c r="B32" s="126"/>
      <c r="C32" s="126"/>
      <c r="D32" s="126"/>
      <c r="E32" s="126"/>
      <c r="F32" s="126"/>
      <c r="G32" s="126"/>
      <c r="H32" s="126"/>
      <c r="I32" s="126"/>
      <c r="J32" s="126"/>
      <c r="K32" s="126"/>
      <c r="L32" s="126"/>
      <c r="M32" s="126"/>
      <c r="N32" s="127"/>
    </row>
    <row r="33" spans="1:14" s="118" customFormat="1" ht="31.5">
      <c r="A33" s="132" t="s">
        <v>200</v>
      </c>
      <c r="B33" s="119">
        <f>+'spend by department and outcome'!D32</f>
        <v>0</v>
      </c>
      <c r="C33" s="119">
        <f>+'spend by department and outcome'!E32</f>
        <v>0</v>
      </c>
      <c r="D33" s="119">
        <f>+'spend by department and outcome'!F32</f>
        <v>0</v>
      </c>
      <c r="E33" s="119">
        <f>+'spend by department and outcome'!G32</f>
        <v>0</v>
      </c>
      <c r="F33" s="119">
        <f>+'spend by department and outcome'!H32</f>
        <v>0</v>
      </c>
      <c r="G33" s="119">
        <f>+'spend by department and outcome'!I32</f>
        <v>0</v>
      </c>
      <c r="H33" s="119">
        <f>+'spend by department and outcome'!J32</f>
        <v>0</v>
      </c>
      <c r="I33" s="119">
        <f>+'spend by department and outcome'!K32</f>
        <v>0</v>
      </c>
      <c r="J33" s="119">
        <f>+'spend by department and outcome'!L32</f>
        <v>0</v>
      </c>
      <c r="K33" s="119">
        <f>+'spend by department and outcome'!M32</f>
        <v>0</v>
      </c>
      <c r="L33" s="119">
        <f>+'spend by department and outcome'!N32+'spend by department and outcome'!N88+'spend by department and outcome'!N76</f>
        <v>57474579</v>
      </c>
      <c r="M33" s="119">
        <f>+'spend by department and outcome'!O32+'spend by department and outcome'!O88+'spend by department and outcome'!O76</f>
        <v>8981036</v>
      </c>
      <c r="N33" s="120">
        <f>SUM(B33:M33)</f>
        <v>66455615</v>
      </c>
    </row>
    <row r="34" spans="1:14" s="128" customFormat="1">
      <c r="A34" s="125"/>
      <c r="B34" s="126"/>
      <c r="C34" s="126"/>
      <c r="D34" s="126"/>
      <c r="E34" s="126"/>
      <c r="F34" s="126"/>
      <c r="G34" s="126"/>
      <c r="H34" s="126"/>
      <c r="I34" s="126"/>
      <c r="J34" s="126"/>
      <c r="K34" s="126"/>
      <c r="L34" s="126"/>
      <c r="M34" s="126"/>
      <c r="N34" s="127"/>
    </row>
    <row r="35" spans="1:14" s="118" customFormat="1" ht="31.5">
      <c r="A35" s="132" t="s">
        <v>201</v>
      </c>
      <c r="B35" s="119">
        <f>+'spend by department and outcome'!D34</f>
        <v>0</v>
      </c>
      <c r="C35" s="119">
        <f>+'spend by department and outcome'!E34</f>
        <v>0</v>
      </c>
      <c r="D35" s="119">
        <f>+'spend by department and outcome'!F34</f>
        <v>0</v>
      </c>
      <c r="E35" s="119">
        <f>+'spend by department and outcome'!G34</f>
        <v>0</v>
      </c>
      <c r="F35" s="119">
        <f>+'spend by department and outcome'!H34</f>
        <v>0</v>
      </c>
      <c r="G35" s="119">
        <f>+'spend by department and outcome'!I34</f>
        <v>0</v>
      </c>
      <c r="H35" s="119">
        <f>+'spend by department and outcome'!J34</f>
        <v>500000</v>
      </c>
      <c r="I35" s="119">
        <f>+'spend by department and outcome'!K34</f>
        <v>0</v>
      </c>
      <c r="J35" s="119">
        <f>+'spend by department and outcome'!L34</f>
        <v>0</v>
      </c>
      <c r="K35" s="119">
        <f>+'spend by department and outcome'!M34</f>
        <v>0</v>
      </c>
      <c r="L35" s="119">
        <f>+'spend by department and outcome'!N34</f>
        <v>5173159</v>
      </c>
      <c r="M35" s="119">
        <f>+'spend by department and outcome'!O34</f>
        <v>0</v>
      </c>
      <c r="N35" s="120">
        <f>SUM(B35:M35)</f>
        <v>5673159</v>
      </c>
    </row>
    <row r="36" spans="1:14" s="128" customFormat="1">
      <c r="A36" s="125"/>
      <c r="B36" s="126"/>
      <c r="C36" s="126"/>
      <c r="D36" s="126"/>
      <c r="E36" s="126"/>
      <c r="F36" s="126"/>
      <c r="G36" s="126"/>
      <c r="H36" s="126"/>
      <c r="I36" s="126"/>
      <c r="J36" s="126"/>
      <c r="K36" s="126"/>
      <c r="L36" s="126"/>
      <c r="M36" s="126"/>
      <c r="N36" s="127"/>
    </row>
    <row r="37" spans="1:14" s="118" customFormat="1" ht="15.75">
      <c r="A37" s="132" t="s">
        <v>202</v>
      </c>
      <c r="B37" s="119">
        <f>+'spend by department and outcome'!D36</f>
        <v>0</v>
      </c>
      <c r="C37" s="119">
        <f>+'spend by department and outcome'!E36</f>
        <v>0</v>
      </c>
      <c r="D37" s="119">
        <f>+'spend by department and outcome'!F36</f>
        <v>0</v>
      </c>
      <c r="E37" s="119">
        <f>+'spend by department and outcome'!G36</f>
        <v>0</v>
      </c>
      <c r="F37" s="119">
        <f>+'spend by department and outcome'!H36</f>
        <v>0</v>
      </c>
      <c r="G37" s="119">
        <f>+'spend by department and outcome'!I36</f>
        <v>0</v>
      </c>
      <c r="H37" s="119">
        <f>+'spend by department and outcome'!J36</f>
        <v>0</v>
      </c>
      <c r="I37" s="119">
        <f>+'spend by department and outcome'!K36</f>
        <v>0</v>
      </c>
      <c r="J37" s="119">
        <f>+'spend by department and outcome'!L36</f>
        <v>0</v>
      </c>
      <c r="K37" s="119">
        <f>+'spend by department and outcome'!M36</f>
        <v>0</v>
      </c>
      <c r="L37" s="119">
        <f>+'spend by department and outcome'!N36</f>
        <v>694135</v>
      </c>
      <c r="M37" s="119">
        <f>+'spend by department and outcome'!O36</f>
        <v>0</v>
      </c>
      <c r="N37" s="120">
        <f>SUM(B37:M37)</f>
        <v>694135</v>
      </c>
    </row>
    <row r="38" spans="1:14" s="128" customFormat="1">
      <c r="A38" s="125"/>
      <c r="B38" s="126"/>
      <c r="C38" s="126"/>
      <c r="D38" s="126"/>
      <c r="E38" s="126"/>
      <c r="F38" s="126"/>
      <c r="G38" s="126"/>
      <c r="H38" s="126"/>
      <c r="I38" s="126"/>
      <c r="J38" s="126"/>
      <c r="K38" s="126"/>
      <c r="L38" s="126"/>
      <c r="M38" s="126"/>
      <c r="N38" s="127"/>
    </row>
    <row r="39" spans="1:14" s="118" customFormat="1" ht="15.75">
      <c r="A39" s="132" t="s">
        <v>203</v>
      </c>
      <c r="B39" s="119">
        <f>+'spend by department and outcome'!D38+'spend by department and outcome'!D82</f>
        <v>0</v>
      </c>
      <c r="C39" s="119">
        <f>+'spend by department and outcome'!E38+'spend by department and outcome'!E82</f>
        <v>0</v>
      </c>
      <c r="D39" s="119">
        <f>+'spend by department and outcome'!F38+'spend by department and outcome'!F82</f>
        <v>30000000</v>
      </c>
      <c r="E39" s="119">
        <f>+'spend by department and outcome'!G38+'spend by department and outcome'!G82</f>
        <v>21191979</v>
      </c>
      <c r="F39" s="119">
        <f>+'spend by department and outcome'!H38+'spend by department and outcome'!H82</f>
        <v>0</v>
      </c>
      <c r="G39" s="119">
        <f>+'spend by department and outcome'!I38+'spend by department and outcome'!I82</f>
        <v>0</v>
      </c>
      <c r="H39" s="119">
        <f>+'spend by department and outcome'!J38+'spend by department and outcome'!J82</f>
        <v>13905053</v>
      </c>
      <c r="I39" s="119">
        <f>+'spend by department and outcome'!K38+'spend by department and outcome'!K82</f>
        <v>0</v>
      </c>
      <c r="J39" s="119">
        <f>+'spend by department and outcome'!L38+'spend by department and outcome'!L82</f>
        <v>0</v>
      </c>
      <c r="K39" s="119">
        <f>+'spend by department and outcome'!M38+'spend by department and outcome'!M82</f>
        <v>0</v>
      </c>
      <c r="L39" s="119">
        <f>+'spend by department and outcome'!N38+'spend by department and outcome'!N82</f>
        <v>3135740</v>
      </c>
      <c r="M39" s="119">
        <f>+'spend by department and outcome'!O38+'spend by department and outcome'!O82</f>
        <v>0</v>
      </c>
      <c r="N39" s="120">
        <f>SUM(B39:M39)</f>
        <v>68232772</v>
      </c>
    </row>
    <row r="40" spans="1:14" s="128" customFormat="1">
      <c r="A40" s="125"/>
      <c r="B40" s="126"/>
      <c r="C40" s="126"/>
      <c r="D40" s="126"/>
      <c r="E40" s="126"/>
      <c r="F40" s="126"/>
      <c r="G40" s="126"/>
      <c r="H40" s="126"/>
      <c r="I40" s="126"/>
      <c r="J40" s="126"/>
      <c r="K40" s="126"/>
      <c r="L40" s="126"/>
      <c r="M40" s="126"/>
      <c r="N40" s="127"/>
    </row>
    <row r="41" spans="1:14" s="118" customFormat="1" ht="32.25" thickBot="1">
      <c r="A41" s="129" t="s">
        <v>239</v>
      </c>
      <c r="B41" s="130">
        <f>SUM(B5:B40)</f>
        <v>9349606</v>
      </c>
      <c r="C41" s="130">
        <f t="shared" ref="C41:N41" si="0">SUM(C5:C40)</f>
        <v>24945448</v>
      </c>
      <c r="D41" s="130">
        <f t="shared" si="0"/>
        <v>30000000</v>
      </c>
      <c r="E41" s="130">
        <f>SUM(E5:E40)</f>
        <v>110193165</v>
      </c>
      <c r="F41" s="130">
        <f>SUM(F5:F40)</f>
        <v>21829300</v>
      </c>
      <c r="G41" s="130">
        <f>SUM(G5:G40)</f>
        <v>2950559</v>
      </c>
      <c r="H41" s="130">
        <f t="shared" ref="H41:I41" si="1">SUM(H5:H40)</f>
        <v>35320122</v>
      </c>
      <c r="I41" s="130">
        <f t="shared" si="1"/>
        <v>8730000</v>
      </c>
      <c r="J41" s="130">
        <f t="shared" ref="J41" si="2">SUM(J5:J40)</f>
        <v>6450299</v>
      </c>
      <c r="K41" s="130">
        <f t="shared" ref="K41" si="3">SUM(K5:K40)</f>
        <v>21747542</v>
      </c>
      <c r="L41" s="130">
        <f t="shared" si="0"/>
        <v>109175943</v>
      </c>
      <c r="M41" s="130">
        <f t="shared" si="0"/>
        <v>8981036</v>
      </c>
      <c r="N41" s="131">
        <f t="shared" si="0"/>
        <v>389673020</v>
      </c>
    </row>
    <row r="42" spans="1:14">
      <c r="A42" s="7" t="s">
        <v>486</v>
      </c>
    </row>
  </sheetData>
  <mergeCells count="1">
    <mergeCell ref="A2:N2"/>
  </mergeCells>
  <printOptions horizontalCentered="1"/>
  <pageMargins left="0" right="0" top="0.75" bottom="0.75" header="0.3" footer="0.3"/>
  <pageSetup scale="64" fitToHeight="0" orientation="landscape" r:id="rId1"/>
  <headerFooter>
    <oddFooter>&amp;L&amp;8&amp;D  &amp;T&amp;C&amp;8&amp;P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95"/>
  <sheetViews>
    <sheetView topLeftCell="D1" zoomScale="90" zoomScaleNormal="90" workbookViewId="0">
      <pane ySplit="2" topLeftCell="A62" activePane="bottomLeft" state="frozen"/>
      <selection pane="bottomLeft" sqref="A1:P95"/>
    </sheetView>
  </sheetViews>
  <sheetFormatPr defaultColWidth="9.140625" defaultRowHeight="15"/>
  <cols>
    <col min="1" max="2" width="1.5703125" style="82" customWidth="1"/>
    <col min="3" max="3" width="35.140625" style="10" bestFit="1" customWidth="1"/>
    <col min="4" max="4" width="14.140625" style="10" customWidth="1"/>
    <col min="5" max="6" width="12.85546875" style="10" customWidth="1"/>
    <col min="7" max="7" width="13.7109375" style="10" customWidth="1"/>
    <col min="8" max="13" width="12.85546875" style="10" customWidth="1"/>
    <col min="14" max="14" width="14.42578125" style="10" customWidth="1"/>
    <col min="15" max="15" width="12.85546875" style="10" customWidth="1"/>
    <col min="16" max="16" width="14.42578125" style="10" customWidth="1"/>
    <col min="17" max="17" width="13.140625" style="168" customWidth="1"/>
    <col min="18" max="18" width="11.28515625" style="167" bestFit="1" customWidth="1"/>
    <col min="19" max="16384" width="9.140625" style="10"/>
  </cols>
  <sheetData>
    <row r="1" spans="1:18" s="93" customFormat="1" ht="18.75">
      <c r="A1" s="300" t="s">
        <v>204</v>
      </c>
      <c r="B1" s="301"/>
      <c r="C1" s="301"/>
      <c r="D1" s="301"/>
      <c r="E1" s="301"/>
      <c r="F1" s="301"/>
      <c r="G1" s="301"/>
      <c r="H1" s="301"/>
      <c r="I1" s="301"/>
      <c r="J1" s="301"/>
      <c r="K1" s="301"/>
      <c r="L1" s="301"/>
      <c r="M1" s="301"/>
      <c r="N1" s="301"/>
      <c r="O1" s="301"/>
      <c r="P1" s="302"/>
      <c r="Q1" s="166"/>
      <c r="R1" s="167"/>
    </row>
    <row r="2" spans="1:18" s="93" customFormat="1" ht="30.75" thickBot="1">
      <c r="A2" s="303" t="str">
        <f>+'overall spend by department'!A3</f>
        <v>Cumulative Expenditures through 
June 30, 2019</v>
      </c>
      <c r="B2" s="304"/>
      <c r="C2" s="304"/>
      <c r="D2" s="94" t="s">
        <v>187</v>
      </c>
      <c r="E2" s="94" t="s">
        <v>188</v>
      </c>
      <c r="F2" s="94" t="s">
        <v>205</v>
      </c>
      <c r="G2" s="94" t="s">
        <v>424</v>
      </c>
      <c r="H2" s="94" t="s">
        <v>425</v>
      </c>
      <c r="I2" s="94" t="s">
        <v>506</v>
      </c>
      <c r="J2" s="94" t="s">
        <v>647</v>
      </c>
      <c r="K2" s="94" t="s">
        <v>649</v>
      </c>
      <c r="L2" s="94" t="s">
        <v>866</v>
      </c>
      <c r="M2" s="94" t="s">
        <v>743</v>
      </c>
      <c r="N2" s="94" t="s">
        <v>206</v>
      </c>
      <c r="O2" s="94" t="s">
        <v>174</v>
      </c>
      <c r="P2" s="95" t="s">
        <v>221</v>
      </c>
      <c r="Q2" s="166"/>
      <c r="R2" s="167"/>
    </row>
    <row r="3" spans="1:18" s="53" customFormat="1" ht="12" customHeight="1">
      <c r="A3" s="96"/>
      <c r="B3" s="97"/>
      <c r="C3" s="97"/>
      <c r="D3" s="98"/>
      <c r="E3" s="98"/>
      <c r="F3" s="98"/>
      <c r="G3" s="98"/>
      <c r="H3" s="98"/>
      <c r="I3" s="98"/>
      <c r="J3" s="98"/>
      <c r="K3" s="98"/>
      <c r="L3" s="98"/>
      <c r="M3" s="98"/>
      <c r="N3" s="98"/>
      <c r="O3" s="98"/>
      <c r="P3" s="99"/>
      <c r="Q3" s="167"/>
      <c r="R3" s="167"/>
    </row>
    <row r="4" spans="1:18" ht="15" customHeight="1">
      <c r="A4" s="85"/>
      <c r="B4" s="86" t="s">
        <v>182</v>
      </c>
      <c r="C4" s="86"/>
      <c r="D4" s="87"/>
      <c r="E4" s="87"/>
      <c r="F4" s="87"/>
      <c r="G4" s="87"/>
      <c r="H4" s="87"/>
      <c r="I4" s="87"/>
      <c r="J4" s="87"/>
      <c r="K4" s="87"/>
      <c r="L4" s="87"/>
      <c r="M4" s="87"/>
      <c r="N4" s="87"/>
      <c r="O4" s="87"/>
      <c r="P4" s="88"/>
    </row>
    <row r="5" spans="1:18" s="53" customFormat="1" ht="12" customHeight="1">
      <c r="A5" s="100"/>
      <c r="B5" s="101"/>
      <c r="C5" s="101"/>
      <c r="D5" s="102"/>
      <c r="E5" s="102"/>
      <c r="F5" s="102"/>
      <c r="G5" s="102"/>
      <c r="H5" s="102"/>
      <c r="I5" s="102"/>
      <c r="J5" s="102"/>
      <c r="K5" s="102"/>
      <c r="L5" s="102"/>
      <c r="M5" s="102"/>
      <c r="N5" s="102"/>
      <c r="O5" s="102"/>
      <c r="P5" s="103"/>
      <c r="Q5" s="167"/>
      <c r="R5" s="167"/>
    </row>
    <row r="6" spans="1:18" ht="15" customHeight="1">
      <c r="A6" s="89"/>
      <c r="B6" s="90"/>
      <c r="C6" s="90" t="s">
        <v>190</v>
      </c>
      <c r="D6" s="91"/>
      <c r="E6" s="91"/>
      <c r="F6" s="91"/>
      <c r="G6" s="91"/>
      <c r="H6" s="91"/>
      <c r="I6" s="91"/>
      <c r="J6" s="91"/>
      <c r="K6" s="91"/>
      <c r="L6" s="91"/>
      <c r="M6" s="91"/>
      <c r="N6" s="91">
        <v>464917</v>
      </c>
      <c r="O6" s="91"/>
      <c r="P6" s="92">
        <f>SUM(D6:O6)</f>
        <v>464917</v>
      </c>
      <c r="R6" s="171"/>
    </row>
    <row r="7" spans="1:18" s="53" customFormat="1" ht="12" customHeight="1">
      <c r="A7" s="104"/>
      <c r="B7" s="51"/>
      <c r="C7" s="51"/>
      <c r="D7" s="105"/>
      <c r="E7" s="105"/>
      <c r="F7" s="105"/>
      <c r="G7" s="105"/>
      <c r="H7" s="105"/>
      <c r="I7" s="105"/>
      <c r="J7" s="105"/>
      <c r="K7" s="105"/>
      <c r="L7" s="105"/>
      <c r="M7" s="105"/>
      <c r="N7" s="105"/>
      <c r="O7" s="105"/>
      <c r="P7" s="106"/>
      <c r="Q7" s="167"/>
      <c r="R7" s="167"/>
    </row>
    <row r="8" spans="1:18" ht="15" customHeight="1">
      <c r="A8" s="89"/>
      <c r="B8" s="90"/>
      <c r="C8" s="90" t="s">
        <v>426</v>
      </c>
      <c r="D8" s="91"/>
      <c r="E8" s="91"/>
      <c r="F8" s="91"/>
      <c r="G8" s="91">
        <v>0</v>
      </c>
      <c r="H8" s="91"/>
      <c r="I8" s="91"/>
      <c r="J8" s="91"/>
      <c r="K8" s="91"/>
      <c r="L8" s="91"/>
      <c r="M8" s="91"/>
      <c r="N8" s="91"/>
      <c r="O8" s="91"/>
      <c r="P8" s="92">
        <f>SUM(D8:O8)</f>
        <v>0</v>
      </c>
    </row>
    <row r="9" spans="1:18" s="53" customFormat="1" ht="12" customHeight="1">
      <c r="A9" s="104"/>
      <c r="B9" s="51"/>
      <c r="C9" s="51"/>
      <c r="D9" s="105"/>
      <c r="E9" s="105"/>
      <c r="F9" s="105"/>
      <c r="G9" s="105"/>
      <c r="H9" s="105"/>
      <c r="I9" s="105"/>
      <c r="J9" s="105"/>
      <c r="K9" s="105"/>
      <c r="L9" s="105"/>
      <c r="M9" s="105"/>
      <c r="N9" s="105"/>
      <c r="O9" s="105"/>
      <c r="P9" s="106"/>
      <c r="Q9" s="167"/>
      <c r="R9" s="167"/>
    </row>
    <row r="10" spans="1:18" s="82" customFormat="1" ht="15" customHeight="1">
      <c r="A10" s="89"/>
      <c r="B10" s="90"/>
      <c r="C10" s="90" t="s">
        <v>159</v>
      </c>
      <c r="D10" s="91"/>
      <c r="E10" s="91"/>
      <c r="F10" s="91"/>
      <c r="G10" s="91"/>
      <c r="H10" s="91"/>
      <c r="I10" s="91"/>
      <c r="J10" s="91"/>
      <c r="K10" s="91"/>
      <c r="L10" s="91"/>
      <c r="M10" s="91"/>
      <c r="N10" s="91">
        <v>19215</v>
      </c>
      <c r="O10" s="91"/>
      <c r="P10" s="92">
        <f>SUM(D10:O10)</f>
        <v>19215</v>
      </c>
      <c r="Q10" s="169"/>
      <c r="R10" s="171"/>
    </row>
    <row r="11" spans="1:18" s="53" customFormat="1" ht="12" customHeight="1">
      <c r="A11" s="104"/>
      <c r="B11" s="51"/>
      <c r="C11" s="51"/>
      <c r="D11" s="105"/>
      <c r="E11" s="105"/>
      <c r="F11" s="105"/>
      <c r="G11" s="105"/>
      <c r="H11" s="105"/>
      <c r="I11" s="105"/>
      <c r="J11" s="105"/>
      <c r="K11" s="105"/>
      <c r="L11" s="105"/>
      <c r="M11" s="105"/>
      <c r="N11" s="105"/>
      <c r="O11" s="105"/>
      <c r="P11" s="106"/>
      <c r="Q11" s="167"/>
      <c r="R11" s="167"/>
    </row>
    <row r="12" spans="1:18" s="82" customFormat="1" ht="15" customHeight="1">
      <c r="A12" s="89"/>
      <c r="B12" s="90"/>
      <c r="C12" s="90" t="s">
        <v>160</v>
      </c>
      <c r="D12" s="91"/>
      <c r="E12" s="91"/>
      <c r="F12" s="91"/>
      <c r="G12" s="91"/>
      <c r="H12" s="91"/>
      <c r="I12" s="91"/>
      <c r="J12" s="91"/>
      <c r="K12" s="91"/>
      <c r="L12" s="91"/>
      <c r="M12" s="91"/>
      <c r="N12" s="91">
        <v>1731680</v>
      </c>
      <c r="O12" s="91"/>
      <c r="P12" s="92">
        <f>SUM(D12:O12)</f>
        <v>1731680</v>
      </c>
      <c r="Q12" s="169"/>
      <c r="R12" s="171"/>
    </row>
    <row r="13" spans="1:18" s="53" customFormat="1" ht="12" customHeight="1">
      <c r="A13" s="104"/>
      <c r="B13" s="51"/>
      <c r="C13" s="51"/>
      <c r="D13" s="105"/>
      <c r="E13" s="105"/>
      <c r="F13" s="105"/>
      <c r="G13" s="105"/>
      <c r="H13" s="105"/>
      <c r="I13" s="105"/>
      <c r="J13" s="105"/>
      <c r="K13" s="105"/>
      <c r="L13" s="105"/>
      <c r="M13" s="105"/>
      <c r="N13" s="105"/>
      <c r="O13" s="105"/>
      <c r="P13" s="106"/>
      <c r="Q13" s="167"/>
      <c r="R13" s="167"/>
    </row>
    <row r="14" spans="1:18" ht="15" customHeight="1">
      <c r="A14" s="89"/>
      <c r="B14" s="90"/>
      <c r="C14" s="90" t="s">
        <v>192</v>
      </c>
      <c r="D14" s="91"/>
      <c r="E14" s="91"/>
      <c r="F14" s="91"/>
      <c r="G14" s="91"/>
      <c r="H14" s="91"/>
      <c r="I14" s="91"/>
      <c r="J14" s="91"/>
      <c r="K14" s="91"/>
      <c r="L14" s="91"/>
      <c r="M14" s="91"/>
      <c r="N14" s="91"/>
      <c r="O14" s="91"/>
      <c r="P14" s="92">
        <f>SUM(D14:O14)</f>
        <v>0</v>
      </c>
    </row>
    <row r="15" spans="1:18" s="53" customFormat="1" ht="12" customHeight="1">
      <c r="A15" s="104"/>
      <c r="B15" s="51"/>
      <c r="C15" s="51"/>
      <c r="D15" s="105"/>
      <c r="E15" s="105"/>
      <c r="F15" s="105"/>
      <c r="G15" s="105"/>
      <c r="H15" s="105"/>
      <c r="I15" s="105"/>
      <c r="J15" s="105"/>
      <c r="K15" s="105"/>
      <c r="L15" s="105"/>
      <c r="M15" s="105"/>
      <c r="N15" s="105"/>
      <c r="O15" s="105"/>
      <c r="P15" s="106"/>
      <c r="Q15" s="167"/>
      <c r="R15" s="167"/>
    </row>
    <row r="16" spans="1:18" ht="15" customHeight="1">
      <c r="A16" s="89"/>
      <c r="B16" s="90"/>
      <c r="C16" s="90" t="s">
        <v>922</v>
      </c>
      <c r="D16" s="91">
        <v>7300000</v>
      </c>
      <c r="E16" s="91">
        <v>5786500</v>
      </c>
      <c r="F16" s="91"/>
      <c r="G16" s="91">
        <v>38750100</v>
      </c>
      <c r="H16" s="91"/>
      <c r="I16" s="91">
        <v>2473725</v>
      </c>
      <c r="J16" s="91">
        <v>4110897</v>
      </c>
      <c r="K16" s="91"/>
      <c r="L16" s="91"/>
      <c r="M16" s="91">
        <v>20000000</v>
      </c>
      <c r="N16" s="91">
        <v>4381419</v>
      </c>
      <c r="O16" s="91"/>
      <c r="P16" s="92">
        <f>SUM(D16:O16)</f>
        <v>82802641</v>
      </c>
      <c r="R16" s="171"/>
    </row>
    <row r="17" spans="1:18" s="53" customFormat="1" ht="12" customHeight="1">
      <c r="A17" s="104"/>
      <c r="B17" s="51"/>
      <c r="C17" s="51"/>
      <c r="D17" s="105"/>
      <c r="E17" s="105"/>
      <c r="F17" s="105"/>
      <c r="G17" s="105"/>
      <c r="H17" s="105"/>
      <c r="I17" s="105"/>
      <c r="J17" s="105"/>
      <c r="K17" s="105"/>
      <c r="L17" s="105"/>
      <c r="M17" s="105"/>
      <c r="N17" s="105"/>
      <c r="O17" s="105"/>
      <c r="P17" s="106"/>
      <c r="Q17" s="167"/>
      <c r="R17" s="167"/>
    </row>
    <row r="18" spans="1:18" ht="15" customHeight="1">
      <c r="A18" s="89"/>
      <c r="B18" s="90"/>
      <c r="C18" s="90" t="s">
        <v>193</v>
      </c>
      <c r="D18" s="91">
        <v>1000000</v>
      </c>
      <c r="E18" s="91">
        <v>4625884</v>
      </c>
      <c r="F18" s="91"/>
      <c r="G18" s="91">
        <v>146118</v>
      </c>
      <c r="H18" s="91"/>
      <c r="I18" s="91"/>
      <c r="J18" s="91">
        <v>2819189</v>
      </c>
      <c r="K18" s="91"/>
      <c r="L18" s="91"/>
      <c r="M18" s="91">
        <v>0</v>
      </c>
      <c r="N18" s="91">
        <f>1137055+1000806</f>
        <v>2137861</v>
      </c>
      <c r="O18" s="91"/>
      <c r="P18" s="92">
        <f>SUM(D18:O18)</f>
        <v>10729052</v>
      </c>
      <c r="R18" s="171"/>
    </row>
    <row r="19" spans="1:18" s="53" customFormat="1" ht="12" customHeight="1">
      <c r="A19" s="104"/>
      <c r="B19" s="51"/>
      <c r="C19" s="51"/>
      <c r="D19" s="105"/>
      <c r="E19" s="105"/>
      <c r="F19" s="105"/>
      <c r="G19" s="105"/>
      <c r="H19" s="105"/>
      <c r="I19" s="105"/>
      <c r="J19" s="105"/>
      <c r="K19" s="105"/>
      <c r="L19" s="105"/>
      <c r="M19" s="105"/>
      <c r="N19" s="105"/>
      <c r="O19" s="105"/>
      <c r="P19" s="106"/>
      <c r="Q19" s="167"/>
      <c r="R19" s="167"/>
    </row>
    <row r="20" spans="1:18" s="82" customFormat="1" ht="15" customHeight="1">
      <c r="A20" s="89"/>
      <c r="B20" s="90"/>
      <c r="C20" s="90" t="s">
        <v>194</v>
      </c>
      <c r="D20" s="91"/>
      <c r="E20" s="91"/>
      <c r="F20" s="91"/>
      <c r="G20" s="91"/>
      <c r="H20" s="91"/>
      <c r="I20" s="91"/>
      <c r="J20" s="91"/>
      <c r="K20" s="91"/>
      <c r="L20" s="91"/>
      <c r="M20" s="91"/>
      <c r="N20" s="91"/>
      <c r="O20" s="91"/>
      <c r="P20" s="92">
        <f>SUM(D20:O20)</f>
        <v>0</v>
      </c>
      <c r="Q20" s="169"/>
      <c r="R20" s="167"/>
    </row>
    <row r="21" spans="1:18" s="53" customFormat="1" ht="12" customHeight="1">
      <c r="A21" s="104"/>
      <c r="B21" s="51"/>
      <c r="C21" s="110"/>
      <c r="D21" s="105"/>
      <c r="E21" s="105"/>
      <c r="F21" s="105"/>
      <c r="G21" s="105"/>
      <c r="H21" s="105"/>
      <c r="I21" s="105"/>
      <c r="J21" s="105"/>
      <c r="K21" s="105"/>
      <c r="L21" s="105"/>
      <c r="M21" s="105"/>
      <c r="N21" s="105"/>
      <c r="O21" s="105"/>
      <c r="P21" s="106"/>
      <c r="Q21" s="167"/>
      <c r="R21" s="167"/>
    </row>
    <row r="22" spans="1:18" s="82" customFormat="1" ht="15" customHeight="1">
      <c r="A22" s="89"/>
      <c r="B22" s="90"/>
      <c r="C22" s="90" t="s">
        <v>195</v>
      </c>
      <c r="D22" s="91">
        <v>199606</v>
      </c>
      <c r="E22" s="91">
        <v>1659999</v>
      </c>
      <c r="F22" s="91"/>
      <c r="G22" s="91"/>
      <c r="H22" s="91"/>
      <c r="I22" s="91"/>
      <c r="J22" s="91"/>
      <c r="K22" s="91"/>
      <c r="L22" s="91"/>
      <c r="M22" s="91"/>
      <c r="N22" s="91"/>
      <c r="O22" s="91"/>
      <c r="P22" s="92">
        <f>SUM(D22:O22)</f>
        <v>1859605</v>
      </c>
      <c r="Q22" s="169"/>
      <c r="R22" s="171"/>
    </row>
    <row r="23" spans="1:18" s="53" customFormat="1" ht="12" customHeight="1">
      <c r="A23" s="104"/>
      <c r="B23" s="51"/>
      <c r="C23" s="51"/>
      <c r="D23" s="105"/>
      <c r="E23" s="105"/>
      <c r="F23" s="105"/>
      <c r="G23" s="105"/>
      <c r="H23" s="105"/>
      <c r="I23" s="105"/>
      <c r="J23" s="105"/>
      <c r="K23" s="105"/>
      <c r="L23" s="105"/>
      <c r="M23" s="105"/>
      <c r="N23" s="105"/>
      <c r="O23" s="105"/>
      <c r="P23" s="106"/>
      <c r="Q23" s="167"/>
      <c r="R23" s="167"/>
    </row>
    <row r="24" spans="1:18" ht="15" customHeight="1">
      <c r="A24" s="89"/>
      <c r="B24" s="90"/>
      <c r="C24" s="90" t="s">
        <v>196</v>
      </c>
      <c r="D24" s="91"/>
      <c r="E24" s="91">
        <v>2000000</v>
      </c>
      <c r="F24" s="91"/>
      <c r="G24" s="91"/>
      <c r="H24" s="91"/>
      <c r="I24" s="91">
        <v>476834</v>
      </c>
      <c r="J24" s="91"/>
      <c r="K24" s="91"/>
      <c r="L24" s="91"/>
      <c r="M24" s="91"/>
      <c r="N24" s="91">
        <v>65111</v>
      </c>
      <c r="O24" s="91"/>
      <c r="P24" s="92">
        <f>SUM(D24:O24)</f>
        <v>2541945</v>
      </c>
      <c r="R24" s="171"/>
    </row>
    <row r="25" spans="1:18" s="53" customFormat="1" ht="12" customHeight="1">
      <c r="A25" s="104"/>
      <c r="B25" s="51"/>
      <c r="C25" s="51"/>
      <c r="D25" s="105"/>
      <c r="E25" s="105"/>
      <c r="F25" s="105"/>
      <c r="G25" s="105"/>
      <c r="H25" s="105"/>
      <c r="I25" s="105"/>
      <c r="J25" s="105"/>
      <c r="K25" s="105"/>
      <c r="L25" s="105"/>
      <c r="M25" s="105"/>
      <c r="N25" s="105"/>
      <c r="O25" s="105"/>
      <c r="P25" s="106"/>
      <c r="Q25" s="167"/>
      <c r="R25" s="167"/>
    </row>
    <row r="26" spans="1:18" ht="15" customHeight="1">
      <c r="A26" s="89"/>
      <c r="B26" s="90"/>
      <c r="C26" s="90" t="s">
        <v>197</v>
      </c>
      <c r="D26" s="91"/>
      <c r="E26" s="91"/>
      <c r="F26" s="91"/>
      <c r="G26" s="91">
        <v>250000</v>
      </c>
      <c r="H26" s="91"/>
      <c r="I26" s="91"/>
      <c r="J26" s="91"/>
      <c r="K26" s="91"/>
      <c r="L26" s="91"/>
      <c r="M26" s="91"/>
      <c r="N26" s="91">
        <v>3389</v>
      </c>
      <c r="O26" s="91"/>
      <c r="P26" s="92">
        <f>SUM(D26:O26)</f>
        <v>253389</v>
      </c>
      <c r="R26" s="171"/>
    </row>
    <row r="27" spans="1:18" s="53" customFormat="1" ht="12" customHeight="1">
      <c r="A27" s="104"/>
      <c r="B27" s="51"/>
      <c r="C27" s="51"/>
      <c r="D27" s="105"/>
      <c r="E27" s="105"/>
      <c r="F27" s="105"/>
      <c r="G27" s="105"/>
      <c r="H27" s="105"/>
      <c r="I27" s="105"/>
      <c r="J27" s="105"/>
      <c r="K27" s="105"/>
      <c r="L27" s="105"/>
      <c r="M27" s="105"/>
      <c r="N27" s="105"/>
      <c r="O27" s="105"/>
      <c r="P27" s="106"/>
      <c r="Q27" s="167"/>
      <c r="R27" s="167"/>
    </row>
    <row r="28" spans="1:18" ht="15" customHeight="1">
      <c r="A28" s="89"/>
      <c r="B28" s="90"/>
      <c r="C28" s="90" t="s">
        <v>198</v>
      </c>
      <c r="D28" s="91"/>
      <c r="E28" s="91"/>
      <c r="F28" s="91"/>
      <c r="G28" s="91"/>
      <c r="H28" s="91"/>
      <c r="I28" s="91"/>
      <c r="J28" s="91"/>
      <c r="K28" s="91"/>
      <c r="L28" s="91"/>
      <c r="M28" s="91"/>
      <c r="N28" s="91">
        <v>3131</v>
      </c>
      <c r="O28" s="91"/>
      <c r="P28" s="92">
        <f>SUM(D28:O28)</f>
        <v>3131</v>
      </c>
      <c r="R28" s="171"/>
    </row>
    <row r="29" spans="1:18" s="53" customFormat="1" ht="12" customHeight="1">
      <c r="A29" s="104"/>
      <c r="B29" s="51"/>
      <c r="C29" s="51"/>
      <c r="D29" s="105"/>
      <c r="E29" s="105"/>
      <c r="F29" s="105"/>
      <c r="G29" s="105"/>
      <c r="H29" s="105"/>
      <c r="I29" s="105"/>
      <c r="J29" s="105"/>
      <c r="K29" s="105"/>
      <c r="L29" s="105"/>
      <c r="M29" s="105"/>
      <c r="N29" s="105"/>
      <c r="O29" s="105"/>
      <c r="P29" s="106"/>
      <c r="Q29" s="167"/>
      <c r="R29" s="167"/>
    </row>
    <row r="30" spans="1:18" s="82" customFormat="1" ht="15" customHeight="1">
      <c r="A30" s="89"/>
      <c r="B30" s="90"/>
      <c r="C30" s="90" t="s">
        <v>199</v>
      </c>
      <c r="D30" s="91"/>
      <c r="E30" s="91">
        <v>9043</v>
      </c>
      <c r="F30" s="91"/>
      <c r="G30" s="91">
        <v>6000000</v>
      </c>
      <c r="H30" s="91"/>
      <c r="I30" s="91"/>
      <c r="J30" s="91">
        <v>2508100</v>
      </c>
      <c r="K30" s="91"/>
      <c r="L30" s="91"/>
      <c r="M30" s="91"/>
      <c r="N30" s="91">
        <f>11372918-792870-2487747-755149-3560776-23584-694096</f>
        <v>3058696</v>
      </c>
      <c r="O30" s="91"/>
      <c r="P30" s="92">
        <f>SUM(D30:O30)</f>
        <v>11575839</v>
      </c>
      <c r="Q30" s="169"/>
      <c r="R30" s="171"/>
    </row>
    <row r="31" spans="1:18" s="53" customFormat="1" ht="12" customHeight="1">
      <c r="A31" s="104"/>
      <c r="B31" s="51"/>
      <c r="C31" s="51"/>
      <c r="D31" s="105"/>
      <c r="E31" s="105"/>
      <c r="F31" s="105"/>
      <c r="G31" s="105"/>
      <c r="H31" s="105"/>
      <c r="I31" s="105"/>
      <c r="J31" s="105"/>
      <c r="K31" s="105"/>
      <c r="L31" s="105"/>
      <c r="M31" s="105"/>
      <c r="N31" s="105"/>
      <c r="O31" s="105"/>
      <c r="P31" s="106"/>
      <c r="Q31" s="167"/>
      <c r="R31" s="167"/>
    </row>
    <row r="32" spans="1:18" ht="15" customHeight="1">
      <c r="A32" s="89"/>
      <c r="B32" s="90"/>
      <c r="C32" s="90" t="s">
        <v>200</v>
      </c>
      <c r="D32" s="91"/>
      <c r="E32" s="91"/>
      <c r="F32" s="91"/>
      <c r="G32" s="91"/>
      <c r="H32" s="91"/>
      <c r="I32" s="91"/>
      <c r="J32" s="91"/>
      <c r="K32" s="91"/>
      <c r="L32" s="91"/>
      <c r="M32" s="91"/>
      <c r="N32" s="91"/>
      <c r="O32" s="91">
        <v>40227</v>
      </c>
      <c r="P32" s="92">
        <f>SUM(D32:O32)</f>
        <v>40227</v>
      </c>
      <c r="R32" s="171"/>
    </row>
    <row r="33" spans="1:18" s="53" customFormat="1" ht="12" customHeight="1">
      <c r="A33" s="104"/>
      <c r="B33" s="51"/>
      <c r="C33" s="51"/>
      <c r="D33" s="105"/>
      <c r="E33" s="105"/>
      <c r="F33" s="105"/>
      <c r="G33" s="105"/>
      <c r="H33" s="105"/>
      <c r="I33" s="105"/>
      <c r="J33" s="105"/>
      <c r="K33" s="105"/>
      <c r="L33" s="105"/>
      <c r="M33" s="105"/>
      <c r="N33" s="105"/>
      <c r="O33" s="105"/>
      <c r="P33" s="106"/>
      <c r="Q33" s="167"/>
      <c r="R33" s="167"/>
    </row>
    <row r="34" spans="1:18" ht="15" customHeight="1">
      <c r="A34" s="89"/>
      <c r="B34" s="90"/>
      <c r="C34" s="90" t="s">
        <v>201</v>
      </c>
      <c r="D34" s="91"/>
      <c r="E34" s="91"/>
      <c r="F34" s="91"/>
      <c r="G34" s="91"/>
      <c r="H34" s="91"/>
      <c r="I34" s="91"/>
      <c r="J34" s="91">
        <v>500000</v>
      </c>
      <c r="K34" s="91"/>
      <c r="L34" s="91"/>
      <c r="M34" s="91"/>
      <c r="N34" s="91">
        <v>5173159</v>
      </c>
      <c r="O34" s="91"/>
      <c r="P34" s="92">
        <f>SUM(D34:O34)</f>
        <v>5673159</v>
      </c>
      <c r="R34" s="171"/>
    </row>
    <row r="35" spans="1:18" s="53" customFormat="1" ht="12" customHeight="1">
      <c r="A35" s="104"/>
      <c r="B35" s="51"/>
      <c r="C35" s="51"/>
      <c r="D35" s="105"/>
      <c r="E35" s="105"/>
      <c r="F35" s="105"/>
      <c r="G35" s="105"/>
      <c r="H35" s="105"/>
      <c r="I35" s="105"/>
      <c r="J35" s="105"/>
      <c r="K35" s="105"/>
      <c r="L35" s="105"/>
      <c r="M35" s="105"/>
      <c r="N35" s="105"/>
      <c r="O35" s="105"/>
      <c r="P35" s="106"/>
      <c r="Q35" s="167"/>
      <c r="R35" s="167"/>
    </row>
    <row r="36" spans="1:18" ht="15" customHeight="1">
      <c r="A36" s="89"/>
      <c r="B36" s="90"/>
      <c r="C36" s="90" t="s">
        <v>202</v>
      </c>
      <c r="D36" s="91"/>
      <c r="E36" s="91"/>
      <c r="F36" s="91"/>
      <c r="G36" s="91"/>
      <c r="H36" s="91"/>
      <c r="I36" s="91"/>
      <c r="J36" s="91"/>
      <c r="K36" s="91"/>
      <c r="L36" s="91"/>
      <c r="M36" s="91"/>
      <c r="N36" s="91">
        <v>694135</v>
      </c>
      <c r="O36" s="91"/>
      <c r="P36" s="92">
        <f>SUM(D36:O36)</f>
        <v>694135</v>
      </c>
      <c r="R36" s="171"/>
    </row>
    <row r="37" spans="1:18" s="53" customFormat="1" ht="12" customHeight="1">
      <c r="A37" s="104"/>
      <c r="B37" s="51"/>
      <c r="C37" s="51"/>
      <c r="D37" s="105"/>
      <c r="E37" s="105"/>
      <c r="F37" s="105"/>
      <c r="G37" s="105"/>
      <c r="H37" s="105"/>
      <c r="I37" s="105"/>
      <c r="J37" s="105"/>
      <c r="K37" s="105"/>
      <c r="L37" s="105"/>
      <c r="M37" s="105"/>
      <c r="N37" s="105"/>
      <c r="O37" s="105"/>
      <c r="P37" s="106"/>
      <c r="Q37" s="167"/>
      <c r="R37" s="167"/>
    </row>
    <row r="38" spans="1:18" ht="15" customHeight="1">
      <c r="A38" s="89"/>
      <c r="B38" s="90"/>
      <c r="C38" s="90" t="s">
        <v>203</v>
      </c>
      <c r="D38" s="91"/>
      <c r="E38" s="91"/>
      <c r="F38" s="91"/>
      <c r="G38" s="91">
        <v>9454135</v>
      </c>
      <c r="H38" s="91"/>
      <c r="I38" s="91"/>
      <c r="J38" s="91">
        <v>13905053</v>
      </c>
      <c r="K38" s="91"/>
      <c r="L38" s="91"/>
      <c r="M38" s="91"/>
      <c r="N38" s="91">
        <f>3541+393604+505131+2000000+233464</f>
        <v>3135740</v>
      </c>
      <c r="O38" s="91"/>
      <c r="P38" s="92">
        <f>SUM(D38:O38)</f>
        <v>26494928</v>
      </c>
      <c r="R38" s="171"/>
    </row>
    <row r="39" spans="1:18" s="53" customFormat="1" ht="12" customHeight="1">
      <c r="A39" s="104"/>
      <c r="B39" s="51"/>
      <c r="C39" s="97"/>
      <c r="D39" s="105"/>
      <c r="E39" s="105"/>
      <c r="F39" s="105"/>
      <c r="G39" s="105"/>
      <c r="H39" s="105"/>
      <c r="I39" s="105"/>
      <c r="J39" s="105"/>
      <c r="K39" s="105"/>
      <c r="L39" s="105"/>
      <c r="M39" s="105"/>
      <c r="N39" s="105"/>
      <c r="O39" s="105"/>
      <c r="P39" s="106"/>
      <c r="Q39" s="167"/>
      <c r="R39" s="167"/>
    </row>
    <row r="40" spans="1:18" ht="15" customHeight="1">
      <c r="A40" s="111" t="s">
        <v>207</v>
      </c>
      <c r="B40" s="107" t="s">
        <v>208</v>
      </c>
      <c r="C40" s="107"/>
      <c r="D40" s="108">
        <f t="shared" ref="D40:P40" si="0">SUM(D6:D38)</f>
        <v>8499606</v>
      </c>
      <c r="E40" s="108">
        <f t="shared" si="0"/>
        <v>14081426</v>
      </c>
      <c r="F40" s="108">
        <f t="shared" si="0"/>
        <v>0</v>
      </c>
      <c r="G40" s="108">
        <f t="shared" si="0"/>
        <v>54600353</v>
      </c>
      <c r="H40" s="108">
        <f t="shared" si="0"/>
        <v>0</v>
      </c>
      <c r="I40" s="108">
        <f t="shared" si="0"/>
        <v>2950559</v>
      </c>
      <c r="J40" s="108">
        <f t="shared" si="0"/>
        <v>23843239</v>
      </c>
      <c r="K40" s="108">
        <f t="shared" si="0"/>
        <v>0</v>
      </c>
      <c r="L40" s="108">
        <f t="shared" si="0"/>
        <v>0</v>
      </c>
      <c r="M40" s="108">
        <f t="shared" si="0"/>
        <v>20000000</v>
      </c>
      <c r="N40" s="108">
        <f>SUM(N6:N38)</f>
        <v>20868453</v>
      </c>
      <c r="O40" s="108">
        <f t="shared" si="0"/>
        <v>40227</v>
      </c>
      <c r="P40" s="109">
        <f t="shared" si="0"/>
        <v>144883863</v>
      </c>
      <c r="R40" s="171"/>
    </row>
    <row r="41" spans="1:18" s="53" customFormat="1" ht="12" customHeight="1">
      <c r="A41" s="104"/>
      <c r="B41" s="51"/>
      <c r="C41" s="101"/>
      <c r="D41" s="105"/>
      <c r="E41" s="105"/>
      <c r="F41" s="105"/>
      <c r="G41" s="105"/>
      <c r="H41" s="105"/>
      <c r="I41" s="105"/>
      <c r="J41" s="105"/>
      <c r="K41" s="105"/>
      <c r="L41" s="105"/>
      <c r="M41" s="105"/>
      <c r="N41" s="105"/>
      <c r="O41" s="105"/>
      <c r="P41" s="106"/>
      <c r="Q41" s="167"/>
      <c r="R41" s="167"/>
    </row>
    <row r="42" spans="1:18" ht="15" customHeight="1">
      <c r="A42" s="85" t="s">
        <v>183</v>
      </c>
      <c r="B42" s="86"/>
      <c r="C42" s="86"/>
      <c r="D42" s="87"/>
      <c r="E42" s="87"/>
      <c r="F42" s="87"/>
      <c r="G42" s="87"/>
      <c r="H42" s="87"/>
      <c r="I42" s="87"/>
      <c r="J42" s="87"/>
      <c r="K42" s="87"/>
      <c r="L42" s="87"/>
      <c r="M42" s="87"/>
      <c r="N42" s="87"/>
      <c r="O42" s="87"/>
      <c r="P42" s="88"/>
    </row>
    <row r="43" spans="1:18" s="53" customFormat="1" ht="12" customHeight="1">
      <c r="A43" s="100"/>
      <c r="B43" s="101"/>
      <c r="C43" s="101"/>
      <c r="D43" s="102"/>
      <c r="E43" s="102"/>
      <c r="F43" s="102"/>
      <c r="G43" s="102"/>
      <c r="H43" s="102"/>
      <c r="I43" s="102"/>
      <c r="J43" s="102"/>
      <c r="K43" s="102"/>
      <c r="L43" s="102"/>
      <c r="M43" s="102"/>
      <c r="N43" s="102"/>
      <c r="O43" s="102"/>
      <c r="P43" s="103"/>
      <c r="Q43" s="167"/>
      <c r="R43" s="167"/>
    </row>
    <row r="44" spans="1:18" ht="15" customHeight="1">
      <c r="A44" s="89"/>
      <c r="B44" s="90"/>
      <c r="C44" s="90" t="s">
        <v>192</v>
      </c>
      <c r="D44" s="91"/>
      <c r="E44" s="91">
        <v>140000</v>
      </c>
      <c r="F44" s="91"/>
      <c r="G44" s="91">
        <v>9500000</v>
      </c>
      <c r="H44" s="91"/>
      <c r="I44" s="91"/>
      <c r="J44" s="91"/>
      <c r="K44" s="91"/>
      <c r="L44" s="91"/>
      <c r="M44" s="91"/>
      <c r="N44" s="91">
        <f>45289</f>
        <v>45289</v>
      </c>
      <c r="O44" s="91"/>
      <c r="P44" s="92">
        <f>SUM(D44:O44)</f>
        <v>9685289</v>
      </c>
      <c r="R44" s="171"/>
    </row>
    <row r="45" spans="1:18" s="53" customFormat="1" ht="12" customHeight="1">
      <c r="A45" s="104"/>
      <c r="B45" s="51"/>
      <c r="C45" s="51"/>
      <c r="D45" s="105"/>
      <c r="E45" s="105"/>
      <c r="F45" s="105"/>
      <c r="G45" s="105"/>
      <c r="H45" s="105"/>
      <c r="I45" s="105"/>
      <c r="J45" s="105"/>
      <c r="K45" s="105"/>
      <c r="L45" s="105"/>
      <c r="M45" s="105"/>
      <c r="N45" s="105"/>
      <c r="O45" s="105"/>
      <c r="P45" s="106"/>
      <c r="Q45" s="167"/>
      <c r="R45" s="167"/>
    </row>
    <row r="46" spans="1:18" ht="15" customHeight="1">
      <c r="A46" s="89"/>
      <c r="B46" s="90"/>
      <c r="C46" s="90" t="s">
        <v>193</v>
      </c>
      <c r="D46" s="91"/>
      <c r="E46" s="91">
        <v>3374817</v>
      </c>
      <c r="F46" s="91"/>
      <c r="G46" s="91">
        <v>8900806</v>
      </c>
      <c r="H46" s="91"/>
      <c r="I46" s="91"/>
      <c r="J46" s="91">
        <v>2313242</v>
      </c>
      <c r="K46" s="91"/>
      <c r="L46" s="91"/>
      <c r="M46" s="91">
        <v>300000</v>
      </c>
      <c r="N46" s="91">
        <v>55000</v>
      </c>
      <c r="O46" s="91"/>
      <c r="P46" s="92">
        <f>SUM(D46:O46)</f>
        <v>14943865</v>
      </c>
      <c r="R46" s="171"/>
    </row>
    <row r="47" spans="1:18" s="53" customFormat="1" ht="12" customHeight="1">
      <c r="A47" s="104"/>
      <c r="B47" s="51"/>
      <c r="C47" s="51"/>
      <c r="D47" s="105"/>
      <c r="E47" s="105"/>
      <c r="F47" s="105"/>
      <c r="G47" s="105"/>
      <c r="H47" s="105"/>
      <c r="I47" s="105"/>
      <c r="J47" s="105"/>
      <c r="K47" s="105"/>
      <c r="L47" s="105"/>
      <c r="M47" s="105"/>
      <c r="N47" s="105"/>
      <c r="O47" s="105"/>
      <c r="P47" s="106"/>
      <c r="Q47" s="167"/>
      <c r="R47" s="167"/>
    </row>
    <row r="48" spans="1:18" ht="15" customHeight="1">
      <c r="A48" s="89"/>
      <c r="B48" s="90"/>
      <c r="C48" s="90" t="s">
        <v>395</v>
      </c>
      <c r="D48" s="91"/>
      <c r="E48" s="91"/>
      <c r="F48" s="91"/>
      <c r="G48" s="91"/>
      <c r="H48" s="91">
        <v>382500</v>
      </c>
      <c r="I48" s="91"/>
      <c r="J48" s="91"/>
      <c r="K48" s="91">
        <v>1385000</v>
      </c>
      <c r="L48" s="91"/>
      <c r="M48" s="91"/>
      <c r="N48" s="91"/>
      <c r="O48" s="91"/>
      <c r="P48" s="92">
        <f>SUM(D48:O48)</f>
        <v>1767500</v>
      </c>
      <c r="R48" s="171"/>
    </row>
    <row r="49" spans="1:18" s="53" customFormat="1" ht="12" customHeight="1">
      <c r="A49" s="104"/>
      <c r="B49" s="51"/>
      <c r="C49" s="51"/>
      <c r="D49" s="105"/>
      <c r="E49" s="105"/>
      <c r="F49" s="105"/>
      <c r="G49" s="105"/>
      <c r="H49" s="105"/>
      <c r="I49" s="105"/>
      <c r="J49" s="105"/>
      <c r="K49" s="105"/>
      <c r="L49" s="105"/>
      <c r="M49" s="105"/>
      <c r="N49" s="105"/>
      <c r="O49" s="105"/>
      <c r="P49" s="106"/>
      <c r="Q49" s="167"/>
      <c r="R49" s="167"/>
    </row>
    <row r="50" spans="1:18" ht="15" customHeight="1">
      <c r="A50" s="111"/>
      <c r="B50" s="107" t="s">
        <v>209</v>
      </c>
      <c r="C50" s="107"/>
      <c r="D50" s="108">
        <f>SUM(D44:D48)</f>
        <v>0</v>
      </c>
      <c r="E50" s="108">
        <f>SUM(E44:E48)</f>
        <v>3514817</v>
      </c>
      <c r="F50" s="108">
        <f t="shared" ref="F50:P50" si="1">SUM(F44:F48)</f>
        <v>0</v>
      </c>
      <c r="G50" s="108">
        <f t="shared" si="1"/>
        <v>18400806</v>
      </c>
      <c r="H50" s="108">
        <f t="shared" si="1"/>
        <v>382500</v>
      </c>
      <c r="I50" s="108">
        <f t="shared" si="1"/>
        <v>0</v>
      </c>
      <c r="J50" s="108">
        <f t="shared" si="1"/>
        <v>2313242</v>
      </c>
      <c r="K50" s="108">
        <f t="shared" si="1"/>
        <v>1385000</v>
      </c>
      <c r="L50" s="108">
        <f t="shared" si="1"/>
        <v>0</v>
      </c>
      <c r="M50" s="108">
        <f t="shared" si="1"/>
        <v>300000</v>
      </c>
      <c r="N50" s="108">
        <f t="shared" si="1"/>
        <v>100289</v>
      </c>
      <c r="O50" s="108">
        <f t="shared" si="1"/>
        <v>0</v>
      </c>
      <c r="P50" s="109">
        <f t="shared" si="1"/>
        <v>26396654</v>
      </c>
      <c r="R50" s="171"/>
    </row>
    <row r="51" spans="1:18" s="53" customFormat="1" ht="12" customHeight="1">
      <c r="A51" s="104"/>
      <c r="B51" s="51"/>
      <c r="C51" s="101"/>
      <c r="D51" s="105"/>
      <c r="E51" s="105"/>
      <c r="F51" s="105"/>
      <c r="G51" s="105"/>
      <c r="H51" s="105"/>
      <c r="I51" s="105"/>
      <c r="J51" s="105"/>
      <c r="K51" s="105"/>
      <c r="L51" s="105"/>
      <c r="M51" s="105"/>
      <c r="N51" s="105"/>
      <c r="O51" s="105"/>
      <c r="P51" s="106"/>
      <c r="Q51" s="167"/>
      <c r="R51" s="167"/>
    </row>
    <row r="52" spans="1:18" ht="15" customHeight="1">
      <c r="A52" s="85" t="s">
        <v>210</v>
      </c>
      <c r="B52" s="86"/>
      <c r="C52" s="86"/>
      <c r="D52" s="87"/>
      <c r="E52" s="87"/>
      <c r="F52" s="87"/>
      <c r="G52" s="87"/>
      <c r="H52" s="87"/>
      <c r="I52" s="87"/>
      <c r="J52" s="87"/>
      <c r="K52" s="87"/>
      <c r="L52" s="87"/>
      <c r="M52" s="87"/>
      <c r="N52" s="87"/>
      <c r="O52" s="87"/>
      <c r="P52" s="88"/>
    </row>
    <row r="53" spans="1:18" s="53" customFormat="1" ht="12" customHeight="1">
      <c r="A53" s="100"/>
      <c r="B53" s="101"/>
      <c r="C53" s="101"/>
      <c r="D53" s="102"/>
      <c r="E53" s="102"/>
      <c r="F53" s="102"/>
      <c r="G53" s="102"/>
      <c r="H53" s="102"/>
      <c r="I53" s="102"/>
      <c r="J53" s="102"/>
      <c r="K53" s="102"/>
      <c r="L53" s="102"/>
      <c r="M53" s="102"/>
      <c r="N53" s="102"/>
      <c r="O53" s="102"/>
      <c r="P53" s="103"/>
      <c r="Q53" s="167"/>
      <c r="R53" s="167"/>
    </row>
    <row r="54" spans="1:18" ht="15" customHeight="1">
      <c r="A54" s="89"/>
      <c r="B54" s="90"/>
      <c r="C54" s="90" t="s">
        <v>191</v>
      </c>
      <c r="D54" s="91"/>
      <c r="E54" s="91"/>
      <c r="F54" s="91"/>
      <c r="G54" s="91">
        <v>3900000</v>
      </c>
      <c r="H54" s="91"/>
      <c r="I54" s="91"/>
      <c r="J54" s="91">
        <v>2599980</v>
      </c>
      <c r="K54" s="91"/>
      <c r="L54" s="91"/>
      <c r="M54" s="91">
        <v>790446</v>
      </c>
      <c r="N54" s="91">
        <f>3072533+673350</f>
        <v>3745883</v>
      </c>
      <c r="O54" s="91"/>
      <c r="P54" s="92">
        <f>SUM(D54:O54)</f>
        <v>11036309</v>
      </c>
      <c r="R54" s="171"/>
    </row>
    <row r="55" spans="1:18" s="53" customFormat="1" ht="12" customHeight="1">
      <c r="A55" s="104"/>
      <c r="B55" s="51"/>
      <c r="C55" s="51"/>
      <c r="D55" s="105"/>
      <c r="E55" s="105"/>
      <c r="F55" s="105"/>
      <c r="G55" s="105"/>
      <c r="H55" s="105"/>
      <c r="I55" s="105"/>
      <c r="J55" s="105"/>
      <c r="K55" s="105"/>
      <c r="L55" s="105"/>
      <c r="M55" s="105"/>
      <c r="N55" s="105"/>
      <c r="O55" s="105"/>
      <c r="P55" s="106"/>
      <c r="Q55" s="167"/>
      <c r="R55" s="167"/>
    </row>
    <row r="56" spans="1:18" ht="15" customHeight="1">
      <c r="A56" s="89"/>
      <c r="B56" s="90"/>
      <c r="C56" s="90" t="s">
        <v>159</v>
      </c>
      <c r="D56" s="91"/>
      <c r="E56" s="91"/>
      <c r="F56" s="91"/>
      <c r="G56" s="91"/>
      <c r="H56" s="91"/>
      <c r="I56" s="91"/>
      <c r="J56" s="91"/>
      <c r="K56" s="91"/>
      <c r="L56" s="91"/>
      <c r="M56" s="91"/>
      <c r="N56" s="91">
        <v>28892</v>
      </c>
      <c r="O56" s="91"/>
      <c r="P56" s="92">
        <f>SUM(D56:O56)</f>
        <v>28892</v>
      </c>
      <c r="R56" s="171"/>
    </row>
    <row r="57" spans="1:18" s="53" customFormat="1" ht="12" customHeight="1">
      <c r="A57" s="104"/>
      <c r="B57" s="51"/>
      <c r="C57" s="51"/>
      <c r="D57" s="105"/>
      <c r="E57" s="105"/>
      <c r="F57" s="105"/>
      <c r="G57" s="105"/>
      <c r="H57" s="105"/>
      <c r="I57" s="105"/>
      <c r="J57" s="105"/>
      <c r="K57" s="105"/>
      <c r="L57" s="105"/>
      <c r="M57" s="105"/>
      <c r="N57" s="105"/>
      <c r="O57" s="105"/>
      <c r="P57" s="106"/>
      <c r="Q57" s="167"/>
      <c r="R57" s="167"/>
    </row>
    <row r="58" spans="1:18" ht="15" customHeight="1">
      <c r="A58" s="89"/>
      <c r="B58" s="90"/>
      <c r="C58" s="90" t="s">
        <v>192</v>
      </c>
      <c r="D58" s="91"/>
      <c r="E58" s="91">
        <v>2225000</v>
      </c>
      <c r="F58" s="91"/>
      <c r="G58" s="91">
        <v>8822201</v>
      </c>
      <c r="H58" s="91"/>
      <c r="I58" s="91"/>
      <c r="J58" s="91"/>
      <c r="K58" s="91"/>
      <c r="L58" s="91"/>
      <c r="M58" s="91"/>
      <c r="N58" s="91"/>
      <c r="O58" s="91"/>
      <c r="P58" s="92">
        <f>SUM(D58:O58)</f>
        <v>11047201</v>
      </c>
      <c r="R58" s="171"/>
    </row>
    <row r="59" spans="1:18" s="53" customFormat="1" ht="12" customHeight="1">
      <c r="A59" s="104"/>
      <c r="B59" s="51"/>
      <c r="C59" s="51"/>
      <c r="D59" s="105"/>
      <c r="E59" s="105"/>
      <c r="F59" s="105"/>
      <c r="G59" s="105"/>
      <c r="H59" s="105"/>
      <c r="I59" s="105"/>
      <c r="J59" s="105"/>
      <c r="K59" s="105"/>
      <c r="L59" s="105"/>
      <c r="M59" s="105"/>
      <c r="N59" s="105"/>
      <c r="O59" s="105"/>
      <c r="P59" s="106"/>
      <c r="Q59" s="167"/>
      <c r="R59" s="167"/>
    </row>
    <row r="60" spans="1:18" ht="15" customHeight="1">
      <c r="A60" s="89"/>
      <c r="B60" s="90"/>
      <c r="C60" s="90" t="s">
        <v>193</v>
      </c>
      <c r="D60" s="91"/>
      <c r="E60" s="91">
        <v>2092431</v>
      </c>
      <c r="F60" s="91"/>
      <c r="G60" s="91">
        <v>4168838</v>
      </c>
      <c r="H60" s="91"/>
      <c r="I60" s="91"/>
      <c r="J60" s="91">
        <v>2130115</v>
      </c>
      <c r="K60" s="91"/>
      <c r="L60" s="91"/>
      <c r="M60" s="91">
        <v>0</v>
      </c>
      <c r="N60" s="91">
        <v>4041126</v>
      </c>
      <c r="O60" s="91"/>
      <c r="P60" s="92">
        <f>SUM(D60:O60)</f>
        <v>12432510</v>
      </c>
      <c r="R60" s="171"/>
    </row>
    <row r="61" spans="1:18" s="53" customFormat="1" ht="12" customHeight="1">
      <c r="A61" s="104"/>
      <c r="B61" s="51"/>
      <c r="C61" s="51"/>
      <c r="D61" s="105"/>
      <c r="E61" s="105"/>
      <c r="F61" s="105"/>
      <c r="G61" s="105"/>
      <c r="H61" s="105"/>
      <c r="I61" s="105"/>
      <c r="J61" s="105"/>
      <c r="K61" s="105"/>
      <c r="L61" s="105"/>
      <c r="M61" s="105"/>
      <c r="N61" s="105"/>
      <c r="O61" s="105"/>
      <c r="P61" s="106"/>
      <c r="Q61" s="167"/>
      <c r="R61" s="167"/>
    </row>
    <row r="62" spans="1:18" ht="15" customHeight="1">
      <c r="A62" s="89"/>
      <c r="B62" s="90"/>
      <c r="C62" s="90" t="s">
        <v>194</v>
      </c>
      <c r="D62" s="91"/>
      <c r="E62" s="91"/>
      <c r="F62" s="91"/>
      <c r="G62" s="91"/>
      <c r="H62" s="91"/>
      <c r="I62" s="91"/>
      <c r="J62" s="91"/>
      <c r="K62" s="91"/>
      <c r="L62" s="91"/>
      <c r="M62" s="91"/>
      <c r="N62" s="91">
        <v>5659</v>
      </c>
      <c r="O62" s="91"/>
      <c r="P62" s="92">
        <f>SUM(D62:O62)</f>
        <v>5659</v>
      </c>
      <c r="R62" s="171"/>
    </row>
    <row r="63" spans="1:18" s="53" customFormat="1" ht="12" customHeight="1">
      <c r="A63" s="104"/>
      <c r="B63" s="51"/>
      <c r="C63" s="51"/>
      <c r="D63" s="105"/>
      <c r="E63" s="105"/>
      <c r="F63" s="105"/>
      <c r="G63" s="105"/>
      <c r="H63" s="105"/>
      <c r="I63" s="105"/>
      <c r="J63" s="105"/>
      <c r="K63" s="105"/>
      <c r="L63" s="105"/>
      <c r="M63" s="105"/>
      <c r="N63" s="105"/>
      <c r="O63" s="105"/>
      <c r="P63" s="106"/>
      <c r="Q63" s="167"/>
      <c r="R63" s="167"/>
    </row>
    <row r="64" spans="1:18" ht="15" customHeight="1">
      <c r="A64" s="89"/>
      <c r="B64" s="90"/>
      <c r="C64" s="90" t="s">
        <v>395</v>
      </c>
      <c r="D64" s="91"/>
      <c r="E64" s="91"/>
      <c r="F64" s="91"/>
      <c r="G64" s="91"/>
      <c r="H64" s="91">
        <v>19837500</v>
      </c>
      <c r="I64" s="91"/>
      <c r="J64" s="91"/>
      <c r="K64" s="91">
        <v>7345000</v>
      </c>
      <c r="L64" s="91">
        <v>1663533</v>
      </c>
      <c r="M64" s="91"/>
      <c r="N64" s="91"/>
      <c r="O64" s="91"/>
      <c r="P64" s="92">
        <f>SUM(D64:O64)</f>
        <v>28846033</v>
      </c>
      <c r="R64" s="171"/>
    </row>
    <row r="65" spans="1:18" s="53" customFormat="1" ht="12" customHeight="1">
      <c r="A65" s="104"/>
      <c r="B65" s="51"/>
      <c r="C65" s="51"/>
      <c r="D65" s="105"/>
      <c r="E65" s="105"/>
      <c r="F65" s="105"/>
      <c r="G65" s="105"/>
      <c r="H65" s="105"/>
      <c r="I65" s="105"/>
      <c r="J65" s="105"/>
      <c r="K65" s="105"/>
      <c r="L65" s="105"/>
      <c r="M65" s="105"/>
      <c r="N65" s="105"/>
      <c r="O65" s="105"/>
      <c r="P65" s="106"/>
      <c r="Q65" s="167"/>
      <c r="R65" s="167"/>
    </row>
    <row r="66" spans="1:18" ht="15" customHeight="1">
      <c r="A66" s="111"/>
      <c r="B66" s="107" t="s">
        <v>211</v>
      </c>
      <c r="C66" s="107"/>
      <c r="D66" s="108">
        <f t="shared" ref="D66:P66" si="2">SUM(D54:D65)</f>
        <v>0</v>
      </c>
      <c r="E66" s="108">
        <f t="shared" si="2"/>
        <v>4317431</v>
      </c>
      <c r="F66" s="108">
        <f t="shared" si="2"/>
        <v>0</v>
      </c>
      <c r="G66" s="108">
        <f t="shared" si="2"/>
        <v>16891039</v>
      </c>
      <c r="H66" s="108">
        <f t="shared" si="2"/>
        <v>19837500</v>
      </c>
      <c r="I66" s="108">
        <f t="shared" si="2"/>
        <v>0</v>
      </c>
      <c r="J66" s="108">
        <f t="shared" si="2"/>
        <v>4730095</v>
      </c>
      <c r="K66" s="108">
        <f t="shared" si="2"/>
        <v>7345000</v>
      </c>
      <c r="L66" s="108">
        <f t="shared" si="2"/>
        <v>1663533</v>
      </c>
      <c r="M66" s="108">
        <f t="shared" si="2"/>
        <v>790446</v>
      </c>
      <c r="N66" s="108">
        <f t="shared" si="2"/>
        <v>7821560</v>
      </c>
      <c r="O66" s="108">
        <f t="shared" si="2"/>
        <v>0</v>
      </c>
      <c r="P66" s="109">
        <f t="shared" si="2"/>
        <v>63396604</v>
      </c>
      <c r="R66" s="171"/>
    </row>
    <row r="67" spans="1:18" s="53" customFormat="1" ht="12" customHeight="1">
      <c r="A67" s="104"/>
      <c r="B67" s="51"/>
      <c r="C67" s="101"/>
      <c r="D67" s="105"/>
      <c r="E67" s="105"/>
      <c r="F67" s="105"/>
      <c r="G67" s="105"/>
      <c r="H67" s="105"/>
      <c r="I67" s="105"/>
      <c r="J67" s="105"/>
      <c r="K67" s="105"/>
      <c r="L67" s="105"/>
      <c r="M67" s="105"/>
      <c r="N67" s="105"/>
      <c r="O67" s="105"/>
      <c r="P67" s="106"/>
      <c r="Q67" s="167"/>
      <c r="R67" s="167"/>
    </row>
    <row r="68" spans="1:18" ht="15" customHeight="1">
      <c r="A68" s="85" t="s">
        <v>212</v>
      </c>
      <c r="B68" s="86"/>
      <c r="C68" s="86"/>
      <c r="D68" s="87"/>
      <c r="E68" s="87"/>
      <c r="F68" s="87"/>
      <c r="G68" s="87"/>
      <c r="H68" s="87"/>
      <c r="I68" s="87"/>
      <c r="J68" s="87"/>
      <c r="K68" s="87"/>
      <c r="L68" s="87"/>
      <c r="M68" s="87"/>
      <c r="N68" s="87"/>
      <c r="O68" s="87"/>
      <c r="P68" s="88"/>
    </row>
    <row r="69" spans="1:18" s="53" customFormat="1" ht="12" customHeight="1">
      <c r="A69" s="100"/>
      <c r="B69" s="101"/>
      <c r="C69" s="101"/>
      <c r="D69" s="102"/>
      <c r="E69" s="102"/>
      <c r="F69" s="102"/>
      <c r="G69" s="102"/>
      <c r="H69" s="102"/>
      <c r="I69" s="102"/>
      <c r="J69" s="102"/>
      <c r="K69" s="102"/>
      <c r="L69" s="102"/>
      <c r="M69" s="102"/>
      <c r="N69" s="102"/>
      <c r="O69" s="102"/>
      <c r="P69" s="103"/>
      <c r="Q69" s="167"/>
      <c r="R69" s="167"/>
    </row>
    <row r="70" spans="1:18" ht="15" customHeight="1">
      <c r="A70" s="89"/>
      <c r="B70" s="90"/>
      <c r="C70" s="90" t="s">
        <v>192</v>
      </c>
      <c r="D70" s="91"/>
      <c r="E70" s="91">
        <v>320000</v>
      </c>
      <c r="F70" s="91"/>
      <c r="G70" s="91"/>
      <c r="H70" s="91"/>
      <c r="I70" s="91"/>
      <c r="J70" s="91"/>
      <c r="K70" s="91"/>
      <c r="L70" s="91"/>
      <c r="M70" s="91"/>
      <c r="N70" s="91"/>
      <c r="O70" s="91"/>
      <c r="P70" s="92">
        <f>SUM(D70:O70)</f>
        <v>320000</v>
      </c>
      <c r="R70" s="171"/>
    </row>
    <row r="71" spans="1:18" s="53" customFormat="1" ht="12" customHeight="1">
      <c r="A71" s="104"/>
      <c r="B71" s="51"/>
      <c r="C71" s="51"/>
      <c r="D71" s="105"/>
      <c r="E71" s="105"/>
      <c r="F71" s="105"/>
      <c r="G71" s="105"/>
      <c r="H71" s="105"/>
      <c r="I71" s="105"/>
      <c r="J71" s="105"/>
      <c r="K71" s="105"/>
      <c r="L71" s="105"/>
      <c r="M71" s="105"/>
      <c r="N71" s="105"/>
      <c r="O71" s="105"/>
      <c r="P71" s="106"/>
      <c r="Q71" s="167"/>
      <c r="R71" s="167"/>
    </row>
    <row r="72" spans="1:18" ht="15" customHeight="1">
      <c r="A72" s="89"/>
      <c r="B72" s="90"/>
      <c r="C72" s="90" t="s">
        <v>193</v>
      </c>
      <c r="D72" s="91">
        <v>850000</v>
      </c>
      <c r="E72" s="91">
        <v>2711774</v>
      </c>
      <c r="F72" s="91"/>
      <c r="G72" s="91">
        <v>8563123</v>
      </c>
      <c r="H72" s="91"/>
      <c r="I72" s="91"/>
      <c r="J72" s="91">
        <v>4433546</v>
      </c>
      <c r="K72" s="91"/>
      <c r="L72" s="91"/>
      <c r="M72" s="91">
        <v>657096</v>
      </c>
      <c r="N72" s="91">
        <v>22911062</v>
      </c>
      <c r="O72" s="91"/>
      <c r="P72" s="92">
        <f>SUM(D72:O72)</f>
        <v>40126601</v>
      </c>
      <c r="R72" s="171"/>
    </row>
    <row r="73" spans="1:18" s="53" customFormat="1" ht="12" customHeight="1">
      <c r="A73" s="100"/>
      <c r="B73" s="101"/>
      <c r="C73" s="101"/>
      <c r="D73" s="102"/>
      <c r="E73" s="102"/>
      <c r="F73" s="102"/>
      <c r="G73" s="102"/>
      <c r="H73" s="102"/>
      <c r="I73" s="102"/>
      <c r="J73" s="102"/>
      <c r="K73" s="102"/>
      <c r="L73" s="102"/>
      <c r="M73" s="102"/>
      <c r="N73" s="102"/>
      <c r="O73" s="102"/>
      <c r="P73" s="103"/>
      <c r="Q73" s="167"/>
      <c r="R73" s="167"/>
    </row>
    <row r="74" spans="1:18" ht="15" customHeight="1">
      <c r="A74" s="89"/>
      <c r="B74" s="90"/>
      <c r="C74" s="90" t="s">
        <v>395</v>
      </c>
      <c r="D74" s="91"/>
      <c r="E74" s="91"/>
      <c r="F74" s="91"/>
      <c r="G74" s="91"/>
      <c r="H74" s="91">
        <v>1609300</v>
      </c>
      <c r="I74" s="91"/>
      <c r="J74" s="91"/>
      <c r="K74" s="91"/>
      <c r="L74" s="91">
        <v>4786766</v>
      </c>
      <c r="M74" s="91"/>
      <c r="N74" s="91"/>
      <c r="O74" s="91"/>
      <c r="P74" s="92">
        <f>SUM(D74:O74)</f>
        <v>6396066</v>
      </c>
      <c r="R74" s="171"/>
    </row>
    <row r="75" spans="1:18" s="53" customFormat="1" ht="12" customHeight="1">
      <c r="A75" s="104"/>
      <c r="B75" s="51"/>
      <c r="C75" s="51"/>
      <c r="D75" s="105"/>
      <c r="E75" s="105"/>
      <c r="F75" s="105"/>
      <c r="G75" s="105"/>
      <c r="H75" s="105"/>
      <c r="I75" s="105"/>
      <c r="J75" s="105"/>
      <c r="K75" s="105"/>
      <c r="L75" s="105"/>
      <c r="M75" s="105"/>
      <c r="N75" s="105"/>
      <c r="O75" s="105"/>
      <c r="P75" s="106"/>
      <c r="Q75" s="167"/>
      <c r="R75" s="167"/>
    </row>
    <row r="76" spans="1:18" ht="15" customHeight="1">
      <c r="A76" s="89"/>
      <c r="B76" s="90"/>
      <c r="C76" s="90" t="s">
        <v>200</v>
      </c>
      <c r="D76" s="91"/>
      <c r="E76" s="91"/>
      <c r="F76" s="91"/>
      <c r="G76" s="91"/>
      <c r="H76" s="91"/>
      <c r="I76" s="91"/>
      <c r="J76" s="91"/>
      <c r="K76" s="91"/>
      <c r="L76" s="91"/>
      <c r="M76" s="91"/>
      <c r="N76" s="91"/>
      <c r="O76" s="91">
        <v>249</v>
      </c>
      <c r="P76" s="92">
        <f>SUM(D76:O76)</f>
        <v>249</v>
      </c>
      <c r="R76" s="171"/>
    </row>
    <row r="77" spans="1:18" s="53" customFormat="1" ht="12" customHeight="1">
      <c r="A77" s="104"/>
      <c r="B77" s="51"/>
      <c r="C77" s="51"/>
      <c r="D77" s="105"/>
      <c r="E77" s="105"/>
      <c r="F77" s="105"/>
      <c r="G77" s="105"/>
      <c r="H77" s="105"/>
      <c r="I77" s="105"/>
      <c r="J77" s="105"/>
      <c r="K77" s="105"/>
      <c r="L77" s="105"/>
      <c r="M77" s="105"/>
      <c r="N77" s="105"/>
      <c r="O77" s="105"/>
      <c r="P77" s="106"/>
      <c r="Q77" s="167"/>
      <c r="R77" s="167"/>
    </row>
    <row r="78" spans="1:18" ht="15" customHeight="1">
      <c r="A78" s="111"/>
      <c r="B78" s="107" t="s">
        <v>213</v>
      </c>
      <c r="C78" s="107"/>
      <c r="D78" s="108">
        <f t="shared" ref="D78:O78" si="3">SUM(D70:D76)</f>
        <v>850000</v>
      </c>
      <c r="E78" s="108">
        <f t="shared" si="3"/>
        <v>3031774</v>
      </c>
      <c r="F78" s="108">
        <f t="shared" si="3"/>
        <v>0</v>
      </c>
      <c r="G78" s="108">
        <f t="shared" si="3"/>
        <v>8563123</v>
      </c>
      <c r="H78" s="108">
        <f t="shared" si="3"/>
        <v>1609300</v>
      </c>
      <c r="I78" s="108">
        <f t="shared" si="3"/>
        <v>0</v>
      </c>
      <c r="J78" s="108">
        <f t="shared" si="3"/>
        <v>4433546</v>
      </c>
      <c r="K78" s="108">
        <f t="shared" si="3"/>
        <v>0</v>
      </c>
      <c r="L78" s="108">
        <f t="shared" si="3"/>
        <v>4786766</v>
      </c>
      <c r="M78" s="108">
        <f t="shared" si="3"/>
        <v>657096</v>
      </c>
      <c r="N78" s="108">
        <f t="shared" si="3"/>
        <v>22911062</v>
      </c>
      <c r="O78" s="108">
        <f t="shared" si="3"/>
        <v>249</v>
      </c>
      <c r="P78" s="109">
        <f>SUM(P70:P76)</f>
        <v>46842916</v>
      </c>
      <c r="R78" s="171"/>
    </row>
    <row r="79" spans="1:18" s="53" customFormat="1" ht="12" customHeight="1">
      <c r="A79" s="104"/>
      <c r="B79" s="51"/>
      <c r="C79" s="101"/>
      <c r="D79" s="105"/>
      <c r="E79" s="105"/>
      <c r="F79" s="105"/>
      <c r="G79" s="105"/>
      <c r="H79" s="105"/>
      <c r="I79" s="105"/>
      <c r="J79" s="105"/>
      <c r="K79" s="105"/>
      <c r="L79" s="105"/>
      <c r="M79" s="105"/>
      <c r="N79" s="105"/>
      <c r="O79" s="105"/>
      <c r="P79" s="106"/>
      <c r="Q79" s="167"/>
      <c r="R79" s="167"/>
    </row>
    <row r="80" spans="1:18" ht="15" customHeight="1">
      <c r="A80" s="85" t="s">
        <v>41</v>
      </c>
      <c r="B80" s="86"/>
      <c r="C80" s="86"/>
      <c r="D80" s="87"/>
      <c r="E80" s="87"/>
      <c r="F80" s="87"/>
      <c r="G80" s="87"/>
      <c r="H80" s="87"/>
      <c r="I80" s="87"/>
      <c r="J80" s="87"/>
      <c r="K80" s="87"/>
      <c r="L80" s="87"/>
      <c r="M80" s="87"/>
      <c r="N80" s="87"/>
      <c r="O80" s="87"/>
      <c r="P80" s="88"/>
    </row>
    <row r="81" spans="1:18" s="53" customFormat="1" ht="12" customHeight="1">
      <c r="A81" s="100"/>
      <c r="B81" s="101"/>
      <c r="C81" s="101"/>
      <c r="D81" s="102"/>
      <c r="E81" s="102"/>
      <c r="F81" s="102"/>
      <c r="G81" s="102"/>
      <c r="H81" s="102"/>
      <c r="I81" s="102"/>
      <c r="J81" s="102"/>
      <c r="K81" s="102"/>
      <c r="L81" s="102"/>
      <c r="M81" s="102"/>
      <c r="N81" s="102"/>
      <c r="O81" s="102"/>
      <c r="P81" s="103"/>
      <c r="Q81" s="167"/>
      <c r="R81" s="167"/>
    </row>
    <row r="82" spans="1:18" ht="15" customHeight="1">
      <c r="A82" s="89"/>
      <c r="B82" s="90"/>
      <c r="C82" s="90" t="s">
        <v>203</v>
      </c>
      <c r="D82" s="91"/>
      <c r="E82" s="91"/>
      <c r="F82" s="91">
        <v>30000000</v>
      </c>
      <c r="G82" s="91">
        <v>11737844</v>
      </c>
      <c r="H82" s="91"/>
      <c r="I82" s="91"/>
      <c r="J82" s="91"/>
      <c r="K82" s="91"/>
      <c r="L82" s="91"/>
      <c r="M82" s="91"/>
      <c r="N82" s="91"/>
      <c r="O82" s="91"/>
      <c r="P82" s="92">
        <f>SUM(D82:O82)</f>
        <v>41737844</v>
      </c>
      <c r="R82" s="171"/>
    </row>
    <row r="83" spans="1:18" s="53" customFormat="1" ht="12" customHeight="1">
      <c r="A83" s="104"/>
      <c r="B83" s="51"/>
      <c r="C83" s="51"/>
      <c r="D83" s="105"/>
      <c r="E83" s="105"/>
      <c r="F83" s="105"/>
      <c r="G83" s="105"/>
      <c r="H83" s="105"/>
      <c r="I83" s="105"/>
      <c r="J83" s="105"/>
      <c r="K83" s="105"/>
      <c r="L83" s="105"/>
      <c r="M83" s="105"/>
      <c r="N83" s="105"/>
      <c r="O83" s="105"/>
      <c r="P83" s="106"/>
      <c r="Q83" s="167"/>
      <c r="R83" s="167"/>
    </row>
    <row r="84" spans="1:18" ht="15" customHeight="1">
      <c r="A84" s="111"/>
      <c r="B84" s="107" t="s">
        <v>214</v>
      </c>
      <c r="C84" s="107"/>
      <c r="D84" s="108">
        <f t="shared" ref="D84:M84" si="4">SUM(D82:D82)</f>
        <v>0</v>
      </c>
      <c r="E84" s="108">
        <f t="shared" si="4"/>
        <v>0</v>
      </c>
      <c r="F84" s="108">
        <f t="shared" si="4"/>
        <v>30000000</v>
      </c>
      <c r="G84" s="108">
        <f t="shared" si="4"/>
        <v>11737844</v>
      </c>
      <c r="H84" s="108">
        <f t="shared" si="4"/>
        <v>0</v>
      </c>
      <c r="I84" s="108">
        <f t="shared" si="4"/>
        <v>0</v>
      </c>
      <c r="J84" s="108">
        <f t="shared" si="4"/>
        <v>0</v>
      </c>
      <c r="K84" s="108">
        <f t="shared" si="4"/>
        <v>0</v>
      </c>
      <c r="L84" s="108">
        <f t="shared" si="4"/>
        <v>0</v>
      </c>
      <c r="M84" s="108">
        <f t="shared" si="4"/>
        <v>0</v>
      </c>
      <c r="N84" s="108">
        <f>SUM(N82:O82)</f>
        <v>0</v>
      </c>
      <c r="O84" s="108">
        <f>SUM(O82:O82)</f>
        <v>0</v>
      </c>
      <c r="P84" s="109">
        <f>SUM(P82:P82)</f>
        <v>41737844</v>
      </c>
      <c r="R84" s="171"/>
    </row>
    <row r="85" spans="1:18" s="53" customFormat="1" ht="12" customHeight="1">
      <c r="A85" s="104"/>
      <c r="B85" s="51"/>
      <c r="C85" s="101"/>
      <c r="D85" s="105"/>
      <c r="E85" s="105"/>
      <c r="F85" s="105"/>
      <c r="G85" s="105"/>
      <c r="H85" s="105"/>
      <c r="I85" s="105"/>
      <c r="J85" s="105"/>
      <c r="K85" s="105"/>
      <c r="L85" s="105"/>
      <c r="M85" s="105"/>
      <c r="N85" s="105"/>
      <c r="O85" s="105"/>
      <c r="P85" s="106"/>
      <c r="Q85" s="167"/>
      <c r="R85" s="167"/>
    </row>
    <row r="86" spans="1:18" ht="15" customHeight="1">
      <c r="A86" s="85" t="s">
        <v>235</v>
      </c>
      <c r="B86" s="86"/>
      <c r="C86" s="86"/>
      <c r="D86" s="87"/>
      <c r="E86" s="87"/>
      <c r="F86" s="87"/>
      <c r="G86" s="87"/>
      <c r="H86" s="87"/>
      <c r="I86" s="87"/>
      <c r="J86" s="87"/>
      <c r="K86" s="87"/>
      <c r="L86" s="87"/>
      <c r="M86" s="87"/>
      <c r="N86" s="87"/>
      <c r="O86" s="87"/>
      <c r="P86" s="88"/>
    </row>
    <row r="87" spans="1:18" s="53" customFormat="1" ht="12" customHeight="1">
      <c r="A87" s="100"/>
      <c r="B87" s="101"/>
      <c r="C87" s="101"/>
      <c r="D87" s="102"/>
      <c r="E87" s="102"/>
      <c r="F87" s="102"/>
      <c r="G87" s="102"/>
      <c r="H87" s="102"/>
      <c r="I87" s="102"/>
      <c r="J87" s="102"/>
      <c r="K87" s="102"/>
      <c r="L87" s="102"/>
      <c r="M87" s="102"/>
      <c r="N87" s="102"/>
      <c r="O87" s="102"/>
      <c r="P87" s="103"/>
      <c r="Q87" s="167"/>
      <c r="R87" s="167"/>
    </row>
    <row r="88" spans="1:18" ht="15" customHeight="1">
      <c r="A88" s="89"/>
      <c r="B88" s="90"/>
      <c r="C88" s="90" t="s">
        <v>236</v>
      </c>
      <c r="D88" s="91"/>
      <c r="E88" s="91"/>
      <c r="F88" s="91"/>
      <c r="G88" s="91"/>
      <c r="H88" s="91"/>
      <c r="I88" s="91"/>
      <c r="J88" s="91"/>
      <c r="K88" s="91"/>
      <c r="L88" s="91"/>
      <c r="M88" s="91"/>
      <c r="N88" s="91">
        <f>37582475+19892104</f>
        <v>57474579</v>
      </c>
      <c r="O88" s="91">
        <f>70000+8800000+70560</f>
        <v>8940560</v>
      </c>
      <c r="P88" s="92">
        <f>SUM(D88:O88)</f>
        <v>66415139</v>
      </c>
      <c r="R88" s="171"/>
    </row>
    <row r="89" spans="1:18" s="53" customFormat="1" ht="12" customHeight="1">
      <c r="A89" s="104"/>
      <c r="B89" s="51"/>
      <c r="C89" s="51"/>
      <c r="D89" s="105"/>
      <c r="E89" s="105"/>
      <c r="F89" s="105"/>
      <c r="G89" s="105"/>
      <c r="H89" s="105"/>
      <c r="I89" s="105"/>
      <c r="J89" s="105"/>
      <c r="K89" s="105"/>
      <c r="L89" s="105"/>
      <c r="M89" s="105"/>
      <c r="N89" s="105"/>
      <c r="O89" s="105"/>
      <c r="P89" s="106"/>
      <c r="Q89" s="167"/>
      <c r="R89" s="167"/>
    </row>
    <row r="90" spans="1:18" ht="15" customHeight="1">
      <c r="A90" s="111"/>
      <c r="B90" s="107" t="s">
        <v>237</v>
      </c>
      <c r="C90" s="107"/>
      <c r="D90" s="108">
        <f t="shared" ref="D90:P90" si="5">SUM(D88:D88)</f>
        <v>0</v>
      </c>
      <c r="E90" s="108">
        <f t="shared" si="5"/>
        <v>0</v>
      </c>
      <c r="F90" s="108">
        <f t="shared" si="5"/>
        <v>0</v>
      </c>
      <c r="G90" s="108">
        <f t="shared" si="5"/>
        <v>0</v>
      </c>
      <c r="H90" s="108">
        <f t="shared" si="5"/>
        <v>0</v>
      </c>
      <c r="I90" s="108">
        <f t="shared" si="5"/>
        <v>0</v>
      </c>
      <c r="J90" s="108">
        <f t="shared" ref="J90:M90" si="6">SUM(J88:J88)</f>
        <v>0</v>
      </c>
      <c r="K90" s="108">
        <f t="shared" si="6"/>
        <v>0</v>
      </c>
      <c r="L90" s="108">
        <f t="shared" si="6"/>
        <v>0</v>
      </c>
      <c r="M90" s="108">
        <f t="shared" si="6"/>
        <v>0</v>
      </c>
      <c r="N90" s="108">
        <f t="shared" si="5"/>
        <v>57474579</v>
      </c>
      <c r="O90" s="108">
        <f t="shared" si="5"/>
        <v>8940560</v>
      </c>
      <c r="P90" s="109">
        <f t="shared" si="5"/>
        <v>66415139</v>
      </c>
      <c r="R90" s="171"/>
    </row>
    <row r="91" spans="1:18" s="53" customFormat="1" ht="12" customHeight="1">
      <c r="A91" s="104"/>
      <c r="B91" s="51"/>
      <c r="C91" s="97"/>
      <c r="D91" s="105"/>
      <c r="E91" s="105"/>
      <c r="F91" s="105"/>
      <c r="G91" s="105"/>
      <c r="H91" s="105"/>
      <c r="I91" s="105"/>
      <c r="J91" s="105"/>
      <c r="K91" s="105"/>
      <c r="L91" s="105"/>
      <c r="M91" s="105"/>
      <c r="N91" s="105"/>
      <c r="O91" s="105"/>
      <c r="P91" s="106"/>
      <c r="Q91" s="167"/>
      <c r="R91" s="167"/>
    </row>
    <row r="92" spans="1:18" s="117" customFormat="1" ht="15" customHeight="1">
      <c r="A92" s="83" t="s">
        <v>44</v>
      </c>
      <c r="B92" s="84"/>
      <c r="C92" s="84"/>
      <c r="D92" s="87">
        <f>+D84+D78+D66+D50+D40+D90</f>
        <v>9349606</v>
      </c>
      <c r="E92" s="87">
        <f t="shared" ref="E92:P92" si="7">+E84+E78+E66+E50+E40+E90</f>
        <v>24945448</v>
      </c>
      <c r="F92" s="87">
        <f t="shared" si="7"/>
        <v>30000000</v>
      </c>
      <c r="G92" s="87">
        <f t="shared" si="7"/>
        <v>110193165</v>
      </c>
      <c r="H92" s="87">
        <f t="shared" si="7"/>
        <v>21829300</v>
      </c>
      <c r="I92" s="87">
        <f>+I84+I78+I66+I50+I40+I90</f>
        <v>2950559</v>
      </c>
      <c r="J92" s="87">
        <f t="shared" ref="J92:M92" si="8">+J84+J78+J66+J50+J40+J90</f>
        <v>35320122</v>
      </c>
      <c r="K92" s="87">
        <f t="shared" si="8"/>
        <v>8730000</v>
      </c>
      <c r="L92" s="87">
        <f t="shared" si="8"/>
        <v>6450299</v>
      </c>
      <c r="M92" s="87">
        <f t="shared" si="8"/>
        <v>21747542</v>
      </c>
      <c r="N92" s="87">
        <f>+N84+N78+N66+N50+N40+N90</f>
        <v>109175943</v>
      </c>
      <c r="O92" s="87">
        <f>+O84+O78+O66+O50+O40+O90</f>
        <v>8981036</v>
      </c>
      <c r="P92" s="88">
        <f t="shared" si="7"/>
        <v>389673020</v>
      </c>
      <c r="Q92" s="170"/>
      <c r="R92" s="171"/>
    </row>
    <row r="93" spans="1:18" s="53" customFormat="1" ht="12" customHeight="1" thickBot="1">
      <c r="A93" s="112"/>
      <c r="B93" s="113"/>
      <c r="C93" s="114"/>
      <c r="D93" s="115"/>
      <c r="E93" s="115"/>
      <c r="F93" s="115"/>
      <c r="G93" s="115"/>
      <c r="H93" s="115"/>
      <c r="I93" s="115"/>
      <c r="J93" s="115"/>
      <c r="K93" s="115"/>
      <c r="L93" s="115"/>
      <c r="M93" s="115"/>
      <c r="N93" s="115"/>
      <c r="O93" s="115"/>
      <c r="P93" s="116"/>
      <c r="Q93" s="167"/>
      <c r="R93" s="167"/>
    </row>
    <row r="94" spans="1:18">
      <c r="A94" s="7" t="s">
        <v>486</v>
      </c>
    </row>
    <row r="95" spans="1:18">
      <c r="C95" s="7"/>
    </row>
  </sheetData>
  <mergeCells count="2">
    <mergeCell ref="A1:P1"/>
    <mergeCell ref="A2:C2"/>
  </mergeCells>
  <printOptions horizontalCentered="1"/>
  <pageMargins left="0" right="0" top="0.75" bottom="0.75" header="0.3" footer="0.3"/>
  <pageSetup scale="64" fitToHeight="0" orientation="landscape" r:id="rId1"/>
  <headerFooter>
    <oddFooter>&amp;L&amp;8&amp;D  &amp;T&amp;C&amp;8&amp;P  of  &amp;N</oddFooter>
  </headerFooter>
  <rowBreaks count="2" manualBreakCount="2">
    <brk id="40" max="16383" man="1"/>
    <brk id="78"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415"/>
  <sheetViews>
    <sheetView zoomScaleNormal="100" workbookViewId="0">
      <pane ySplit="7" topLeftCell="A196" activePane="bottomLeft" state="frozen"/>
      <selection pane="bottomLeft" activeCell="K240" sqref="K240"/>
    </sheetView>
  </sheetViews>
  <sheetFormatPr defaultColWidth="9.140625" defaultRowHeight="15"/>
  <cols>
    <col min="1" max="1" width="4.140625" style="10" customWidth="1"/>
    <col min="2" max="2" width="9" style="10" customWidth="1"/>
    <col min="3" max="3" width="7" style="10" customWidth="1"/>
    <col min="4" max="4" width="11.5703125" style="10" customWidth="1"/>
    <col min="5" max="5" width="10.7109375" style="10" customWidth="1"/>
    <col min="6" max="6" width="26" style="185" customWidth="1"/>
    <col min="7" max="7" width="12.140625" style="10" customWidth="1"/>
    <col min="8" max="8" width="11.85546875" style="30" customWidth="1"/>
    <col min="9" max="9" width="12.42578125" style="30" customWidth="1"/>
    <col min="10" max="10" width="12.5703125" style="191" customWidth="1"/>
    <col min="11" max="17" width="14.28515625" style="31" customWidth="1"/>
    <col min="18" max="18" width="15" style="31" customWidth="1"/>
    <col min="19" max="19" width="12.85546875" style="31" customWidth="1"/>
    <col min="20" max="20" width="14.140625" style="31" customWidth="1"/>
    <col min="21" max="21" width="12.5703125" style="31" customWidth="1"/>
    <col min="22" max="22" width="16.42578125" style="31" customWidth="1"/>
    <col min="23" max="23" width="13.28515625" style="31" customWidth="1"/>
    <col min="24" max="24" width="21.7109375" style="31" customWidth="1"/>
    <col min="25" max="25" width="21.28515625" style="31" customWidth="1"/>
    <col min="26" max="26" width="9.140625" style="51" customWidth="1"/>
    <col min="27" max="16384" width="9.140625" style="51"/>
  </cols>
  <sheetData>
    <row r="1" spans="1:28" ht="15.75">
      <c r="B1" s="27" t="s">
        <v>10</v>
      </c>
      <c r="C1" s="27"/>
      <c r="E1" s="28" t="s">
        <v>61</v>
      </c>
      <c r="F1" s="180"/>
      <c r="G1" s="29"/>
      <c r="R1" s="32" t="s">
        <v>56</v>
      </c>
      <c r="S1" s="33"/>
      <c r="T1" s="34" t="s">
        <v>55</v>
      </c>
    </row>
    <row r="2" spans="1:28" ht="15.75">
      <c r="B2" s="27" t="s">
        <v>62</v>
      </c>
      <c r="C2" s="27"/>
      <c r="E2" s="35">
        <v>43665</v>
      </c>
      <c r="F2" s="35"/>
      <c r="G2" s="36"/>
      <c r="R2" s="38" t="s">
        <v>57</v>
      </c>
      <c r="S2" s="36"/>
      <c r="T2" s="34" t="s">
        <v>170</v>
      </c>
    </row>
    <row r="3" spans="1:28" ht="15.75">
      <c r="B3" s="27" t="s">
        <v>63</v>
      </c>
      <c r="C3" s="27"/>
      <c r="E3" s="35">
        <v>43677</v>
      </c>
      <c r="F3" s="35"/>
      <c r="G3" s="36"/>
      <c r="R3" s="32" t="s">
        <v>58</v>
      </c>
      <c r="S3" s="36"/>
      <c r="T3" s="37"/>
    </row>
    <row r="4" spans="1:28" ht="15.75" customHeight="1">
      <c r="B4" s="27" t="s">
        <v>9</v>
      </c>
      <c r="C4" s="27"/>
      <c r="E4" s="39" t="s">
        <v>873</v>
      </c>
      <c r="F4" s="181"/>
      <c r="G4" s="36"/>
    </row>
    <row r="5" spans="1:28" ht="14.25" customHeight="1">
      <c r="A5" s="41"/>
      <c r="B5" s="41"/>
      <c r="C5" s="41"/>
      <c r="D5" s="42"/>
      <c r="E5" s="42"/>
      <c r="F5" s="42"/>
      <c r="G5" s="43"/>
    </row>
    <row r="6" spans="1:28" s="40" customFormat="1" ht="47.25" customHeight="1">
      <c r="A6" s="80"/>
      <c r="B6" s="307" t="s">
        <v>11</v>
      </c>
      <c r="C6" s="308"/>
      <c r="D6" s="308"/>
      <c r="E6" s="308"/>
      <c r="F6" s="309"/>
      <c r="G6" s="79"/>
      <c r="H6" s="310" t="s">
        <v>20</v>
      </c>
      <c r="I6" s="311"/>
      <c r="J6" s="305" t="s">
        <v>570</v>
      </c>
      <c r="K6" s="305"/>
      <c r="L6" s="305" t="s">
        <v>557</v>
      </c>
      <c r="M6" s="305"/>
      <c r="N6" s="305" t="s">
        <v>670</v>
      </c>
      <c r="O6" s="305"/>
      <c r="P6" s="305" t="s">
        <v>823</v>
      </c>
      <c r="Q6" s="305"/>
      <c r="R6" s="74"/>
      <c r="S6" s="306" t="s">
        <v>4</v>
      </c>
      <c r="T6" s="306"/>
      <c r="U6" s="307" t="s">
        <v>3</v>
      </c>
      <c r="V6" s="308"/>
      <c r="W6" s="308"/>
      <c r="X6" s="308"/>
      <c r="Y6" s="309"/>
    </row>
    <row r="7" spans="1:28" s="177" customFormat="1" ht="60">
      <c r="A7" s="81" t="s">
        <v>2</v>
      </c>
      <c r="B7" s="77" t="s">
        <v>0</v>
      </c>
      <c r="C7" s="77" t="s">
        <v>560</v>
      </c>
      <c r="D7" s="77" t="s">
        <v>169</v>
      </c>
      <c r="E7" s="77" t="s">
        <v>6</v>
      </c>
      <c r="F7" s="182" t="s">
        <v>13</v>
      </c>
      <c r="G7" s="77" t="s">
        <v>243</v>
      </c>
      <c r="H7" s="78" t="s">
        <v>21</v>
      </c>
      <c r="I7" s="78" t="s">
        <v>22</v>
      </c>
      <c r="J7" s="196" t="s">
        <v>5</v>
      </c>
      <c r="K7" s="196" t="s">
        <v>671</v>
      </c>
      <c r="L7" s="196" t="s">
        <v>5</v>
      </c>
      <c r="M7" s="196" t="s">
        <v>672</v>
      </c>
      <c r="N7" s="196" t="s">
        <v>5</v>
      </c>
      <c r="O7" s="196" t="s">
        <v>673</v>
      </c>
      <c r="P7" s="240" t="s">
        <v>5</v>
      </c>
      <c r="Q7" s="240" t="s">
        <v>824</v>
      </c>
      <c r="R7" s="75" t="s">
        <v>45</v>
      </c>
      <c r="S7" s="75" t="s">
        <v>5</v>
      </c>
      <c r="T7" s="75" t="s">
        <v>752</v>
      </c>
      <c r="U7" s="76" t="s">
        <v>53</v>
      </c>
      <c r="V7" s="77" t="s">
        <v>1</v>
      </c>
      <c r="W7" s="77" t="s">
        <v>23</v>
      </c>
      <c r="X7" s="77" t="s">
        <v>14</v>
      </c>
      <c r="Y7" s="77" t="s">
        <v>12</v>
      </c>
    </row>
    <row r="8" spans="1:28" s="177" customFormat="1" ht="165">
      <c r="A8" s="44">
        <v>1</v>
      </c>
      <c r="B8" s="44" t="s">
        <v>15</v>
      </c>
      <c r="C8" s="44" t="s">
        <v>427</v>
      </c>
      <c r="D8" s="45" t="s">
        <v>19</v>
      </c>
      <c r="E8" s="44" t="s">
        <v>7</v>
      </c>
      <c r="F8" s="50" t="s">
        <v>16</v>
      </c>
      <c r="G8" s="45"/>
      <c r="H8" s="47"/>
      <c r="I8" s="47"/>
      <c r="J8" s="48">
        <v>50241</v>
      </c>
      <c r="K8" s="48">
        <v>50241</v>
      </c>
      <c r="L8" s="48">
        <v>3650</v>
      </c>
      <c r="M8" s="48">
        <v>3650</v>
      </c>
      <c r="N8" s="48"/>
      <c r="O8" s="48">
        <v>0</v>
      </c>
      <c r="P8" s="48"/>
      <c r="Q8" s="48">
        <v>0</v>
      </c>
      <c r="R8" s="48">
        <f>+K8+I8+H8+M8+O8+Q8</f>
        <v>53891</v>
      </c>
      <c r="S8" s="49"/>
      <c r="T8" s="48">
        <v>0</v>
      </c>
      <c r="U8" s="164" t="str">
        <f>IF(T8=0,"",(K8+H8+I8+M8+O8+Q8)/T8)</f>
        <v/>
      </c>
      <c r="V8" s="45" t="s">
        <v>18</v>
      </c>
      <c r="W8" s="45" t="s">
        <v>52</v>
      </c>
      <c r="X8" s="46" t="s">
        <v>360</v>
      </c>
      <c r="Y8" s="45" t="s">
        <v>361</v>
      </c>
      <c r="AA8" s="228"/>
      <c r="AB8" s="228"/>
    </row>
    <row r="9" spans="1:28" s="177" customFormat="1" ht="210">
      <c r="A9" s="44">
        <f>+A8+1</f>
        <v>2</v>
      </c>
      <c r="B9" s="44" t="s">
        <v>15</v>
      </c>
      <c r="C9" s="44" t="s">
        <v>427</v>
      </c>
      <c r="D9" s="45" t="s">
        <v>19</v>
      </c>
      <c r="E9" s="45" t="s">
        <v>7</v>
      </c>
      <c r="F9" s="50" t="s">
        <v>17</v>
      </c>
      <c r="G9" s="221"/>
      <c r="H9" s="47"/>
      <c r="I9" s="47"/>
      <c r="J9" s="48">
        <v>296909</v>
      </c>
      <c r="K9" s="48">
        <v>299904</v>
      </c>
      <c r="L9" s="48">
        <f>10161+271.79</f>
        <v>10432.790000000001</v>
      </c>
      <c r="M9" s="48">
        <v>10432.790000000001</v>
      </c>
      <c r="N9" s="48"/>
      <c r="O9" s="48">
        <v>0</v>
      </c>
      <c r="P9" s="48"/>
      <c r="Q9" s="48">
        <v>0</v>
      </c>
      <c r="R9" s="48">
        <f>+K9+I9+H9+M9+O9+Q9</f>
        <v>310336.78999999998</v>
      </c>
      <c r="S9" s="49"/>
      <c r="T9" s="48">
        <v>0</v>
      </c>
      <c r="U9" s="164" t="str">
        <f>IF(T9=0,"",(K9+H9+I9+M9+O9+Q9)/T9)</f>
        <v/>
      </c>
      <c r="V9" s="45" t="s">
        <v>54</v>
      </c>
      <c r="W9" s="45" t="s">
        <v>59</v>
      </c>
      <c r="X9" s="45" t="s">
        <v>626</v>
      </c>
      <c r="Y9" s="45" t="s">
        <v>627</v>
      </c>
      <c r="AA9" s="228"/>
      <c r="AB9" s="228"/>
    </row>
    <row r="10" spans="1:28" ht="75">
      <c r="A10" s="44">
        <f t="shared" ref="A10:A73" si="0">+A9+1</f>
        <v>3</v>
      </c>
      <c r="B10" s="44" t="s">
        <v>15</v>
      </c>
      <c r="C10" s="44" t="s">
        <v>427</v>
      </c>
      <c r="D10" s="45" t="s">
        <v>19</v>
      </c>
      <c r="E10" s="44" t="s">
        <v>7</v>
      </c>
      <c r="F10" s="50" t="s">
        <v>49</v>
      </c>
      <c r="G10" s="45"/>
      <c r="H10" s="47"/>
      <c r="I10" s="47"/>
      <c r="J10" s="48">
        <v>65068</v>
      </c>
      <c r="K10" s="48">
        <v>100689</v>
      </c>
      <c r="L10" s="48"/>
      <c r="M10" s="48">
        <v>0</v>
      </c>
      <c r="N10" s="48"/>
      <c r="O10" s="48">
        <v>0</v>
      </c>
      <c r="P10" s="48"/>
      <c r="Q10" s="48">
        <v>0</v>
      </c>
      <c r="R10" s="48">
        <f>+K10+I10+H10+M10+O10+Q10</f>
        <v>100689</v>
      </c>
      <c r="S10" s="49"/>
      <c r="T10" s="48">
        <v>0</v>
      </c>
      <c r="U10" s="164" t="str">
        <f>IF(T10=0,"",(K10+H10+I10+M10+O10+Q10)/T10)</f>
        <v/>
      </c>
      <c r="V10" s="45" t="s">
        <v>50</v>
      </c>
      <c r="W10" s="45" t="s">
        <v>51</v>
      </c>
      <c r="X10" s="45" t="s">
        <v>244</v>
      </c>
      <c r="Y10" s="45" t="s">
        <v>60</v>
      </c>
      <c r="AA10" s="228"/>
      <c r="AB10" s="228"/>
    </row>
    <row r="11" spans="1:28" ht="30">
      <c r="A11" s="44">
        <f t="shared" si="0"/>
        <v>4</v>
      </c>
      <c r="B11" s="44" t="s">
        <v>15</v>
      </c>
      <c r="C11" s="44">
        <v>2018</v>
      </c>
      <c r="D11" s="45" t="s">
        <v>647</v>
      </c>
      <c r="E11" s="44" t="s">
        <v>7</v>
      </c>
      <c r="F11" s="50" t="s">
        <v>658</v>
      </c>
      <c r="G11" s="45"/>
      <c r="H11" s="48"/>
      <c r="I11" s="48"/>
      <c r="J11" s="48"/>
      <c r="K11" s="48">
        <v>0</v>
      </c>
      <c r="L11" s="48"/>
      <c r="M11" s="48">
        <v>0</v>
      </c>
      <c r="N11" s="48"/>
      <c r="O11" s="48">
        <v>0</v>
      </c>
      <c r="P11" s="48"/>
      <c r="Q11" s="48">
        <v>0</v>
      </c>
      <c r="R11" s="48">
        <f>+K11+I11+H11+M11+O11+Q11</f>
        <v>0</v>
      </c>
      <c r="S11" s="49"/>
      <c r="T11" s="48">
        <v>100</v>
      </c>
      <c r="U11" s="164">
        <f>IF(T11=0,"",(K11+H11+I11+M11+O11+Q11)/T11)</f>
        <v>0</v>
      </c>
      <c r="V11" s="45"/>
      <c r="W11" s="45"/>
      <c r="X11" s="45"/>
      <c r="Y11" s="45"/>
      <c r="AA11" s="228"/>
      <c r="AB11" s="228"/>
    </row>
    <row r="12" spans="1:28" ht="75">
      <c r="A12" s="44">
        <f t="shared" si="0"/>
        <v>5</v>
      </c>
      <c r="B12" s="45" t="s">
        <v>24</v>
      </c>
      <c r="C12" s="45">
        <v>2019</v>
      </c>
      <c r="D12" s="45" t="s">
        <v>743</v>
      </c>
      <c r="E12" s="45" t="s">
        <v>25</v>
      </c>
      <c r="F12" s="50" t="s">
        <v>916</v>
      </c>
      <c r="G12" s="45" t="s">
        <v>856</v>
      </c>
      <c r="H12" s="245"/>
      <c r="I12" s="245"/>
      <c r="J12" s="246"/>
      <c r="K12" s="48">
        <v>0</v>
      </c>
      <c r="L12" s="246"/>
      <c r="M12" s="48">
        <v>0</v>
      </c>
      <c r="N12" s="246"/>
      <c r="O12" s="48">
        <v>0</v>
      </c>
      <c r="P12" s="247"/>
      <c r="Q12" s="207">
        <v>790446.3</v>
      </c>
      <c r="R12" s="48">
        <f>Q12</f>
        <v>790446.3</v>
      </c>
      <c r="S12" s="207"/>
      <c r="T12" s="48">
        <v>2600000</v>
      </c>
      <c r="U12" s="164">
        <f>IF(T12=0,"",(K12+H12+I12+M12+O12)+R12/T12)</f>
        <v>0.30401780769230768</v>
      </c>
      <c r="V12" s="45" t="s">
        <v>65</v>
      </c>
      <c r="W12" s="45" t="s">
        <v>65</v>
      </c>
      <c r="X12" s="45" t="s">
        <v>66</v>
      </c>
      <c r="Y12" s="45" t="s">
        <v>66</v>
      </c>
      <c r="AA12" s="228"/>
      <c r="AB12" s="228"/>
    </row>
    <row r="13" spans="1:28" ht="195">
      <c r="A13" s="44">
        <f t="shared" si="0"/>
        <v>6</v>
      </c>
      <c r="B13" s="45" t="s">
        <v>24</v>
      </c>
      <c r="C13" s="45">
        <v>2019</v>
      </c>
      <c r="D13" s="45" t="s">
        <v>917</v>
      </c>
      <c r="E13" s="45" t="s">
        <v>25</v>
      </c>
      <c r="F13" s="50" t="s">
        <v>67</v>
      </c>
      <c r="G13" s="45" t="s">
        <v>918</v>
      </c>
      <c r="H13" s="245"/>
      <c r="I13" s="245"/>
      <c r="J13" s="49"/>
      <c r="K13" s="48">
        <v>0</v>
      </c>
      <c r="L13" s="49"/>
      <c r="M13" s="48">
        <v>0</v>
      </c>
      <c r="N13" s="49"/>
      <c r="O13" s="48">
        <v>0</v>
      </c>
      <c r="P13" s="207">
        <v>104882.09</v>
      </c>
      <c r="Q13" s="207">
        <v>107357.09</v>
      </c>
      <c r="R13" s="48">
        <f>Q13</f>
        <v>107357.09</v>
      </c>
      <c r="S13" s="207"/>
      <c r="T13" s="48">
        <v>0</v>
      </c>
      <c r="U13" s="164"/>
      <c r="V13" s="45" t="s">
        <v>65</v>
      </c>
      <c r="W13" s="45" t="s">
        <v>65</v>
      </c>
      <c r="X13" s="45" t="s">
        <v>66</v>
      </c>
      <c r="Y13" s="45" t="s">
        <v>66</v>
      </c>
      <c r="AA13" s="228"/>
      <c r="AB13" s="228"/>
    </row>
    <row r="14" spans="1:28" ht="90">
      <c r="A14" s="44">
        <f t="shared" si="0"/>
        <v>7</v>
      </c>
      <c r="B14" s="45" t="s">
        <v>24</v>
      </c>
      <c r="C14" s="45">
        <v>2019</v>
      </c>
      <c r="D14" s="45" t="s">
        <v>917</v>
      </c>
      <c r="E14" s="45" t="s">
        <v>25</v>
      </c>
      <c r="F14" s="50" t="s">
        <v>919</v>
      </c>
      <c r="G14" s="45" t="s">
        <v>920</v>
      </c>
      <c r="H14" s="245"/>
      <c r="I14" s="245"/>
      <c r="J14" s="49"/>
      <c r="K14" s="48">
        <v>0</v>
      </c>
      <c r="L14" s="49"/>
      <c r="M14" s="48">
        <v>0</v>
      </c>
      <c r="N14" s="49"/>
      <c r="O14" s="48">
        <v>0</v>
      </c>
      <c r="P14" s="207">
        <v>42611.68</v>
      </c>
      <c r="Q14" s="207">
        <v>292924.25</v>
      </c>
      <c r="R14" s="48">
        <f>Q14</f>
        <v>292924.25</v>
      </c>
      <c r="S14" s="207"/>
      <c r="T14" s="48">
        <v>0</v>
      </c>
      <c r="U14" s="164"/>
      <c r="V14" s="45" t="s">
        <v>65</v>
      </c>
      <c r="W14" s="45" t="s">
        <v>65</v>
      </c>
      <c r="X14" s="45" t="s">
        <v>66</v>
      </c>
      <c r="Y14" s="45" t="s">
        <v>66</v>
      </c>
      <c r="AA14" s="228"/>
      <c r="AB14" s="228"/>
    </row>
    <row r="15" spans="1:28" ht="45">
      <c r="A15" s="44">
        <f t="shared" si="0"/>
        <v>8</v>
      </c>
      <c r="B15" s="45" t="s">
        <v>24</v>
      </c>
      <c r="C15" s="45">
        <v>2018</v>
      </c>
      <c r="D15" s="45" t="s">
        <v>647</v>
      </c>
      <c r="E15" s="45" t="s">
        <v>25</v>
      </c>
      <c r="F15" s="50" t="s">
        <v>64</v>
      </c>
      <c r="G15" s="45" t="s">
        <v>245</v>
      </c>
      <c r="H15" s="245"/>
      <c r="I15" s="245"/>
      <c r="J15" s="49"/>
      <c r="K15" s="48">
        <v>0</v>
      </c>
      <c r="L15" s="49"/>
      <c r="M15" s="48">
        <v>0</v>
      </c>
      <c r="N15" s="49"/>
      <c r="O15" s="48">
        <v>2599980.2200000002</v>
      </c>
      <c r="P15" s="48"/>
      <c r="Q15" s="207">
        <v>0</v>
      </c>
      <c r="R15" s="48">
        <f t="shared" ref="R15:R20" si="1">+K15+I15+H15+M15+O15</f>
        <v>2599980.2200000002</v>
      </c>
      <c r="S15" s="49"/>
      <c r="T15" s="48">
        <v>2600000</v>
      </c>
      <c r="U15" s="164">
        <f>IF(T15=0,"",(K15+H15+I15+M15+O15)/T15)</f>
        <v>0.99999239230769243</v>
      </c>
      <c r="V15" s="45" t="s">
        <v>65</v>
      </c>
      <c r="W15" s="45" t="s">
        <v>65</v>
      </c>
      <c r="X15" s="45" t="s">
        <v>66</v>
      </c>
      <c r="Y15" s="45" t="s">
        <v>66</v>
      </c>
      <c r="AA15" s="228"/>
      <c r="AB15" s="228"/>
    </row>
    <row r="16" spans="1:28" ht="45">
      <c r="A16" s="44">
        <f t="shared" si="0"/>
        <v>9</v>
      </c>
      <c r="B16" s="44" t="s">
        <v>24</v>
      </c>
      <c r="C16" s="44">
        <v>2017</v>
      </c>
      <c r="D16" s="45" t="s">
        <v>362</v>
      </c>
      <c r="E16" s="44" t="s">
        <v>25</v>
      </c>
      <c r="F16" s="50" t="s">
        <v>64</v>
      </c>
      <c r="G16" s="45" t="s">
        <v>245</v>
      </c>
      <c r="H16" s="47"/>
      <c r="I16" s="47"/>
      <c r="J16" s="48"/>
      <c r="K16" s="48">
        <v>0</v>
      </c>
      <c r="L16" s="48"/>
      <c r="M16" s="48">
        <v>2600000</v>
      </c>
      <c r="N16" s="48"/>
      <c r="O16" s="48">
        <v>0</v>
      </c>
      <c r="P16" s="48"/>
      <c r="Q16" s="207">
        <v>0</v>
      </c>
      <c r="R16" s="48">
        <f t="shared" si="1"/>
        <v>2600000</v>
      </c>
      <c r="S16" s="49"/>
      <c r="T16" s="48">
        <v>2600000</v>
      </c>
      <c r="U16" s="164">
        <f>IF(T16=0,"",(K16+H16+I16+M16+O16)/T16)</f>
        <v>1</v>
      </c>
      <c r="V16" s="45" t="s">
        <v>65</v>
      </c>
      <c r="W16" s="45" t="s">
        <v>65</v>
      </c>
      <c r="X16" s="45" t="s">
        <v>66</v>
      </c>
      <c r="Y16" s="45" t="s">
        <v>66</v>
      </c>
      <c r="AA16" s="228"/>
      <c r="AB16" s="228"/>
    </row>
    <row r="17" spans="1:28" ht="45">
      <c r="A17" s="44">
        <f t="shared" si="0"/>
        <v>10</v>
      </c>
      <c r="B17" s="44" t="s">
        <v>24</v>
      </c>
      <c r="C17" s="44">
        <v>2016</v>
      </c>
      <c r="D17" s="45" t="s">
        <v>917</v>
      </c>
      <c r="E17" s="44" t="s">
        <v>25</v>
      </c>
      <c r="F17" s="50" t="s">
        <v>64</v>
      </c>
      <c r="G17" s="45" t="s">
        <v>245</v>
      </c>
      <c r="H17" s="47"/>
      <c r="I17" s="47"/>
      <c r="J17" s="48"/>
      <c r="K17" s="48">
        <v>991069</v>
      </c>
      <c r="L17" s="48"/>
      <c r="M17" s="48">
        <v>0</v>
      </c>
      <c r="N17" s="48"/>
      <c r="O17" s="48">
        <v>0</v>
      </c>
      <c r="P17" s="48"/>
      <c r="Q17" s="207">
        <v>0</v>
      </c>
      <c r="R17" s="48">
        <f t="shared" si="1"/>
        <v>991069</v>
      </c>
      <c r="S17" s="49"/>
      <c r="T17" s="48">
        <v>0</v>
      </c>
      <c r="U17" s="164" t="str">
        <f>IF(T17=0,"",(K17+H17+I17+M17+O17)/T17)</f>
        <v/>
      </c>
      <c r="V17" s="45" t="s">
        <v>65</v>
      </c>
      <c r="W17" s="45" t="s">
        <v>65</v>
      </c>
      <c r="X17" s="45" t="s">
        <v>66</v>
      </c>
      <c r="Y17" s="45" t="s">
        <v>66</v>
      </c>
      <c r="AA17" s="228"/>
      <c r="AB17" s="228"/>
    </row>
    <row r="18" spans="1:28" ht="45">
      <c r="A18" s="44">
        <f t="shared" si="0"/>
        <v>11</v>
      </c>
      <c r="B18" s="44" t="s">
        <v>24</v>
      </c>
      <c r="C18" s="44">
        <v>2016</v>
      </c>
      <c r="D18" s="45" t="s">
        <v>362</v>
      </c>
      <c r="E18" s="44" t="s">
        <v>25</v>
      </c>
      <c r="F18" s="50" t="s">
        <v>363</v>
      </c>
      <c r="G18" s="45" t="s">
        <v>245</v>
      </c>
      <c r="H18" s="47"/>
      <c r="I18" s="47"/>
      <c r="J18" s="48"/>
      <c r="K18" s="48">
        <v>1300000</v>
      </c>
      <c r="L18" s="48"/>
      <c r="M18" s="48">
        <v>0</v>
      </c>
      <c r="N18" s="48"/>
      <c r="O18" s="48">
        <v>0</v>
      </c>
      <c r="P18" s="48"/>
      <c r="Q18" s="207">
        <v>0</v>
      </c>
      <c r="R18" s="48">
        <f t="shared" si="1"/>
        <v>1300000</v>
      </c>
      <c r="S18" s="49">
        <v>0</v>
      </c>
      <c r="T18" s="48">
        <v>1300000</v>
      </c>
      <c r="U18" s="164">
        <f>IF(T18=0,"",(K18+H18+I18+M18+O18)/T18)</f>
        <v>1</v>
      </c>
      <c r="V18" s="45" t="s">
        <v>65</v>
      </c>
      <c r="W18" s="45" t="s">
        <v>65</v>
      </c>
      <c r="X18" s="45" t="s">
        <v>66</v>
      </c>
      <c r="Y18" s="45" t="s">
        <v>66</v>
      </c>
      <c r="AA18" s="228"/>
      <c r="AB18" s="228"/>
    </row>
    <row r="19" spans="1:28" ht="120">
      <c r="A19" s="44">
        <f t="shared" si="0"/>
        <v>12</v>
      </c>
      <c r="B19" s="44" t="s">
        <v>24</v>
      </c>
      <c r="C19" s="44">
        <v>2018</v>
      </c>
      <c r="D19" s="45" t="s">
        <v>917</v>
      </c>
      <c r="E19" s="44" t="s">
        <v>25</v>
      </c>
      <c r="F19" s="50" t="s">
        <v>67</v>
      </c>
      <c r="G19" s="45" t="s">
        <v>708</v>
      </c>
      <c r="H19" s="47"/>
      <c r="I19" s="47"/>
      <c r="J19" s="48"/>
      <c r="K19" s="48">
        <v>0</v>
      </c>
      <c r="L19" s="48"/>
      <c r="M19" s="48">
        <v>0</v>
      </c>
      <c r="N19" s="48">
        <f>146419+102000+23472.95+116915.35</f>
        <v>388807.30000000005</v>
      </c>
      <c r="O19" s="48">
        <v>388807.30000000005</v>
      </c>
      <c r="P19" s="48"/>
      <c r="Q19" s="207">
        <v>0</v>
      </c>
      <c r="R19" s="48">
        <f t="shared" si="1"/>
        <v>388807.30000000005</v>
      </c>
      <c r="S19" s="49"/>
      <c r="T19" s="48">
        <v>0</v>
      </c>
      <c r="U19" s="164"/>
      <c r="V19" s="45" t="s">
        <v>65</v>
      </c>
      <c r="W19" s="45" t="s">
        <v>65</v>
      </c>
      <c r="X19" s="45" t="s">
        <v>66</v>
      </c>
      <c r="Y19" s="45" t="s">
        <v>66</v>
      </c>
      <c r="AA19" s="228"/>
      <c r="AB19" s="228"/>
    </row>
    <row r="20" spans="1:28" ht="390">
      <c r="A20" s="44">
        <f t="shared" si="0"/>
        <v>13</v>
      </c>
      <c r="B20" s="44" t="s">
        <v>24</v>
      </c>
      <c r="C20" s="44" t="s">
        <v>427</v>
      </c>
      <c r="D20" s="45" t="s">
        <v>917</v>
      </c>
      <c r="E20" s="44" t="s">
        <v>25</v>
      </c>
      <c r="F20" s="50" t="s">
        <v>67</v>
      </c>
      <c r="G20" s="45" t="s">
        <v>659</v>
      </c>
      <c r="H20" s="47"/>
      <c r="I20" s="47"/>
      <c r="J20" s="48">
        <f>403504.23+27429</f>
        <v>430933.23</v>
      </c>
      <c r="K20" s="48">
        <v>455792.23</v>
      </c>
      <c r="L20" s="48">
        <v>308362</v>
      </c>
      <c r="M20" s="48">
        <v>308362</v>
      </c>
      <c r="N20" s="48"/>
      <c r="O20" s="48">
        <v>0</v>
      </c>
      <c r="P20" s="48"/>
      <c r="Q20" s="207">
        <v>0</v>
      </c>
      <c r="R20" s="48">
        <f t="shared" si="1"/>
        <v>764154.23</v>
      </c>
      <c r="S20" s="49"/>
      <c r="T20" s="48">
        <v>0</v>
      </c>
      <c r="U20" s="164" t="str">
        <f>IF(T20=0,"",(K20+H20+I20+M20+O20)/T20)</f>
        <v/>
      </c>
      <c r="V20" s="45" t="s">
        <v>65</v>
      </c>
      <c r="W20" s="45" t="s">
        <v>65</v>
      </c>
      <c r="X20" s="45" t="s">
        <v>66</v>
      </c>
      <c r="Y20" s="45" t="s">
        <v>66</v>
      </c>
      <c r="AA20" s="228"/>
      <c r="AB20" s="228"/>
    </row>
    <row r="21" spans="1:28" ht="60">
      <c r="A21" s="44">
        <f t="shared" si="0"/>
        <v>14</v>
      </c>
      <c r="B21" s="44" t="s">
        <v>24</v>
      </c>
      <c r="C21" s="44">
        <v>2017</v>
      </c>
      <c r="D21" s="45" t="s">
        <v>797</v>
      </c>
      <c r="E21" s="44" t="s">
        <v>25</v>
      </c>
      <c r="F21" s="50" t="s">
        <v>512</v>
      </c>
      <c r="G21" s="45"/>
      <c r="H21" s="47"/>
      <c r="I21" s="47"/>
      <c r="J21" s="48"/>
      <c r="K21" s="48">
        <v>0</v>
      </c>
      <c r="L21" s="48"/>
      <c r="M21" s="48">
        <v>0</v>
      </c>
      <c r="N21" s="48">
        <v>385020.28</v>
      </c>
      <c r="O21" s="48">
        <v>385020.28</v>
      </c>
      <c r="P21" s="48">
        <v>288329.59000000003</v>
      </c>
      <c r="Q21" s="48">
        <v>288329.59000000003</v>
      </c>
      <c r="R21" s="48">
        <f>+K21+I21+H21+M21+O21+Q21</f>
        <v>673349.87000000011</v>
      </c>
      <c r="S21" s="49">
        <v>0</v>
      </c>
      <c r="T21" s="48">
        <v>0</v>
      </c>
      <c r="U21" s="164" t="str">
        <f>IF(T21=0,"",(K21+H21+I21+M21+O21+Q21)/T21)</f>
        <v/>
      </c>
      <c r="V21" s="45" t="s">
        <v>513</v>
      </c>
      <c r="W21" s="45" t="s">
        <v>513</v>
      </c>
      <c r="X21" s="45" t="s">
        <v>514</v>
      </c>
      <c r="Y21" s="45" t="s">
        <v>514</v>
      </c>
      <c r="AA21" s="228"/>
      <c r="AB21" s="228"/>
    </row>
    <row r="22" spans="1:28" ht="60">
      <c r="A22" s="44">
        <f t="shared" si="0"/>
        <v>15</v>
      </c>
      <c r="B22" s="44" t="s">
        <v>24</v>
      </c>
      <c r="C22" s="44">
        <v>2017</v>
      </c>
      <c r="D22" s="45" t="s">
        <v>917</v>
      </c>
      <c r="E22" s="44" t="s">
        <v>25</v>
      </c>
      <c r="F22" s="50" t="s">
        <v>512</v>
      </c>
      <c r="G22" s="45"/>
      <c r="H22" s="47"/>
      <c r="I22" s="47"/>
      <c r="J22" s="48">
        <v>0</v>
      </c>
      <c r="K22" s="48">
        <v>0</v>
      </c>
      <c r="L22" s="48">
        <v>528220.76</v>
      </c>
      <c r="M22" s="48">
        <v>528220.76</v>
      </c>
      <c r="N22" s="48"/>
      <c r="O22" s="48">
        <v>0</v>
      </c>
      <c r="P22" s="48"/>
      <c r="Q22" s="48">
        <v>0</v>
      </c>
      <c r="R22" s="48">
        <f>+K22+I22+H22+M22+O22</f>
        <v>528220.76</v>
      </c>
      <c r="S22" s="49">
        <v>0</v>
      </c>
      <c r="T22" s="48">
        <v>0</v>
      </c>
      <c r="U22" s="164" t="str">
        <f>IF(T22=0,"",(K22+H22+I22+M22+O22)/T22)</f>
        <v/>
      </c>
      <c r="V22" s="45" t="s">
        <v>513</v>
      </c>
      <c r="W22" s="45" t="s">
        <v>513</v>
      </c>
      <c r="X22" s="45" t="s">
        <v>514</v>
      </c>
      <c r="Y22" s="45" t="s">
        <v>514</v>
      </c>
      <c r="AA22" s="228"/>
      <c r="AB22" s="228"/>
    </row>
    <row r="23" spans="1:28" ht="45">
      <c r="A23" s="44">
        <f t="shared" si="0"/>
        <v>16</v>
      </c>
      <c r="B23" s="44" t="s">
        <v>48</v>
      </c>
      <c r="C23" s="44" t="s">
        <v>427</v>
      </c>
      <c r="D23" s="45" t="s">
        <v>19</v>
      </c>
      <c r="E23" s="44" t="s">
        <v>7</v>
      </c>
      <c r="F23" s="50" t="s">
        <v>68</v>
      </c>
      <c r="G23" s="45"/>
      <c r="H23" s="47"/>
      <c r="I23" s="47"/>
      <c r="J23" s="48">
        <v>15256</v>
      </c>
      <c r="K23" s="48">
        <v>15256</v>
      </c>
      <c r="L23" s="48">
        <v>3959</v>
      </c>
      <c r="M23" s="48">
        <v>3959</v>
      </c>
      <c r="N23" s="48"/>
      <c r="O23" s="48">
        <v>0</v>
      </c>
      <c r="P23" s="48"/>
      <c r="Q23" s="48">
        <v>0</v>
      </c>
      <c r="R23" s="48">
        <f t="shared" ref="R23:R86" si="2">+K23+I23+H23+M23+O23+Q23</f>
        <v>19215</v>
      </c>
      <c r="S23" s="49"/>
      <c r="T23" s="48">
        <v>0</v>
      </c>
      <c r="U23" s="164" t="str">
        <f t="shared" ref="U23:U86" si="3">IF(T23=0,"",(R23)/T23)</f>
        <v/>
      </c>
      <c r="V23" s="45" t="s">
        <v>50</v>
      </c>
      <c r="W23" s="45" t="s">
        <v>51</v>
      </c>
      <c r="X23" s="45"/>
      <c r="Y23" s="45" t="s">
        <v>60</v>
      </c>
      <c r="AA23" s="228"/>
      <c r="AB23" s="228"/>
    </row>
    <row r="24" spans="1:28" ht="120">
      <c r="A24" s="44">
        <f t="shared" si="0"/>
        <v>17</v>
      </c>
      <c r="B24" s="44" t="s">
        <v>48</v>
      </c>
      <c r="C24" s="44" t="s">
        <v>427</v>
      </c>
      <c r="D24" s="45" t="s">
        <v>19</v>
      </c>
      <c r="E24" s="44" t="s">
        <v>25</v>
      </c>
      <c r="F24" s="50" t="s">
        <v>447</v>
      </c>
      <c r="G24" s="45"/>
      <c r="H24" s="47"/>
      <c r="I24" s="47"/>
      <c r="J24" s="48">
        <v>26261</v>
      </c>
      <c r="K24" s="48">
        <v>26261</v>
      </c>
      <c r="L24" s="48">
        <v>2631</v>
      </c>
      <c r="M24" s="48">
        <v>2631</v>
      </c>
      <c r="N24" s="48"/>
      <c r="O24" s="48">
        <v>0</v>
      </c>
      <c r="P24" s="48"/>
      <c r="Q24" s="48">
        <v>0</v>
      </c>
      <c r="R24" s="48">
        <f t="shared" si="2"/>
        <v>28892</v>
      </c>
      <c r="S24" s="49"/>
      <c r="T24" s="48">
        <v>0</v>
      </c>
      <c r="U24" s="164" t="str">
        <f t="shared" si="3"/>
        <v/>
      </c>
      <c r="V24" s="45" t="s">
        <v>364</v>
      </c>
      <c r="W24" s="45" t="s">
        <v>51</v>
      </c>
      <c r="X24" s="45"/>
      <c r="Y24" s="45" t="s">
        <v>60</v>
      </c>
      <c r="AA24" s="228"/>
      <c r="AB24" s="228"/>
    </row>
    <row r="25" spans="1:28" ht="75">
      <c r="A25" s="44">
        <f t="shared" si="0"/>
        <v>18</v>
      </c>
      <c r="B25" s="44" t="s">
        <v>26</v>
      </c>
      <c r="C25" s="44" t="s">
        <v>427</v>
      </c>
      <c r="D25" s="45" t="s">
        <v>19</v>
      </c>
      <c r="E25" s="45" t="s">
        <v>7</v>
      </c>
      <c r="F25" s="222" t="s">
        <v>69</v>
      </c>
      <c r="G25" s="45" t="s">
        <v>246</v>
      </c>
      <c r="H25" s="224"/>
      <c r="I25" s="225">
        <v>0</v>
      </c>
      <c r="J25" s="48">
        <v>1536618</v>
      </c>
      <c r="K25" s="48">
        <v>1586438</v>
      </c>
      <c r="L25" s="226">
        <v>143437</v>
      </c>
      <c r="M25" s="48">
        <v>145242</v>
      </c>
      <c r="N25" s="48"/>
      <c r="O25" s="48">
        <v>0</v>
      </c>
      <c r="P25" s="48"/>
      <c r="Q25" s="48">
        <v>0</v>
      </c>
      <c r="R25" s="48">
        <f t="shared" si="2"/>
        <v>1731680</v>
      </c>
      <c r="S25" s="207"/>
      <c r="T25" s="48">
        <v>0</v>
      </c>
      <c r="U25" s="164" t="str">
        <f t="shared" si="3"/>
        <v/>
      </c>
      <c r="V25" s="45" t="s">
        <v>70</v>
      </c>
      <c r="W25" s="44" t="s">
        <v>51</v>
      </c>
      <c r="X25" s="45" t="s">
        <v>606</v>
      </c>
      <c r="Y25" s="45" t="s">
        <v>60</v>
      </c>
      <c r="AA25" s="228"/>
      <c r="AB25" s="228"/>
    </row>
    <row r="26" spans="1:28">
      <c r="A26" s="44">
        <f t="shared" si="0"/>
        <v>19</v>
      </c>
      <c r="B26" s="44" t="s">
        <v>26</v>
      </c>
      <c r="C26" s="44">
        <v>2016</v>
      </c>
      <c r="D26" s="45" t="s">
        <v>353</v>
      </c>
      <c r="E26" s="45" t="s">
        <v>7</v>
      </c>
      <c r="F26" s="222" t="s">
        <v>354</v>
      </c>
      <c r="G26" s="45"/>
      <c r="H26" s="224"/>
      <c r="I26" s="225"/>
      <c r="J26" s="48">
        <v>-755148.73</v>
      </c>
      <c r="K26" s="48">
        <v>-755148.73</v>
      </c>
      <c r="L26" s="226"/>
      <c r="M26" s="48">
        <v>0</v>
      </c>
      <c r="N26" s="48"/>
      <c r="O26" s="48">
        <v>0</v>
      </c>
      <c r="P26" s="48"/>
      <c r="Q26" s="48">
        <v>0</v>
      </c>
      <c r="R26" s="48">
        <f t="shared" si="2"/>
        <v>-755148.73</v>
      </c>
      <c r="S26" s="207"/>
      <c r="T26" s="48">
        <v>0</v>
      </c>
      <c r="U26" s="164" t="str">
        <f t="shared" si="3"/>
        <v/>
      </c>
      <c r="V26" s="45"/>
      <c r="W26" s="44"/>
      <c r="X26" s="45"/>
      <c r="Y26" s="45"/>
      <c r="AA26" s="228"/>
      <c r="AB26" s="228"/>
    </row>
    <row r="27" spans="1:28" ht="30">
      <c r="A27" s="44">
        <f t="shared" si="0"/>
        <v>20</v>
      </c>
      <c r="B27" s="44" t="s">
        <v>27</v>
      </c>
      <c r="C27" s="44">
        <v>2019</v>
      </c>
      <c r="D27" s="45" t="s">
        <v>743</v>
      </c>
      <c r="E27" s="44" t="s">
        <v>7</v>
      </c>
      <c r="F27" s="50" t="s">
        <v>744</v>
      </c>
      <c r="G27" s="45"/>
      <c r="H27" s="47"/>
      <c r="I27" s="47"/>
      <c r="J27" s="48"/>
      <c r="K27" s="48">
        <v>0</v>
      </c>
      <c r="L27" s="48"/>
      <c r="M27" s="48">
        <v>0</v>
      </c>
      <c r="N27" s="48"/>
      <c r="O27" s="48">
        <v>0</v>
      </c>
      <c r="P27" s="48"/>
      <c r="Q27" s="48">
        <v>0</v>
      </c>
      <c r="R27" s="48">
        <f t="shared" si="2"/>
        <v>0</v>
      </c>
      <c r="S27" s="49"/>
      <c r="T27" s="48">
        <v>100</v>
      </c>
      <c r="U27" s="164">
        <f t="shared" si="3"/>
        <v>0</v>
      </c>
      <c r="V27" s="45"/>
      <c r="W27" s="45"/>
      <c r="X27" s="44"/>
      <c r="Y27" s="45"/>
      <c r="AA27" s="228"/>
      <c r="AB27" s="228"/>
    </row>
    <row r="28" spans="1:28" ht="90">
      <c r="A28" s="44">
        <f t="shared" si="0"/>
        <v>21</v>
      </c>
      <c r="B28" s="44" t="s">
        <v>27</v>
      </c>
      <c r="C28" s="44">
        <v>16</v>
      </c>
      <c r="D28" s="45" t="s">
        <v>43</v>
      </c>
      <c r="E28" s="44" t="s">
        <v>8</v>
      </c>
      <c r="F28" s="50" t="s">
        <v>71</v>
      </c>
      <c r="G28" s="45" t="s">
        <v>247</v>
      </c>
      <c r="H28" s="49">
        <v>0.22</v>
      </c>
      <c r="I28" s="49"/>
      <c r="J28" s="218">
        <f>92939.5+2288.99+14982.61+29788.68</f>
        <v>139999.78</v>
      </c>
      <c r="K28" s="48">
        <v>139999.78</v>
      </c>
      <c r="L28" s="48"/>
      <c r="M28" s="48">
        <v>0</v>
      </c>
      <c r="N28" s="48"/>
      <c r="O28" s="48">
        <v>0</v>
      </c>
      <c r="P28" s="48"/>
      <c r="Q28" s="48">
        <v>0</v>
      </c>
      <c r="R28" s="48">
        <f t="shared" si="2"/>
        <v>140000</v>
      </c>
      <c r="S28" s="49">
        <v>140000</v>
      </c>
      <c r="T28" s="48">
        <v>140000</v>
      </c>
      <c r="U28" s="164">
        <f t="shared" si="3"/>
        <v>1</v>
      </c>
      <c r="V28" s="45" t="s">
        <v>308</v>
      </c>
      <c r="W28" s="45" t="s">
        <v>303</v>
      </c>
      <c r="X28" s="45" t="s">
        <v>305</v>
      </c>
      <c r="Y28" s="45" t="s">
        <v>227</v>
      </c>
      <c r="AA28" s="228"/>
      <c r="AB28" s="228"/>
    </row>
    <row r="29" spans="1:28" ht="75">
      <c r="A29" s="44">
        <f t="shared" si="0"/>
        <v>22</v>
      </c>
      <c r="B29" s="44" t="s">
        <v>27</v>
      </c>
      <c r="C29" s="44">
        <v>2016</v>
      </c>
      <c r="D29" s="45" t="s">
        <v>43</v>
      </c>
      <c r="E29" s="44" t="s">
        <v>28</v>
      </c>
      <c r="F29" s="50" t="s">
        <v>74</v>
      </c>
      <c r="G29" s="45" t="s">
        <v>248</v>
      </c>
      <c r="H29" s="49">
        <v>0</v>
      </c>
      <c r="I29" s="49"/>
      <c r="J29" s="49">
        <f>228089-45485.65</f>
        <v>182603.35</v>
      </c>
      <c r="K29" s="48">
        <v>182603.35</v>
      </c>
      <c r="L29" s="48">
        <f>45485.65+13787.29+45485.65+32638.52</f>
        <v>137397.10999999999</v>
      </c>
      <c r="M29" s="48">
        <v>137397.10999999999</v>
      </c>
      <c r="N29" s="48"/>
      <c r="O29" s="48">
        <v>0</v>
      </c>
      <c r="P29" s="48"/>
      <c r="Q29" s="48">
        <v>0</v>
      </c>
      <c r="R29" s="48">
        <f t="shared" si="2"/>
        <v>320000.45999999996</v>
      </c>
      <c r="S29" s="49">
        <v>320000</v>
      </c>
      <c r="T29" s="48">
        <v>320000</v>
      </c>
      <c r="U29" s="164">
        <f t="shared" si="3"/>
        <v>1.0000014374999999</v>
      </c>
      <c r="V29" s="45" t="s">
        <v>249</v>
      </c>
      <c r="W29" s="45" t="s">
        <v>250</v>
      </c>
      <c r="X29" s="45" t="s">
        <v>251</v>
      </c>
      <c r="Y29" s="45" t="s">
        <v>228</v>
      </c>
      <c r="AA29" s="228"/>
      <c r="AB29" s="228"/>
    </row>
    <row r="30" spans="1:28" ht="90">
      <c r="A30" s="44">
        <f t="shared" si="0"/>
        <v>23</v>
      </c>
      <c r="B30" s="44" t="s">
        <v>27</v>
      </c>
      <c r="C30" s="44">
        <v>2016</v>
      </c>
      <c r="D30" s="45" t="s">
        <v>43</v>
      </c>
      <c r="E30" s="44" t="s">
        <v>25</v>
      </c>
      <c r="F30" s="50" t="s">
        <v>75</v>
      </c>
      <c r="G30" s="45" t="s">
        <v>247</v>
      </c>
      <c r="H30" s="49">
        <f>2225000-1619211-411085-194704</f>
        <v>0</v>
      </c>
      <c r="I30" s="49"/>
      <c r="J30" s="49">
        <v>1619211</v>
      </c>
      <c r="K30" s="48">
        <v>1619211</v>
      </c>
      <c r="L30" s="48">
        <f>398981+12104.12+194704</f>
        <v>605789.12</v>
      </c>
      <c r="M30" s="48">
        <v>605789.12</v>
      </c>
      <c r="N30" s="48"/>
      <c r="O30" s="48">
        <v>0</v>
      </c>
      <c r="P30" s="48"/>
      <c r="Q30" s="48">
        <v>0</v>
      </c>
      <c r="R30" s="48">
        <f t="shared" si="2"/>
        <v>2225000.12</v>
      </c>
      <c r="S30" s="49">
        <v>2225000</v>
      </c>
      <c r="T30" s="48">
        <v>2225000</v>
      </c>
      <c r="U30" s="164">
        <f t="shared" si="3"/>
        <v>1.0000000539325844</v>
      </c>
      <c r="V30" s="45" t="s">
        <v>252</v>
      </c>
      <c r="W30" s="45" t="s">
        <v>253</v>
      </c>
      <c r="X30" s="45" t="s">
        <v>304</v>
      </c>
      <c r="Y30" s="45" t="s">
        <v>229</v>
      </c>
      <c r="AA30" s="228"/>
      <c r="AB30" s="228"/>
    </row>
    <row r="31" spans="1:28" ht="75">
      <c r="A31" s="44">
        <f t="shared" si="0"/>
        <v>24</v>
      </c>
      <c r="B31" s="44" t="s">
        <v>27</v>
      </c>
      <c r="C31" s="44" t="s">
        <v>427</v>
      </c>
      <c r="D31" s="45" t="s">
        <v>19</v>
      </c>
      <c r="E31" s="44" t="s">
        <v>8</v>
      </c>
      <c r="F31" s="50" t="s">
        <v>309</v>
      </c>
      <c r="G31" s="45" t="s">
        <v>72</v>
      </c>
      <c r="H31" s="49">
        <v>0</v>
      </c>
      <c r="I31" s="49">
        <v>0</v>
      </c>
      <c r="J31" s="49">
        <v>0</v>
      </c>
      <c r="K31" s="48">
        <v>45289</v>
      </c>
      <c r="L31" s="48"/>
      <c r="M31" s="48">
        <v>0</v>
      </c>
      <c r="N31" s="48"/>
      <c r="O31" s="48">
        <v>0</v>
      </c>
      <c r="P31" s="48"/>
      <c r="Q31" s="48">
        <v>0</v>
      </c>
      <c r="R31" s="48">
        <f t="shared" si="2"/>
        <v>45289</v>
      </c>
      <c r="S31" s="49"/>
      <c r="T31" s="48">
        <v>0</v>
      </c>
      <c r="U31" s="164" t="str">
        <f t="shared" si="3"/>
        <v/>
      </c>
      <c r="V31" s="49" t="s">
        <v>365</v>
      </c>
      <c r="W31" s="229" t="s">
        <v>366</v>
      </c>
      <c r="X31" s="248">
        <v>1197</v>
      </c>
      <c r="Y31" s="249" t="s">
        <v>367</v>
      </c>
      <c r="AA31" s="228"/>
      <c r="AB31" s="228"/>
    </row>
    <row r="32" spans="1:28" ht="60">
      <c r="A32" s="44">
        <f t="shared" si="0"/>
        <v>25</v>
      </c>
      <c r="B32" s="44" t="s">
        <v>27</v>
      </c>
      <c r="C32" s="44">
        <v>2016</v>
      </c>
      <c r="D32" s="45" t="s">
        <v>362</v>
      </c>
      <c r="E32" s="44" t="s">
        <v>8</v>
      </c>
      <c r="F32" s="250" t="s">
        <v>368</v>
      </c>
      <c r="G32" s="45" t="s">
        <v>440</v>
      </c>
      <c r="H32" s="49">
        <v>0</v>
      </c>
      <c r="I32" s="49"/>
      <c r="J32" s="49">
        <f>54934.54-48296</f>
        <v>6638.5400000000009</v>
      </c>
      <c r="K32" s="48">
        <v>6638.5400000000009</v>
      </c>
      <c r="L32" s="48">
        <v>1979183</v>
      </c>
      <c r="M32" s="48">
        <v>5479183</v>
      </c>
      <c r="N32" s="48">
        <v>3172217</v>
      </c>
      <c r="O32" s="48">
        <v>3172217</v>
      </c>
      <c r="P32" s="48">
        <v>841961</v>
      </c>
      <c r="Q32" s="48">
        <v>841961</v>
      </c>
      <c r="R32" s="48">
        <f t="shared" si="2"/>
        <v>9499999.5399999991</v>
      </c>
      <c r="S32" s="49">
        <v>6000000</v>
      </c>
      <c r="T32" s="48">
        <v>9500000</v>
      </c>
      <c r="U32" s="164">
        <f t="shared" si="3"/>
        <v>0.99999995157894728</v>
      </c>
      <c r="V32" s="45" t="s">
        <v>440</v>
      </c>
      <c r="W32" s="223" t="s">
        <v>440</v>
      </c>
      <c r="X32" s="223" t="s">
        <v>440</v>
      </c>
      <c r="Y32" s="223" t="s">
        <v>440</v>
      </c>
      <c r="AA32" s="228"/>
      <c r="AB32" s="228"/>
    </row>
    <row r="33" spans="1:28" ht="60">
      <c r="A33" s="44">
        <f t="shared" si="0"/>
        <v>26</v>
      </c>
      <c r="B33" s="44" t="s">
        <v>27</v>
      </c>
      <c r="C33" s="44">
        <v>2016</v>
      </c>
      <c r="D33" s="45" t="s">
        <v>362</v>
      </c>
      <c r="E33" s="44" t="s">
        <v>25</v>
      </c>
      <c r="F33" s="50" t="s">
        <v>369</v>
      </c>
      <c r="G33" s="45" t="s">
        <v>440</v>
      </c>
      <c r="H33" s="49">
        <v>0</v>
      </c>
      <c r="I33" s="49"/>
      <c r="J33" s="49">
        <v>0</v>
      </c>
      <c r="K33" s="48">
        <v>0</v>
      </c>
      <c r="L33" s="48"/>
      <c r="M33" s="48">
        <v>0</v>
      </c>
      <c r="N33" s="48"/>
      <c r="O33" s="48">
        <v>0</v>
      </c>
      <c r="P33" s="48"/>
      <c r="Q33" s="48">
        <v>822200.5</v>
      </c>
      <c r="R33" s="48">
        <f t="shared" si="2"/>
        <v>822200.5</v>
      </c>
      <c r="S33" s="49"/>
      <c r="T33" s="48">
        <v>8100000</v>
      </c>
      <c r="U33" s="164">
        <f t="shared" si="3"/>
        <v>0.10150623456790124</v>
      </c>
      <c r="V33" s="45" t="s">
        <v>440</v>
      </c>
      <c r="W33" s="45" t="s">
        <v>440</v>
      </c>
      <c r="X33" s="45" t="s">
        <v>440</v>
      </c>
      <c r="Y33" s="45" t="s">
        <v>440</v>
      </c>
      <c r="AA33" s="228"/>
      <c r="AB33" s="228"/>
    </row>
    <row r="34" spans="1:28" ht="60">
      <c r="A34" s="44">
        <f t="shared" si="0"/>
        <v>27</v>
      </c>
      <c r="B34" s="44" t="s">
        <v>27</v>
      </c>
      <c r="C34" s="44">
        <v>2016</v>
      </c>
      <c r="D34" s="45" t="s">
        <v>362</v>
      </c>
      <c r="E34" s="44" t="s">
        <v>25</v>
      </c>
      <c r="F34" s="50" t="s">
        <v>370</v>
      </c>
      <c r="G34" s="45" t="s">
        <v>440</v>
      </c>
      <c r="H34" s="49">
        <v>0</v>
      </c>
      <c r="I34" s="49"/>
      <c r="J34" s="49">
        <v>0</v>
      </c>
      <c r="K34" s="48">
        <v>0</v>
      </c>
      <c r="L34" s="48"/>
      <c r="M34" s="48">
        <v>0</v>
      </c>
      <c r="N34" s="48"/>
      <c r="O34" s="48">
        <v>7211256</v>
      </c>
      <c r="P34" s="48"/>
      <c r="Q34" s="48">
        <v>788744</v>
      </c>
      <c r="R34" s="48">
        <f t="shared" si="2"/>
        <v>8000000</v>
      </c>
      <c r="S34" s="49"/>
      <c r="T34" s="48">
        <v>8000000</v>
      </c>
      <c r="U34" s="164">
        <f t="shared" si="3"/>
        <v>1</v>
      </c>
      <c r="V34" s="45" t="s">
        <v>440</v>
      </c>
      <c r="W34" s="45" t="s">
        <v>440</v>
      </c>
      <c r="X34" s="45" t="s">
        <v>440</v>
      </c>
      <c r="Y34" s="45" t="s">
        <v>440</v>
      </c>
      <c r="AA34" s="228"/>
      <c r="AB34" s="228"/>
    </row>
    <row r="35" spans="1:28">
      <c r="A35" s="44">
        <f t="shared" si="0"/>
        <v>28</v>
      </c>
      <c r="B35" s="44" t="s">
        <v>27</v>
      </c>
      <c r="C35" s="44">
        <v>2016</v>
      </c>
      <c r="D35" s="45" t="s">
        <v>353</v>
      </c>
      <c r="E35" s="44" t="s">
        <v>8</v>
      </c>
      <c r="F35" s="50" t="s">
        <v>354</v>
      </c>
      <c r="G35" s="45" t="s">
        <v>76</v>
      </c>
      <c r="H35" s="49"/>
      <c r="I35" s="49"/>
      <c r="J35" s="49">
        <v>-8463.5</v>
      </c>
      <c r="K35" s="48">
        <v>-8463.5</v>
      </c>
      <c r="L35" s="48"/>
      <c r="M35" s="48">
        <v>0</v>
      </c>
      <c r="N35" s="48"/>
      <c r="O35" s="48">
        <v>0</v>
      </c>
      <c r="P35" s="48"/>
      <c r="Q35" s="48">
        <v>0</v>
      </c>
      <c r="R35" s="48">
        <f t="shared" si="2"/>
        <v>-8463.5</v>
      </c>
      <c r="S35" s="49"/>
      <c r="T35" s="48">
        <v>0</v>
      </c>
      <c r="U35" s="164" t="str">
        <f t="shared" si="3"/>
        <v/>
      </c>
      <c r="V35" s="45"/>
      <c r="W35" s="45"/>
      <c r="X35" s="45"/>
      <c r="Y35" s="45"/>
      <c r="AA35" s="228"/>
      <c r="AB35" s="228"/>
    </row>
    <row r="36" spans="1:28" ht="60">
      <c r="A36" s="44">
        <f t="shared" si="0"/>
        <v>29</v>
      </c>
      <c r="B36" s="44" t="s">
        <v>27</v>
      </c>
      <c r="C36" s="44">
        <v>2017</v>
      </c>
      <c r="D36" s="45" t="s">
        <v>362</v>
      </c>
      <c r="E36" s="44" t="s">
        <v>25</v>
      </c>
      <c r="F36" s="50" t="s">
        <v>369</v>
      </c>
      <c r="G36" s="45" t="s">
        <v>440</v>
      </c>
      <c r="H36" s="49">
        <v>0</v>
      </c>
      <c r="I36" s="49"/>
      <c r="J36" s="49">
        <v>0</v>
      </c>
      <c r="K36" s="48">
        <v>0</v>
      </c>
      <c r="L36" s="48"/>
      <c r="M36" s="48">
        <v>0</v>
      </c>
      <c r="N36" s="48"/>
      <c r="O36" s="48">
        <v>0</v>
      </c>
      <c r="P36" s="48"/>
      <c r="Q36" s="48">
        <v>0</v>
      </c>
      <c r="R36" s="48">
        <f t="shared" si="2"/>
        <v>0</v>
      </c>
      <c r="S36" s="49"/>
      <c r="T36" s="48">
        <v>8050100</v>
      </c>
      <c r="U36" s="164">
        <f t="shared" si="3"/>
        <v>0</v>
      </c>
      <c r="V36" s="45" t="s">
        <v>440</v>
      </c>
      <c r="W36" s="45" t="s">
        <v>440</v>
      </c>
      <c r="X36" s="45" t="s">
        <v>440</v>
      </c>
      <c r="Y36" s="45" t="s">
        <v>440</v>
      </c>
      <c r="AA36" s="228"/>
      <c r="AB36" s="228"/>
    </row>
    <row r="37" spans="1:28" ht="30">
      <c r="A37" s="44">
        <f t="shared" si="0"/>
        <v>30</v>
      </c>
      <c r="B37" s="44" t="s">
        <v>27</v>
      </c>
      <c r="C37" s="44">
        <v>2018</v>
      </c>
      <c r="D37" s="45" t="s">
        <v>647</v>
      </c>
      <c r="E37" s="44" t="s">
        <v>7</v>
      </c>
      <c r="F37" s="50" t="s">
        <v>658</v>
      </c>
      <c r="G37" s="45"/>
      <c r="H37" s="48"/>
      <c r="I37" s="48"/>
      <c r="J37" s="48"/>
      <c r="K37" s="48">
        <v>0</v>
      </c>
      <c r="L37" s="48"/>
      <c r="M37" s="48">
        <v>0</v>
      </c>
      <c r="N37" s="48"/>
      <c r="O37" s="48">
        <v>0</v>
      </c>
      <c r="P37" s="48"/>
      <c r="Q37" s="48">
        <v>0</v>
      </c>
      <c r="R37" s="48">
        <f t="shared" si="2"/>
        <v>0</v>
      </c>
      <c r="S37" s="49"/>
      <c r="T37" s="48">
        <v>100</v>
      </c>
      <c r="U37" s="164">
        <f t="shared" si="3"/>
        <v>0</v>
      </c>
      <c r="V37" s="45"/>
      <c r="W37" s="45"/>
      <c r="X37" s="45"/>
      <c r="Y37" s="45"/>
      <c r="AA37" s="228"/>
      <c r="AB37" s="228"/>
    </row>
    <row r="38" spans="1:28" ht="75">
      <c r="A38" s="44">
        <f t="shared" si="0"/>
        <v>31</v>
      </c>
      <c r="B38" s="44" t="s">
        <v>29</v>
      </c>
      <c r="C38" s="44">
        <v>2016</v>
      </c>
      <c r="D38" s="45" t="s">
        <v>42</v>
      </c>
      <c r="E38" s="44" t="s">
        <v>7</v>
      </c>
      <c r="F38" s="50" t="s">
        <v>371</v>
      </c>
      <c r="G38" s="45" t="s">
        <v>254</v>
      </c>
      <c r="H38" s="47"/>
      <c r="I38" s="47"/>
      <c r="J38" s="48">
        <v>5000000</v>
      </c>
      <c r="K38" s="48">
        <v>6000000</v>
      </c>
      <c r="L38" s="48"/>
      <c r="M38" s="48">
        <v>0</v>
      </c>
      <c r="N38" s="48"/>
      <c r="O38" s="48">
        <v>0</v>
      </c>
      <c r="P38" s="48"/>
      <c r="Q38" s="48">
        <v>0</v>
      </c>
      <c r="R38" s="48">
        <f t="shared" si="2"/>
        <v>6000000</v>
      </c>
      <c r="S38" s="49">
        <v>5000000</v>
      </c>
      <c r="T38" s="48">
        <v>6000000</v>
      </c>
      <c r="U38" s="164">
        <f t="shared" si="3"/>
        <v>1</v>
      </c>
      <c r="V38" s="45" t="s">
        <v>372</v>
      </c>
      <c r="W38" s="45" t="s">
        <v>372</v>
      </c>
      <c r="X38" s="45" t="s">
        <v>372</v>
      </c>
      <c r="Y38" s="45" t="s">
        <v>373</v>
      </c>
      <c r="AA38" s="228"/>
      <c r="AB38" s="228"/>
    </row>
    <row r="39" spans="1:28" ht="120">
      <c r="A39" s="44">
        <f t="shared" si="0"/>
        <v>32</v>
      </c>
      <c r="B39" s="44" t="s">
        <v>29</v>
      </c>
      <c r="C39" s="44">
        <v>2016</v>
      </c>
      <c r="D39" s="45" t="s">
        <v>42</v>
      </c>
      <c r="E39" s="44" t="s">
        <v>7</v>
      </c>
      <c r="F39" s="50" t="s">
        <v>77</v>
      </c>
      <c r="G39" s="45" t="s">
        <v>76</v>
      </c>
      <c r="H39" s="48"/>
      <c r="I39" s="48"/>
      <c r="J39" s="48">
        <v>1000000</v>
      </c>
      <c r="K39" s="48">
        <v>1000000</v>
      </c>
      <c r="L39" s="48"/>
      <c r="M39" s="48">
        <v>0</v>
      </c>
      <c r="N39" s="48"/>
      <c r="O39" s="48">
        <v>0</v>
      </c>
      <c r="P39" s="48"/>
      <c r="Q39" s="48">
        <v>0</v>
      </c>
      <c r="R39" s="48">
        <f t="shared" si="2"/>
        <v>1000000</v>
      </c>
      <c r="S39" s="49">
        <v>1000000</v>
      </c>
      <c r="T39" s="48">
        <v>1000000</v>
      </c>
      <c r="U39" s="164">
        <f t="shared" si="3"/>
        <v>1</v>
      </c>
      <c r="V39" s="45" t="s">
        <v>78</v>
      </c>
      <c r="W39" s="45" t="s">
        <v>79</v>
      </c>
      <c r="X39" s="45" t="s">
        <v>642</v>
      </c>
      <c r="Y39" s="45" t="s">
        <v>168</v>
      </c>
      <c r="AA39" s="228"/>
      <c r="AB39" s="228"/>
    </row>
    <row r="40" spans="1:28" ht="90">
      <c r="A40" s="44">
        <f t="shared" si="0"/>
        <v>33</v>
      </c>
      <c r="B40" s="44" t="s">
        <v>29</v>
      </c>
      <c r="C40" s="44">
        <v>2016</v>
      </c>
      <c r="D40" s="45" t="s">
        <v>42</v>
      </c>
      <c r="E40" s="44" t="s">
        <v>7</v>
      </c>
      <c r="F40" s="50" t="s">
        <v>80</v>
      </c>
      <c r="G40" s="45" t="s">
        <v>76</v>
      </c>
      <c r="H40" s="48"/>
      <c r="I40" s="48"/>
      <c r="J40" s="48">
        <v>300000</v>
      </c>
      <c r="K40" s="48">
        <v>300000</v>
      </c>
      <c r="L40" s="48"/>
      <c r="M40" s="48">
        <v>0</v>
      </c>
      <c r="N40" s="48"/>
      <c r="O40" s="48">
        <v>0</v>
      </c>
      <c r="P40" s="48"/>
      <c r="Q40" s="48">
        <v>0</v>
      </c>
      <c r="R40" s="48">
        <f t="shared" si="2"/>
        <v>300000</v>
      </c>
      <c r="S40" s="49">
        <v>300000</v>
      </c>
      <c r="T40" s="48">
        <v>300000</v>
      </c>
      <c r="U40" s="164">
        <f t="shared" si="3"/>
        <v>1</v>
      </c>
      <c r="V40" s="45" t="s">
        <v>81</v>
      </c>
      <c r="W40" s="45" t="s">
        <v>82</v>
      </c>
      <c r="X40" s="45" t="s">
        <v>482</v>
      </c>
      <c r="Y40" s="45" t="s">
        <v>83</v>
      </c>
      <c r="AA40" s="228"/>
      <c r="AB40" s="228"/>
    </row>
    <row r="41" spans="1:28" ht="150">
      <c r="A41" s="44">
        <f t="shared" si="0"/>
        <v>34</v>
      </c>
      <c r="B41" s="44" t="s">
        <v>29</v>
      </c>
      <c r="C41" s="44">
        <v>2016</v>
      </c>
      <c r="D41" s="45" t="s">
        <v>43</v>
      </c>
      <c r="E41" s="44" t="s">
        <v>7</v>
      </c>
      <c r="F41" s="50" t="s">
        <v>84</v>
      </c>
      <c r="G41" s="45" t="s">
        <v>76</v>
      </c>
      <c r="H41" s="48"/>
      <c r="I41" s="48"/>
      <c r="J41" s="48">
        <f>2474361-220950-474279</f>
        <v>1779132</v>
      </c>
      <c r="K41" s="48">
        <v>1779132</v>
      </c>
      <c r="L41" s="48">
        <f>528618+100837+42500+457+40745+6520+50669+21479+9330+59265</f>
        <v>860420</v>
      </c>
      <c r="M41" s="48">
        <v>860420</v>
      </c>
      <c r="N41" s="48">
        <f>5744+2000+1147+151238+70477</f>
        <v>230606</v>
      </c>
      <c r="O41" s="48">
        <v>230606</v>
      </c>
      <c r="P41" s="48"/>
      <c r="Q41" s="48">
        <v>0</v>
      </c>
      <c r="R41" s="48">
        <f t="shared" si="2"/>
        <v>2870158</v>
      </c>
      <c r="S41" s="49">
        <f>4395000-2000000+18000+140000+200829+36500+79829</f>
        <v>2870158</v>
      </c>
      <c r="T41" s="48">
        <v>2870158</v>
      </c>
      <c r="U41" s="164">
        <f t="shared" si="3"/>
        <v>1</v>
      </c>
      <c r="V41" s="45" t="s">
        <v>85</v>
      </c>
      <c r="W41" s="45" t="s">
        <v>332</v>
      </c>
      <c r="X41" s="45" t="s">
        <v>462</v>
      </c>
      <c r="Y41" s="45" t="s">
        <v>441</v>
      </c>
      <c r="AA41" s="228"/>
      <c r="AB41" s="228"/>
    </row>
    <row r="42" spans="1:28" ht="75">
      <c r="A42" s="44">
        <f t="shared" si="0"/>
        <v>35</v>
      </c>
      <c r="B42" s="44" t="s">
        <v>29</v>
      </c>
      <c r="C42" s="44">
        <v>2016</v>
      </c>
      <c r="D42" s="45" t="s">
        <v>43</v>
      </c>
      <c r="E42" s="44" t="s">
        <v>7</v>
      </c>
      <c r="F42" s="50" t="s">
        <v>638</v>
      </c>
      <c r="G42" s="45" t="s">
        <v>76</v>
      </c>
      <c r="H42" s="48"/>
      <c r="I42" s="48"/>
      <c r="J42" s="48"/>
      <c r="K42" s="48">
        <v>0</v>
      </c>
      <c r="L42" s="48">
        <v>2000000</v>
      </c>
      <c r="M42" s="48">
        <v>2000000</v>
      </c>
      <c r="N42" s="48"/>
      <c r="O42" s="48">
        <v>0</v>
      </c>
      <c r="P42" s="48"/>
      <c r="Q42" s="48">
        <v>0</v>
      </c>
      <c r="R42" s="48">
        <f t="shared" si="2"/>
        <v>2000000</v>
      </c>
      <c r="S42" s="49">
        <v>2000000</v>
      </c>
      <c r="T42" s="48">
        <v>2000000</v>
      </c>
      <c r="U42" s="164">
        <f t="shared" si="3"/>
        <v>1</v>
      </c>
      <c r="V42" s="45" t="s">
        <v>709</v>
      </c>
      <c r="W42" s="45" t="s">
        <v>710</v>
      </c>
      <c r="X42" s="45" t="s">
        <v>711</v>
      </c>
      <c r="Y42" s="45" t="s">
        <v>711</v>
      </c>
      <c r="AA42" s="228"/>
      <c r="AB42" s="228"/>
    </row>
    <row r="43" spans="1:28" ht="90">
      <c r="A43" s="44">
        <f t="shared" si="0"/>
        <v>36</v>
      </c>
      <c r="B43" s="44" t="s">
        <v>29</v>
      </c>
      <c r="C43" s="44">
        <v>2016</v>
      </c>
      <c r="D43" s="45" t="s">
        <v>43</v>
      </c>
      <c r="E43" s="44" t="s">
        <v>7</v>
      </c>
      <c r="F43" s="50" t="s">
        <v>86</v>
      </c>
      <c r="G43" s="45" t="s">
        <v>76</v>
      </c>
      <c r="H43" s="48"/>
      <c r="I43" s="48"/>
      <c r="J43" s="48">
        <v>220950</v>
      </c>
      <c r="K43" s="48">
        <v>220950</v>
      </c>
      <c r="L43" s="48">
        <v>1221</v>
      </c>
      <c r="M43" s="48">
        <v>1221</v>
      </c>
      <c r="N43" s="48"/>
      <c r="O43" s="48">
        <v>0</v>
      </c>
      <c r="P43" s="48"/>
      <c r="Q43" s="48">
        <v>0</v>
      </c>
      <c r="R43" s="48">
        <f t="shared" si="2"/>
        <v>222171</v>
      </c>
      <c r="S43" s="49">
        <f>423000-200829</f>
        <v>222171</v>
      </c>
      <c r="T43" s="48">
        <v>222171</v>
      </c>
      <c r="U43" s="164">
        <f t="shared" si="3"/>
        <v>1</v>
      </c>
      <c r="V43" s="45" t="s">
        <v>87</v>
      </c>
      <c r="W43" s="45" t="s">
        <v>88</v>
      </c>
      <c r="X43" s="45" t="s">
        <v>575</v>
      </c>
      <c r="Y43" s="45" t="s">
        <v>575</v>
      </c>
      <c r="AA43" s="228"/>
      <c r="AB43" s="228"/>
    </row>
    <row r="44" spans="1:28" ht="120">
      <c r="A44" s="44">
        <f t="shared" si="0"/>
        <v>37</v>
      </c>
      <c r="B44" s="44" t="s">
        <v>29</v>
      </c>
      <c r="C44" s="44">
        <v>2016</v>
      </c>
      <c r="D44" s="45" t="s">
        <v>43</v>
      </c>
      <c r="E44" s="44" t="s">
        <v>7</v>
      </c>
      <c r="F44" s="50" t="s">
        <v>89</v>
      </c>
      <c r="G44" s="45" t="s">
        <v>76</v>
      </c>
      <c r="H44" s="48"/>
      <c r="I44" s="47"/>
      <c r="J44" s="48">
        <v>474279</v>
      </c>
      <c r="K44" s="48">
        <v>474279</v>
      </c>
      <c r="L44" s="48">
        <v>198389</v>
      </c>
      <c r="M44" s="48">
        <v>198389</v>
      </c>
      <c r="N44" s="48">
        <v>21503</v>
      </c>
      <c r="O44" s="48">
        <v>21503</v>
      </c>
      <c r="P44" s="48"/>
      <c r="Q44" s="48">
        <v>0</v>
      </c>
      <c r="R44" s="48">
        <f t="shared" si="2"/>
        <v>694171</v>
      </c>
      <c r="S44" s="49">
        <f>774000-79829</f>
        <v>694171</v>
      </c>
      <c r="T44" s="48">
        <v>694171</v>
      </c>
      <c r="U44" s="164">
        <f t="shared" si="3"/>
        <v>1</v>
      </c>
      <c r="V44" s="45" t="s">
        <v>90</v>
      </c>
      <c r="W44" s="45" t="s">
        <v>442</v>
      </c>
      <c r="X44" s="45" t="s">
        <v>798</v>
      </c>
      <c r="Y44" s="45" t="s">
        <v>168</v>
      </c>
      <c r="AA44" s="228"/>
      <c r="AB44" s="228"/>
    </row>
    <row r="45" spans="1:28" ht="90">
      <c r="A45" s="44">
        <f t="shared" si="0"/>
        <v>38</v>
      </c>
      <c r="B45" s="44" t="s">
        <v>29</v>
      </c>
      <c r="C45" s="44">
        <v>2016</v>
      </c>
      <c r="D45" s="45" t="s">
        <v>43</v>
      </c>
      <c r="E45" s="44" t="s">
        <v>7</v>
      </c>
      <c r="F45" s="50" t="s">
        <v>91</v>
      </c>
      <c r="G45" s="45"/>
      <c r="H45" s="48"/>
      <c r="I45" s="47"/>
      <c r="J45" s="48"/>
      <c r="K45" s="48">
        <v>0</v>
      </c>
      <c r="L45" s="48"/>
      <c r="M45" s="48">
        <v>0</v>
      </c>
      <c r="N45" s="48"/>
      <c r="O45" s="48">
        <v>0</v>
      </c>
      <c r="P45" s="48"/>
      <c r="Q45" s="48">
        <v>0</v>
      </c>
      <c r="R45" s="48">
        <f t="shared" si="2"/>
        <v>0</v>
      </c>
      <c r="S45" s="49">
        <f>36500*0</f>
        <v>0</v>
      </c>
      <c r="T45" s="48">
        <v>0</v>
      </c>
      <c r="U45" s="164" t="str">
        <f t="shared" si="3"/>
        <v/>
      </c>
      <c r="V45" s="45" t="s">
        <v>91</v>
      </c>
      <c r="W45" s="45" t="s">
        <v>92</v>
      </c>
      <c r="X45" s="45"/>
      <c r="Y45" s="45"/>
      <c r="AA45" s="228"/>
      <c r="AB45" s="228"/>
    </row>
    <row r="46" spans="1:28" ht="105">
      <c r="A46" s="44">
        <f t="shared" si="0"/>
        <v>39</v>
      </c>
      <c r="B46" s="44" t="s">
        <v>29</v>
      </c>
      <c r="C46" s="44" t="s">
        <v>427</v>
      </c>
      <c r="D46" s="45" t="s">
        <v>19</v>
      </c>
      <c r="E46" s="44" t="s">
        <v>7</v>
      </c>
      <c r="F46" s="50" t="s">
        <v>93</v>
      </c>
      <c r="G46" s="45" t="s">
        <v>76</v>
      </c>
      <c r="H46" s="47"/>
      <c r="I46" s="47"/>
      <c r="J46" s="48">
        <f>693547+97051+1767</f>
        <v>792365</v>
      </c>
      <c r="K46" s="48">
        <v>3426494</v>
      </c>
      <c r="L46" s="48">
        <f>52247+281754</f>
        <v>334001</v>
      </c>
      <c r="M46" s="48">
        <v>954925</v>
      </c>
      <c r="N46" s="48"/>
      <c r="O46" s="48">
        <v>0</v>
      </c>
      <c r="P46" s="48"/>
      <c r="Q46" s="48">
        <v>0</v>
      </c>
      <c r="R46" s="48">
        <f t="shared" si="2"/>
        <v>4381419</v>
      </c>
      <c r="S46" s="49"/>
      <c r="T46" s="48">
        <v>0</v>
      </c>
      <c r="U46" s="164" t="str">
        <f t="shared" si="3"/>
        <v/>
      </c>
      <c r="V46" s="45" t="s">
        <v>94</v>
      </c>
      <c r="W46" s="45" t="s">
        <v>95</v>
      </c>
      <c r="X46" s="45" t="s">
        <v>683</v>
      </c>
      <c r="Y46" s="45" t="s">
        <v>96</v>
      </c>
      <c r="AA46" s="228"/>
      <c r="AB46" s="228"/>
    </row>
    <row r="47" spans="1:28" ht="90">
      <c r="A47" s="44">
        <f t="shared" si="0"/>
        <v>40</v>
      </c>
      <c r="B47" s="44" t="s">
        <v>29</v>
      </c>
      <c r="C47" s="44">
        <v>2016</v>
      </c>
      <c r="D47" s="45" t="s">
        <v>353</v>
      </c>
      <c r="E47" s="44" t="s">
        <v>7</v>
      </c>
      <c r="F47" s="50" t="s">
        <v>354</v>
      </c>
      <c r="G47" s="45" t="s">
        <v>76</v>
      </c>
      <c r="H47" s="47"/>
      <c r="I47" s="47"/>
      <c r="J47" s="48">
        <v>-132490.41</v>
      </c>
      <c r="K47" s="48">
        <v>-792870.41</v>
      </c>
      <c r="L47" s="48"/>
      <c r="M47" s="48">
        <v>0</v>
      </c>
      <c r="N47" s="48"/>
      <c r="O47" s="48">
        <v>0</v>
      </c>
      <c r="P47" s="48"/>
      <c r="Q47" s="48">
        <v>0</v>
      </c>
      <c r="R47" s="48">
        <f t="shared" si="2"/>
        <v>-792870.41</v>
      </c>
      <c r="S47" s="49"/>
      <c r="T47" s="48">
        <v>0</v>
      </c>
      <c r="U47" s="164" t="str">
        <f t="shared" si="3"/>
        <v/>
      </c>
      <c r="V47" s="45" t="s">
        <v>463</v>
      </c>
      <c r="W47" s="45" t="s">
        <v>463</v>
      </c>
      <c r="X47" s="45" t="s">
        <v>463</v>
      </c>
      <c r="Y47" s="45" t="s">
        <v>463</v>
      </c>
      <c r="AA47" s="228"/>
      <c r="AB47" s="228"/>
    </row>
    <row r="48" spans="1:28" ht="135">
      <c r="A48" s="44">
        <f t="shared" si="0"/>
        <v>41</v>
      </c>
      <c r="B48" s="44" t="s">
        <v>29</v>
      </c>
      <c r="C48" s="44">
        <v>2016</v>
      </c>
      <c r="D48" s="45" t="s">
        <v>362</v>
      </c>
      <c r="E48" s="44" t="s">
        <v>7</v>
      </c>
      <c r="F48" s="50" t="s">
        <v>374</v>
      </c>
      <c r="G48" s="45" t="s">
        <v>443</v>
      </c>
      <c r="H48" s="48"/>
      <c r="I48" s="47"/>
      <c r="J48" s="48">
        <v>3900000</v>
      </c>
      <c r="K48" s="48">
        <v>3900000</v>
      </c>
      <c r="L48" s="48"/>
      <c r="M48" s="48">
        <v>0</v>
      </c>
      <c r="N48" s="48"/>
      <c r="O48" s="48">
        <v>0</v>
      </c>
      <c r="P48" s="48"/>
      <c r="Q48" s="48">
        <v>0</v>
      </c>
      <c r="R48" s="48">
        <f t="shared" si="2"/>
        <v>3900000</v>
      </c>
      <c r="S48" s="49">
        <v>3900000</v>
      </c>
      <c r="T48" s="48">
        <v>3900000</v>
      </c>
      <c r="U48" s="164">
        <f t="shared" si="3"/>
        <v>1</v>
      </c>
      <c r="V48" s="45" t="s">
        <v>375</v>
      </c>
      <c r="W48" s="223" t="s">
        <v>375</v>
      </c>
      <c r="X48" s="223" t="s">
        <v>591</v>
      </c>
      <c r="Y48" s="45" t="s">
        <v>591</v>
      </c>
      <c r="AA48" s="228"/>
      <c r="AB48" s="228"/>
    </row>
    <row r="49" spans="1:28" ht="90">
      <c r="A49" s="44">
        <f t="shared" si="0"/>
        <v>42</v>
      </c>
      <c r="B49" s="44" t="s">
        <v>29</v>
      </c>
      <c r="C49" s="44">
        <v>2016</v>
      </c>
      <c r="D49" s="45" t="s">
        <v>362</v>
      </c>
      <c r="E49" s="44" t="s">
        <v>7</v>
      </c>
      <c r="F49" s="50" t="s">
        <v>376</v>
      </c>
      <c r="G49" s="45" t="s">
        <v>76</v>
      </c>
      <c r="H49" s="48"/>
      <c r="I49" s="47"/>
      <c r="J49" s="48">
        <v>1736332</v>
      </c>
      <c r="K49" s="48">
        <v>1736332</v>
      </c>
      <c r="L49" s="48">
        <f>41461+501+4097+91094+9203+344372</f>
        <v>490728</v>
      </c>
      <c r="M49" s="48">
        <v>490728</v>
      </c>
      <c r="N49" s="48">
        <f>2947+10750+8786+457</f>
        <v>22940</v>
      </c>
      <c r="O49" s="48">
        <v>22940</v>
      </c>
      <c r="P49" s="48"/>
      <c r="Q49" s="48">
        <v>0</v>
      </c>
      <c r="R49" s="48">
        <f t="shared" si="2"/>
        <v>2250000</v>
      </c>
      <c r="S49" s="49">
        <f>2250000</f>
        <v>2250000</v>
      </c>
      <c r="T49" s="48">
        <v>2250000</v>
      </c>
      <c r="U49" s="164">
        <f t="shared" si="3"/>
        <v>1</v>
      </c>
      <c r="V49" s="45" t="s">
        <v>377</v>
      </c>
      <c r="W49" s="45" t="s">
        <v>378</v>
      </c>
      <c r="X49" s="45" t="s">
        <v>799</v>
      </c>
      <c r="Y49" s="45" t="s">
        <v>799</v>
      </c>
      <c r="AA49" s="228"/>
      <c r="AB49" s="228"/>
    </row>
    <row r="50" spans="1:28" ht="165">
      <c r="A50" s="44">
        <f t="shared" si="0"/>
        <v>43</v>
      </c>
      <c r="B50" s="44" t="s">
        <v>29</v>
      </c>
      <c r="C50" s="44">
        <v>2016</v>
      </c>
      <c r="D50" s="45" t="s">
        <v>362</v>
      </c>
      <c r="E50" s="44" t="s">
        <v>7</v>
      </c>
      <c r="F50" s="50" t="s">
        <v>379</v>
      </c>
      <c r="G50" s="45" t="s">
        <v>254</v>
      </c>
      <c r="H50" s="48"/>
      <c r="I50" s="47"/>
      <c r="J50" s="48"/>
      <c r="K50" s="48">
        <v>0</v>
      </c>
      <c r="L50" s="48">
        <v>23356359</v>
      </c>
      <c r="M50" s="48">
        <v>23356359</v>
      </c>
      <c r="N50" s="48">
        <v>1643641</v>
      </c>
      <c r="O50" s="48">
        <v>1643641</v>
      </c>
      <c r="P50" s="48"/>
      <c r="Q50" s="48">
        <v>0</v>
      </c>
      <c r="R50" s="48">
        <f t="shared" si="2"/>
        <v>25000000</v>
      </c>
      <c r="S50" s="49">
        <v>25000000</v>
      </c>
      <c r="T50" s="48">
        <v>25000000</v>
      </c>
      <c r="U50" s="164">
        <f t="shared" si="3"/>
        <v>1</v>
      </c>
      <c r="V50" s="45" t="s">
        <v>380</v>
      </c>
      <c r="W50" s="45" t="s">
        <v>381</v>
      </c>
      <c r="X50" s="45" t="s">
        <v>607</v>
      </c>
      <c r="Y50" s="45" t="s">
        <v>608</v>
      </c>
      <c r="AA50" s="228"/>
      <c r="AB50" s="228"/>
    </row>
    <row r="51" spans="1:28" ht="75">
      <c r="A51" s="44">
        <f t="shared" si="0"/>
        <v>44</v>
      </c>
      <c r="B51" s="44" t="s">
        <v>29</v>
      </c>
      <c r="C51" s="44">
        <v>2016</v>
      </c>
      <c r="D51" s="45" t="s">
        <v>362</v>
      </c>
      <c r="E51" s="44" t="s">
        <v>7</v>
      </c>
      <c r="F51" s="50" t="s">
        <v>382</v>
      </c>
      <c r="G51" s="45" t="s">
        <v>76</v>
      </c>
      <c r="H51" s="48"/>
      <c r="I51" s="48"/>
      <c r="J51" s="48"/>
      <c r="K51" s="48">
        <v>0</v>
      </c>
      <c r="L51" s="48">
        <v>2200000</v>
      </c>
      <c r="M51" s="48">
        <v>2200000</v>
      </c>
      <c r="N51" s="48"/>
      <c r="O51" s="48">
        <v>0</v>
      </c>
      <c r="P51" s="48"/>
      <c r="Q51" s="48">
        <v>0</v>
      </c>
      <c r="R51" s="48">
        <f t="shared" si="2"/>
        <v>2200000</v>
      </c>
      <c r="S51" s="49">
        <v>2200000</v>
      </c>
      <c r="T51" s="48">
        <v>2200000</v>
      </c>
      <c r="U51" s="164">
        <f t="shared" si="3"/>
        <v>1</v>
      </c>
      <c r="V51" s="45" t="s">
        <v>709</v>
      </c>
      <c r="W51" s="45" t="s">
        <v>710</v>
      </c>
      <c r="X51" s="45" t="s">
        <v>711</v>
      </c>
      <c r="Y51" s="45" t="s">
        <v>711</v>
      </c>
      <c r="AA51" s="228"/>
      <c r="AB51" s="228"/>
    </row>
    <row r="52" spans="1:28" ht="135">
      <c r="A52" s="44">
        <f t="shared" si="0"/>
        <v>45</v>
      </c>
      <c r="B52" s="44" t="s">
        <v>29</v>
      </c>
      <c r="C52" s="44">
        <v>2017</v>
      </c>
      <c r="D52" s="45" t="s">
        <v>362</v>
      </c>
      <c r="E52" s="44" t="s">
        <v>7</v>
      </c>
      <c r="F52" s="50" t="s">
        <v>383</v>
      </c>
      <c r="G52" s="45" t="s">
        <v>443</v>
      </c>
      <c r="H52" s="48"/>
      <c r="I52" s="47"/>
      <c r="J52" s="48">
        <v>0</v>
      </c>
      <c r="K52" s="48">
        <v>0</v>
      </c>
      <c r="L52" s="48">
        <v>3900000</v>
      </c>
      <c r="M52" s="48">
        <v>3900000</v>
      </c>
      <c r="N52" s="48"/>
      <c r="O52" s="48">
        <v>0</v>
      </c>
      <c r="P52" s="48"/>
      <c r="Q52" s="48">
        <v>0</v>
      </c>
      <c r="R52" s="48">
        <f t="shared" si="2"/>
        <v>3900000</v>
      </c>
      <c r="S52" s="49">
        <v>3900000</v>
      </c>
      <c r="T52" s="48">
        <v>3900000</v>
      </c>
      <c r="U52" s="164">
        <f t="shared" si="3"/>
        <v>1</v>
      </c>
      <c r="V52" s="45" t="s">
        <v>384</v>
      </c>
      <c r="W52" s="223" t="s">
        <v>384</v>
      </c>
      <c r="X52" s="45" t="s">
        <v>591</v>
      </c>
      <c r="Y52" s="45" t="s">
        <v>591</v>
      </c>
      <c r="AA52" s="228"/>
      <c r="AB52" s="228"/>
    </row>
    <row r="53" spans="1:28" ht="90">
      <c r="A53" s="44">
        <f t="shared" si="0"/>
        <v>46</v>
      </c>
      <c r="B53" s="44" t="s">
        <v>29</v>
      </c>
      <c r="C53" s="44">
        <v>2017</v>
      </c>
      <c r="D53" s="45" t="s">
        <v>362</v>
      </c>
      <c r="E53" s="44" t="s">
        <v>7</v>
      </c>
      <c r="F53" s="50" t="s">
        <v>376</v>
      </c>
      <c r="G53" s="45" t="s">
        <v>76</v>
      </c>
      <c r="H53" s="48"/>
      <c r="I53" s="48"/>
      <c r="J53" s="48">
        <v>0</v>
      </c>
      <c r="K53" s="48">
        <v>0</v>
      </c>
      <c r="L53" s="48">
        <v>1485548</v>
      </c>
      <c r="M53" s="48">
        <v>1485648</v>
      </c>
      <c r="N53" s="48">
        <v>14452</v>
      </c>
      <c r="O53" s="48">
        <v>14452</v>
      </c>
      <c r="P53" s="48"/>
      <c r="Q53" s="48">
        <v>0</v>
      </c>
      <c r="R53" s="48">
        <f t="shared" si="2"/>
        <v>1500100</v>
      </c>
      <c r="S53" s="49">
        <v>1500000</v>
      </c>
      <c r="T53" s="48">
        <v>1500100</v>
      </c>
      <c r="U53" s="164">
        <f t="shared" si="3"/>
        <v>1</v>
      </c>
      <c r="V53" s="45" t="s">
        <v>385</v>
      </c>
      <c r="W53" s="45" t="s">
        <v>378</v>
      </c>
      <c r="X53" s="45" t="s">
        <v>800</v>
      </c>
      <c r="Y53" s="45" t="s">
        <v>83</v>
      </c>
      <c r="AA53" s="228"/>
      <c r="AB53" s="228"/>
    </row>
    <row r="54" spans="1:28" ht="120">
      <c r="A54" s="44">
        <f t="shared" si="0"/>
        <v>47</v>
      </c>
      <c r="B54" s="44" t="s">
        <v>29</v>
      </c>
      <c r="C54" s="44">
        <v>2016</v>
      </c>
      <c r="D54" s="45" t="s">
        <v>506</v>
      </c>
      <c r="E54" s="44" t="s">
        <v>7</v>
      </c>
      <c r="F54" s="50" t="s">
        <v>825</v>
      </c>
      <c r="G54" s="45" t="s">
        <v>76</v>
      </c>
      <c r="H54" s="48"/>
      <c r="I54" s="48"/>
      <c r="J54" s="48">
        <v>0</v>
      </c>
      <c r="K54" s="48">
        <v>0</v>
      </c>
      <c r="L54" s="48">
        <v>340000</v>
      </c>
      <c r="M54" s="48">
        <v>627986</v>
      </c>
      <c r="N54" s="48"/>
      <c r="O54" s="48">
        <v>184315</v>
      </c>
      <c r="P54" s="48"/>
      <c r="Q54" s="48">
        <v>4699</v>
      </c>
      <c r="R54" s="48">
        <f t="shared" si="2"/>
        <v>817000</v>
      </c>
      <c r="S54" s="49">
        <v>340000</v>
      </c>
      <c r="T54" s="48">
        <v>817000</v>
      </c>
      <c r="U54" s="164">
        <f t="shared" si="3"/>
        <v>1</v>
      </c>
      <c r="V54" s="45" t="s">
        <v>515</v>
      </c>
      <c r="W54" s="223" t="s">
        <v>516</v>
      </c>
      <c r="X54" s="45" t="s">
        <v>876</v>
      </c>
      <c r="Y54" s="45" t="s">
        <v>876</v>
      </c>
      <c r="AA54" s="228"/>
      <c r="AB54" s="228"/>
    </row>
    <row r="55" spans="1:28" ht="75">
      <c r="A55" s="44">
        <f t="shared" si="0"/>
        <v>48</v>
      </c>
      <c r="B55" s="44" t="s">
        <v>29</v>
      </c>
      <c r="C55" s="44">
        <v>2017</v>
      </c>
      <c r="D55" s="45" t="s">
        <v>506</v>
      </c>
      <c r="E55" s="44" t="s">
        <v>7</v>
      </c>
      <c r="F55" s="50" t="s">
        <v>826</v>
      </c>
      <c r="G55" s="45" t="s">
        <v>76</v>
      </c>
      <c r="H55" s="48"/>
      <c r="I55" s="48"/>
      <c r="J55" s="48">
        <v>0</v>
      </c>
      <c r="K55" s="48">
        <v>0</v>
      </c>
      <c r="L55" s="48"/>
      <c r="M55" s="48">
        <v>437161</v>
      </c>
      <c r="N55" s="48"/>
      <c r="O55" s="48">
        <v>8974</v>
      </c>
      <c r="P55" s="48"/>
      <c r="Q55" s="48">
        <v>0</v>
      </c>
      <c r="R55" s="48">
        <f t="shared" si="2"/>
        <v>446135</v>
      </c>
      <c r="S55" s="49"/>
      <c r="T55" s="48">
        <v>571732</v>
      </c>
      <c r="U55" s="164">
        <f t="shared" si="3"/>
        <v>0.78032189907159299</v>
      </c>
      <c r="V55" s="45" t="s">
        <v>517</v>
      </c>
      <c r="W55" s="45" t="s">
        <v>518</v>
      </c>
      <c r="X55" s="45" t="s">
        <v>857</v>
      </c>
      <c r="Y55" s="45" t="s">
        <v>857</v>
      </c>
      <c r="AA55" s="228"/>
      <c r="AB55" s="228"/>
    </row>
    <row r="56" spans="1:28" ht="150">
      <c r="A56" s="44">
        <f t="shared" si="0"/>
        <v>49</v>
      </c>
      <c r="B56" s="44" t="s">
        <v>29</v>
      </c>
      <c r="C56" s="44">
        <v>2017</v>
      </c>
      <c r="D56" s="45" t="s">
        <v>506</v>
      </c>
      <c r="E56" s="44" t="s">
        <v>7</v>
      </c>
      <c r="F56" s="50" t="s">
        <v>827</v>
      </c>
      <c r="G56" s="45" t="s">
        <v>76</v>
      </c>
      <c r="H56" s="48"/>
      <c r="I56" s="48">
        <v>79879</v>
      </c>
      <c r="J56" s="48">
        <v>0</v>
      </c>
      <c r="K56" s="48">
        <v>0</v>
      </c>
      <c r="L56" s="48"/>
      <c r="M56" s="48">
        <v>608169</v>
      </c>
      <c r="N56" s="48"/>
      <c r="O56" s="48">
        <v>236951</v>
      </c>
      <c r="P56" s="48"/>
      <c r="Q56" s="48">
        <v>46363</v>
      </c>
      <c r="R56" s="48">
        <f t="shared" si="2"/>
        <v>971362</v>
      </c>
      <c r="S56" s="49"/>
      <c r="T56" s="48">
        <v>988730</v>
      </c>
      <c r="U56" s="164">
        <f t="shared" si="3"/>
        <v>0.98243403153540398</v>
      </c>
      <c r="V56" s="45" t="s">
        <v>519</v>
      </c>
      <c r="W56" s="45" t="s">
        <v>520</v>
      </c>
      <c r="X56" s="45" t="s">
        <v>609</v>
      </c>
      <c r="Y56" s="45" t="s">
        <v>610</v>
      </c>
      <c r="AA56" s="228"/>
      <c r="AB56" s="228"/>
    </row>
    <row r="57" spans="1:28" ht="120">
      <c r="A57" s="44">
        <f t="shared" si="0"/>
        <v>50</v>
      </c>
      <c r="B57" s="44" t="s">
        <v>29</v>
      </c>
      <c r="C57" s="44">
        <v>2017</v>
      </c>
      <c r="D57" s="45" t="s">
        <v>506</v>
      </c>
      <c r="E57" s="44" t="s">
        <v>7</v>
      </c>
      <c r="F57" s="50" t="s">
        <v>828</v>
      </c>
      <c r="G57" s="45" t="s">
        <v>76</v>
      </c>
      <c r="H57" s="48"/>
      <c r="I57" s="48">
        <v>63040</v>
      </c>
      <c r="J57" s="48">
        <v>0</v>
      </c>
      <c r="K57" s="48">
        <v>0</v>
      </c>
      <c r="L57" s="48"/>
      <c r="M57" s="48">
        <v>0</v>
      </c>
      <c r="N57" s="48"/>
      <c r="O57" s="48">
        <v>126698</v>
      </c>
      <c r="P57" s="48"/>
      <c r="Q57" s="48">
        <v>28684</v>
      </c>
      <c r="R57" s="48">
        <f t="shared" si="2"/>
        <v>218422</v>
      </c>
      <c r="S57" s="49"/>
      <c r="T57" s="48">
        <v>218732</v>
      </c>
      <c r="U57" s="251">
        <f t="shared" si="3"/>
        <v>0.99858274052264873</v>
      </c>
      <c r="V57" s="45" t="s">
        <v>801</v>
      </c>
      <c r="W57" s="45" t="s">
        <v>802</v>
      </c>
      <c r="X57" s="45" t="s">
        <v>753</v>
      </c>
      <c r="Y57" s="45" t="s">
        <v>753</v>
      </c>
      <c r="AA57" s="228"/>
      <c r="AB57" s="228"/>
    </row>
    <row r="58" spans="1:28" ht="90">
      <c r="A58" s="44">
        <f t="shared" si="0"/>
        <v>51</v>
      </c>
      <c r="B58" s="44" t="s">
        <v>29</v>
      </c>
      <c r="C58" s="44"/>
      <c r="D58" s="45" t="s">
        <v>506</v>
      </c>
      <c r="E58" s="44" t="s">
        <v>7</v>
      </c>
      <c r="F58" s="50" t="s">
        <v>877</v>
      </c>
      <c r="G58" s="45" t="s">
        <v>76</v>
      </c>
      <c r="H58" s="48"/>
      <c r="I58" s="48"/>
      <c r="J58" s="48"/>
      <c r="K58" s="48">
        <v>0</v>
      </c>
      <c r="L58" s="48"/>
      <c r="M58" s="48">
        <v>0</v>
      </c>
      <c r="N58" s="48"/>
      <c r="O58" s="48">
        <v>0</v>
      </c>
      <c r="P58" s="48"/>
      <c r="Q58" s="48">
        <v>20806</v>
      </c>
      <c r="R58" s="48">
        <f t="shared" si="2"/>
        <v>20806</v>
      </c>
      <c r="S58" s="49"/>
      <c r="T58" s="48">
        <v>20806</v>
      </c>
      <c r="U58" s="251">
        <f t="shared" si="3"/>
        <v>1</v>
      </c>
      <c r="V58" s="45" t="s">
        <v>878</v>
      </c>
      <c r="W58" s="45" t="s">
        <v>879</v>
      </c>
      <c r="X58" s="45" t="s">
        <v>880</v>
      </c>
      <c r="Y58" s="45" t="s">
        <v>880</v>
      </c>
      <c r="AA58" s="228"/>
      <c r="AB58" s="228"/>
    </row>
    <row r="59" spans="1:28" ht="75">
      <c r="A59" s="44">
        <f t="shared" si="0"/>
        <v>52</v>
      </c>
      <c r="B59" s="44" t="s">
        <v>29</v>
      </c>
      <c r="C59" s="44">
        <v>2017</v>
      </c>
      <c r="D59" s="45" t="s">
        <v>647</v>
      </c>
      <c r="E59" s="44" t="s">
        <v>7</v>
      </c>
      <c r="F59" s="50" t="s">
        <v>829</v>
      </c>
      <c r="G59" s="45" t="s">
        <v>668</v>
      </c>
      <c r="H59" s="48"/>
      <c r="I59" s="48"/>
      <c r="J59" s="48"/>
      <c r="K59" s="48">
        <v>0</v>
      </c>
      <c r="L59" s="48"/>
      <c r="M59" s="48">
        <v>238127</v>
      </c>
      <c r="N59" s="48"/>
      <c r="O59" s="48">
        <v>3061873</v>
      </c>
      <c r="P59" s="48"/>
      <c r="Q59" s="48">
        <v>0</v>
      </c>
      <c r="R59" s="48">
        <f t="shared" si="2"/>
        <v>3300000</v>
      </c>
      <c r="S59" s="49"/>
      <c r="T59" s="48">
        <v>3300000</v>
      </c>
      <c r="U59" s="164">
        <f t="shared" si="3"/>
        <v>1</v>
      </c>
      <c r="V59" s="45" t="s">
        <v>709</v>
      </c>
      <c r="W59" s="45" t="s">
        <v>710</v>
      </c>
      <c r="X59" s="45" t="s">
        <v>711</v>
      </c>
      <c r="Y59" s="45" t="s">
        <v>711</v>
      </c>
      <c r="AA59" s="228"/>
      <c r="AB59" s="228"/>
    </row>
    <row r="60" spans="1:28" ht="30">
      <c r="A60" s="44">
        <f t="shared" si="0"/>
        <v>53</v>
      </c>
      <c r="B60" s="44" t="s">
        <v>29</v>
      </c>
      <c r="C60" s="44">
        <v>2018</v>
      </c>
      <c r="D60" s="45" t="s">
        <v>647</v>
      </c>
      <c r="E60" s="44" t="s">
        <v>7</v>
      </c>
      <c r="F60" s="50" t="s">
        <v>658</v>
      </c>
      <c r="G60" s="45"/>
      <c r="H60" s="48"/>
      <c r="I60" s="48"/>
      <c r="J60" s="48"/>
      <c r="K60" s="48">
        <v>0</v>
      </c>
      <c r="L60" s="48"/>
      <c r="M60" s="48">
        <v>0</v>
      </c>
      <c r="N60" s="48"/>
      <c r="O60" s="48">
        <v>0</v>
      </c>
      <c r="P60" s="48"/>
      <c r="Q60" s="48">
        <v>0</v>
      </c>
      <c r="R60" s="48">
        <f t="shared" si="2"/>
        <v>0</v>
      </c>
      <c r="S60" s="49"/>
      <c r="T60" s="48">
        <v>100</v>
      </c>
      <c r="U60" s="164">
        <f t="shared" si="3"/>
        <v>0</v>
      </c>
      <c r="V60" s="45"/>
      <c r="W60" s="45"/>
      <c r="X60" s="45"/>
      <c r="Y60" s="45"/>
      <c r="AA60" s="228"/>
      <c r="AB60" s="228"/>
    </row>
    <row r="61" spans="1:28" ht="135">
      <c r="A61" s="44">
        <f t="shared" si="0"/>
        <v>54</v>
      </c>
      <c r="B61" s="44" t="s">
        <v>29</v>
      </c>
      <c r="C61" s="44">
        <v>2018</v>
      </c>
      <c r="D61" s="45" t="s">
        <v>647</v>
      </c>
      <c r="E61" s="44" t="s">
        <v>7</v>
      </c>
      <c r="F61" s="50" t="s">
        <v>830</v>
      </c>
      <c r="G61" s="45"/>
      <c r="H61" s="48"/>
      <c r="I61" s="48"/>
      <c r="J61" s="48"/>
      <c r="K61" s="48">
        <v>0</v>
      </c>
      <c r="L61" s="48"/>
      <c r="M61" s="48">
        <v>0</v>
      </c>
      <c r="N61" s="48"/>
      <c r="O61" s="48">
        <v>110897</v>
      </c>
      <c r="P61" s="48"/>
      <c r="Q61" s="48">
        <v>0</v>
      </c>
      <c r="R61" s="48">
        <f t="shared" si="2"/>
        <v>110897</v>
      </c>
      <c r="S61" s="49"/>
      <c r="T61" s="48">
        <v>1500000</v>
      </c>
      <c r="U61" s="164">
        <f t="shared" si="3"/>
        <v>7.3931333333333335E-2</v>
      </c>
      <c r="V61" s="45" t="s">
        <v>679</v>
      </c>
      <c r="W61" s="45" t="s">
        <v>712</v>
      </c>
      <c r="X61" s="45" t="s">
        <v>754</v>
      </c>
      <c r="Y61" s="45" t="s">
        <v>755</v>
      </c>
      <c r="AA61" s="228"/>
      <c r="AB61" s="228"/>
    </row>
    <row r="62" spans="1:28" ht="105">
      <c r="A62" s="44">
        <f t="shared" si="0"/>
        <v>55</v>
      </c>
      <c r="B62" s="44" t="s">
        <v>29</v>
      </c>
      <c r="C62" s="44">
        <v>2018</v>
      </c>
      <c r="D62" s="45" t="s">
        <v>647</v>
      </c>
      <c r="E62" s="44" t="s">
        <v>7</v>
      </c>
      <c r="F62" s="50" t="s">
        <v>831</v>
      </c>
      <c r="G62" s="45" t="s">
        <v>76</v>
      </c>
      <c r="H62" s="48">
        <v>700000</v>
      </c>
      <c r="I62" s="48"/>
      <c r="J62" s="48"/>
      <c r="K62" s="48">
        <v>0</v>
      </c>
      <c r="L62" s="48"/>
      <c r="M62" s="48">
        <v>0</v>
      </c>
      <c r="N62" s="48"/>
      <c r="O62" s="48">
        <v>0</v>
      </c>
      <c r="P62" s="48"/>
      <c r="Q62" s="48">
        <v>0</v>
      </c>
      <c r="R62" s="48">
        <f t="shared" si="2"/>
        <v>700000</v>
      </c>
      <c r="S62" s="49"/>
      <c r="T62" s="48">
        <v>700000</v>
      </c>
      <c r="U62" s="164">
        <f t="shared" si="3"/>
        <v>1</v>
      </c>
      <c r="V62" s="45" t="s">
        <v>756</v>
      </c>
      <c r="W62" s="45" t="s">
        <v>757</v>
      </c>
      <c r="X62" s="45" t="s">
        <v>758</v>
      </c>
      <c r="Y62" s="45" t="s">
        <v>758</v>
      </c>
      <c r="AA62" s="228"/>
      <c r="AB62" s="228"/>
    </row>
    <row r="63" spans="1:28" ht="75">
      <c r="A63" s="44">
        <f t="shared" si="0"/>
        <v>56</v>
      </c>
      <c r="B63" s="44" t="s">
        <v>29</v>
      </c>
      <c r="C63" s="44">
        <v>2018</v>
      </c>
      <c r="D63" s="45" t="s">
        <v>743</v>
      </c>
      <c r="E63" s="44" t="s">
        <v>7</v>
      </c>
      <c r="F63" s="50" t="s">
        <v>832</v>
      </c>
      <c r="G63" s="45"/>
      <c r="H63" s="48"/>
      <c r="I63" s="48">
        <f>4817831+535314+1</f>
        <v>5353146</v>
      </c>
      <c r="J63" s="48"/>
      <c r="K63" s="48">
        <v>0</v>
      </c>
      <c r="L63" s="48"/>
      <c r="M63" s="48">
        <v>0</v>
      </c>
      <c r="N63" s="48"/>
      <c r="O63" s="48">
        <v>816690</v>
      </c>
      <c r="P63" s="48">
        <v>13182169</v>
      </c>
      <c r="Q63" s="48">
        <v>13830164</v>
      </c>
      <c r="R63" s="48">
        <f t="shared" si="2"/>
        <v>20000000</v>
      </c>
      <c r="S63" s="49">
        <v>18000000</v>
      </c>
      <c r="T63" s="48">
        <v>20000000</v>
      </c>
      <c r="U63" s="164">
        <f t="shared" si="3"/>
        <v>1</v>
      </c>
      <c r="V63" s="45" t="s">
        <v>759</v>
      </c>
      <c r="W63" s="45" t="s">
        <v>760</v>
      </c>
      <c r="X63" s="45" t="s">
        <v>881</v>
      </c>
      <c r="Y63" s="45" t="s">
        <v>881</v>
      </c>
      <c r="AA63" s="228"/>
      <c r="AB63" s="228"/>
    </row>
    <row r="64" spans="1:28" ht="30">
      <c r="A64" s="44">
        <f t="shared" si="0"/>
        <v>57</v>
      </c>
      <c r="B64" s="44" t="s">
        <v>29</v>
      </c>
      <c r="C64" s="44">
        <v>2019</v>
      </c>
      <c r="D64" s="45" t="s">
        <v>743</v>
      </c>
      <c r="E64" s="44" t="s">
        <v>7</v>
      </c>
      <c r="F64" s="50" t="s">
        <v>744</v>
      </c>
      <c r="G64" s="45"/>
      <c r="H64" s="47"/>
      <c r="I64" s="47"/>
      <c r="J64" s="48"/>
      <c r="K64" s="48">
        <v>0</v>
      </c>
      <c r="L64" s="48"/>
      <c r="M64" s="48">
        <v>0</v>
      </c>
      <c r="N64" s="48"/>
      <c r="O64" s="48">
        <v>0</v>
      </c>
      <c r="P64" s="48"/>
      <c r="Q64" s="48">
        <v>0</v>
      </c>
      <c r="R64" s="48">
        <f t="shared" si="2"/>
        <v>0</v>
      </c>
      <c r="S64" s="49"/>
      <c r="T64" s="48">
        <v>100</v>
      </c>
      <c r="U64" s="164">
        <f t="shared" si="3"/>
        <v>0</v>
      </c>
      <c r="V64" s="45"/>
      <c r="W64" s="45"/>
      <c r="X64" s="44"/>
      <c r="Y64" s="45"/>
      <c r="AA64" s="228"/>
      <c r="AB64" s="228"/>
    </row>
    <row r="65" spans="1:28" ht="30">
      <c r="A65" s="44">
        <f t="shared" si="0"/>
        <v>58</v>
      </c>
      <c r="B65" s="44" t="s">
        <v>30</v>
      </c>
      <c r="C65" s="44">
        <v>2018</v>
      </c>
      <c r="D65" s="45" t="s">
        <v>647</v>
      </c>
      <c r="E65" s="44" t="s">
        <v>7</v>
      </c>
      <c r="F65" s="50" t="s">
        <v>833</v>
      </c>
      <c r="G65" s="45" t="s">
        <v>143</v>
      </c>
      <c r="H65" s="48"/>
      <c r="I65" s="48"/>
      <c r="J65" s="48"/>
      <c r="K65" s="48">
        <v>0</v>
      </c>
      <c r="L65" s="48"/>
      <c r="M65" s="48">
        <v>0</v>
      </c>
      <c r="N65" s="48"/>
      <c r="O65" s="48">
        <v>2591406.17</v>
      </c>
      <c r="P65" s="48"/>
      <c r="Q65" s="48">
        <v>0</v>
      </c>
      <c r="R65" s="48">
        <f t="shared" si="2"/>
        <v>2591406.17</v>
      </c>
      <c r="S65" s="49"/>
      <c r="T65" s="48">
        <v>5400000</v>
      </c>
      <c r="U65" s="164">
        <f t="shared" si="3"/>
        <v>0.47989003148148146</v>
      </c>
      <c r="V65" s="45" t="s">
        <v>681</v>
      </c>
      <c r="W65" s="45"/>
      <c r="X65" s="45"/>
      <c r="Y65" s="45" t="s">
        <v>713</v>
      </c>
      <c r="AA65" s="228"/>
      <c r="AB65" s="228"/>
    </row>
    <row r="66" spans="1:28" ht="45">
      <c r="A66" s="44">
        <f t="shared" si="0"/>
        <v>59</v>
      </c>
      <c r="B66" s="44" t="s">
        <v>30</v>
      </c>
      <c r="C66" s="44">
        <v>2018</v>
      </c>
      <c r="D66" s="45" t="s">
        <v>647</v>
      </c>
      <c r="E66" s="44" t="s">
        <v>7</v>
      </c>
      <c r="F66" s="50" t="s">
        <v>834</v>
      </c>
      <c r="G66" s="45" t="s">
        <v>143</v>
      </c>
      <c r="H66" s="48"/>
      <c r="I66" s="48"/>
      <c r="J66" s="48"/>
      <c r="K66" s="48">
        <v>0</v>
      </c>
      <c r="L66" s="48"/>
      <c r="M66" s="48">
        <v>0</v>
      </c>
      <c r="N66" s="48"/>
      <c r="O66" s="48">
        <v>0</v>
      </c>
      <c r="P66" s="48"/>
      <c r="Q66" s="48">
        <v>0</v>
      </c>
      <c r="R66" s="48">
        <f t="shared" si="2"/>
        <v>0</v>
      </c>
      <c r="S66" s="49"/>
      <c r="T66" s="48">
        <v>600000</v>
      </c>
      <c r="U66" s="164">
        <f t="shared" si="3"/>
        <v>0</v>
      </c>
      <c r="V66" s="45" t="s">
        <v>707</v>
      </c>
      <c r="W66" s="45"/>
      <c r="X66" s="45"/>
      <c r="Y66" s="45" t="s">
        <v>713</v>
      </c>
      <c r="AA66" s="228"/>
      <c r="AB66" s="228"/>
    </row>
    <row r="67" spans="1:28" ht="45">
      <c r="A67" s="44">
        <f t="shared" si="0"/>
        <v>60</v>
      </c>
      <c r="B67" s="44" t="s">
        <v>30</v>
      </c>
      <c r="C67" s="44">
        <v>2018</v>
      </c>
      <c r="D67" s="45" t="s">
        <v>647</v>
      </c>
      <c r="E67" s="44" t="s">
        <v>7</v>
      </c>
      <c r="F67" s="50" t="s">
        <v>835</v>
      </c>
      <c r="G67" s="45" t="s">
        <v>29</v>
      </c>
      <c r="H67" s="48"/>
      <c r="I67" s="48"/>
      <c r="J67" s="48"/>
      <c r="K67" s="48">
        <v>0</v>
      </c>
      <c r="L67" s="48"/>
      <c r="M67" s="48">
        <v>0</v>
      </c>
      <c r="N67" s="48"/>
      <c r="O67" s="48">
        <v>115148.32</v>
      </c>
      <c r="P67" s="48"/>
      <c r="Q67" s="48">
        <v>0</v>
      </c>
      <c r="R67" s="48">
        <f t="shared" si="2"/>
        <v>115148.32</v>
      </c>
      <c r="S67" s="49"/>
      <c r="T67" s="48">
        <v>1500000</v>
      </c>
      <c r="U67" s="164">
        <f t="shared" si="3"/>
        <v>7.676554666666667E-2</v>
      </c>
      <c r="V67" s="45" t="s">
        <v>680</v>
      </c>
      <c r="W67" s="45"/>
      <c r="X67" s="45"/>
      <c r="Y67" s="45" t="s">
        <v>714</v>
      </c>
      <c r="AA67" s="228"/>
      <c r="AB67" s="228"/>
    </row>
    <row r="68" spans="1:28" ht="45">
      <c r="A68" s="44">
        <f t="shared" si="0"/>
        <v>61</v>
      </c>
      <c r="B68" s="44" t="s">
        <v>30</v>
      </c>
      <c r="C68" s="44">
        <v>2016</v>
      </c>
      <c r="D68" s="45" t="s">
        <v>31</v>
      </c>
      <c r="E68" s="44" t="s">
        <v>7</v>
      </c>
      <c r="F68" s="50" t="s">
        <v>731</v>
      </c>
      <c r="G68" s="45" t="s">
        <v>265</v>
      </c>
      <c r="H68" s="48"/>
      <c r="I68" s="48"/>
      <c r="J68" s="48">
        <v>250508.16</v>
      </c>
      <c r="K68" s="48">
        <v>250508.16</v>
      </c>
      <c r="L68" s="48"/>
      <c r="M68" s="48">
        <v>0</v>
      </c>
      <c r="N68" s="48"/>
      <c r="O68" s="48">
        <v>0</v>
      </c>
      <c r="P68" s="48"/>
      <c r="Q68" s="48">
        <v>0</v>
      </c>
      <c r="R68" s="48">
        <f t="shared" si="2"/>
        <v>250508.16</v>
      </c>
      <c r="S68" s="49"/>
      <c r="T68" s="48">
        <v>0</v>
      </c>
      <c r="U68" s="164" t="str">
        <f t="shared" si="3"/>
        <v/>
      </c>
      <c r="V68" s="252" t="s">
        <v>637</v>
      </c>
      <c r="W68" s="45" t="s">
        <v>446</v>
      </c>
      <c r="X68" s="253" t="s">
        <v>732</v>
      </c>
      <c r="Y68" s="254" t="s">
        <v>578</v>
      </c>
      <c r="AA68" s="228"/>
      <c r="AB68" s="228"/>
    </row>
    <row r="69" spans="1:28" ht="210">
      <c r="A69" s="44">
        <f t="shared" si="0"/>
        <v>62</v>
      </c>
      <c r="B69" s="44" t="s">
        <v>30</v>
      </c>
      <c r="C69" s="44">
        <v>2015</v>
      </c>
      <c r="D69" s="45" t="s">
        <v>31</v>
      </c>
      <c r="E69" s="44" t="s">
        <v>7</v>
      </c>
      <c r="F69" s="50" t="s">
        <v>118</v>
      </c>
      <c r="G69" s="45" t="s">
        <v>265</v>
      </c>
      <c r="H69" s="48"/>
      <c r="I69" s="48"/>
      <c r="J69" s="48">
        <f>1137055-250508.16</f>
        <v>886546.84</v>
      </c>
      <c r="K69" s="48">
        <v>886546.84</v>
      </c>
      <c r="L69" s="48"/>
      <c r="M69" s="48">
        <v>0</v>
      </c>
      <c r="N69" s="48"/>
      <c r="O69" s="48">
        <v>0</v>
      </c>
      <c r="P69" s="48"/>
      <c r="Q69" s="48">
        <v>0</v>
      </c>
      <c r="R69" s="48">
        <f t="shared" si="2"/>
        <v>886546.84</v>
      </c>
      <c r="S69" s="49"/>
      <c r="T69" s="48">
        <v>0</v>
      </c>
      <c r="U69" s="164" t="str">
        <f t="shared" si="3"/>
        <v/>
      </c>
      <c r="V69" s="45" t="s">
        <v>735</v>
      </c>
      <c r="W69" s="45" t="s">
        <v>119</v>
      </c>
      <c r="X69" s="253" t="s">
        <v>343</v>
      </c>
      <c r="Y69" s="252" t="s">
        <v>501</v>
      </c>
      <c r="AA69" s="228"/>
      <c r="AB69" s="228"/>
    </row>
    <row r="70" spans="1:28" ht="210">
      <c r="A70" s="44">
        <f t="shared" si="0"/>
        <v>63</v>
      </c>
      <c r="B70" s="44" t="s">
        <v>30</v>
      </c>
      <c r="C70" s="44">
        <v>2016</v>
      </c>
      <c r="D70" s="45" t="s">
        <v>42</v>
      </c>
      <c r="E70" s="44" t="s">
        <v>7</v>
      </c>
      <c r="F70" s="50" t="s">
        <v>118</v>
      </c>
      <c r="G70" s="45" t="s">
        <v>265</v>
      </c>
      <c r="H70" s="48"/>
      <c r="I70" s="48"/>
      <c r="J70" s="48"/>
      <c r="K70" s="48">
        <v>582486.4</v>
      </c>
      <c r="L70" s="48"/>
      <c r="M70" s="48">
        <v>0</v>
      </c>
      <c r="N70" s="48"/>
      <c r="O70" s="48">
        <v>0</v>
      </c>
      <c r="P70" s="48"/>
      <c r="Q70" s="48">
        <v>0</v>
      </c>
      <c r="R70" s="48">
        <f t="shared" si="2"/>
        <v>582486.4</v>
      </c>
      <c r="S70" s="49"/>
      <c r="T70" s="48">
        <v>582486.4</v>
      </c>
      <c r="U70" s="164">
        <f t="shared" si="3"/>
        <v>1</v>
      </c>
      <c r="V70" s="45" t="s">
        <v>735</v>
      </c>
      <c r="W70" s="45" t="s">
        <v>119</v>
      </c>
      <c r="X70" s="253" t="s">
        <v>734</v>
      </c>
      <c r="Y70" s="252" t="s">
        <v>501</v>
      </c>
      <c r="AA70" s="228"/>
      <c r="AB70" s="228"/>
    </row>
    <row r="71" spans="1:28" ht="45">
      <c r="A71" s="44">
        <f t="shared" si="0"/>
        <v>64</v>
      </c>
      <c r="B71" s="44" t="s">
        <v>30</v>
      </c>
      <c r="C71" s="44">
        <v>2016</v>
      </c>
      <c r="D71" s="45" t="s">
        <v>42</v>
      </c>
      <c r="E71" s="44" t="s">
        <v>7</v>
      </c>
      <c r="F71" s="50" t="s">
        <v>731</v>
      </c>
      <c r="G71" s="45" t="s">
        <v>265</v>
      </c>
      <c r="H71" s="48"/>
      <c r="I71" s="48"/>
      <c r="J71" s="48"/>
      <c r="K71" s="48">
        <v>417513.6</v>
      </c>
      <c r="L71" s="48"/>
      <c r="M71" s="48">
        <v>0</v>
      </c>
      <c r="N71" s="48"/>
      <c r="O71" s="48">
        <v>0</v>
      </c>
      <c r="P71" s="48"/>
      <c r="Q71" s="48">
        <v>0</v>
      </c>
      <c r="R71" s="48">
        <f t="shared" si="2"/>
        <v>417513.6</v>
      </c>
      <c r="S71" s="49"/>
      <c r="T71" s="48">
        <v>417513.6</v>
      </c>
      <c r="U71" s="164">
        <f t="shared" si="3"/>
        <v>1</v>
      </c>
      <c r="V71" s="252" t="s">
        <v>637</v>
      </c>
      <c r="W71" s="45" t="s">
        <v>446</v>
      </c>
      <c r="X71" s="253" t="s">
        <v>733</v>
      </c>
      <c r="Y71" s="254" t="s">
        <v>578</v>
      </c>
      <c r="AA71" s="228"/>
      <c r="AB71" s="228"/>
    </row>
    <row r="72" spans="1:28" ht="210">
      <c r="A72" s="44">
        <f t="shared" si="0"/>
        <v>65</v>
      </c>
      <c r="B72" s="44" t="s">
        <v>30</v>
      </c>
      <c r="C72" s="44">
        <v>2016</v>
      </c>
      <c r="D72" s="45" t="s">
        <v>42</v>
      </c>
      <c r="E72" s="44" t="s">
        <v>28</v>
      </c>
      <c r="F72" s="50" t="s">
        <v>121</v>
      </c>
      <c r="G72" s="45" t="s">
        <v>255</v>
      </c>
      <c r="H72" s="47"/>
      <c r="I72" s="47"/>
      <c r="J72" s="48">
        <v>165000</v>
      </c>
      <c r="K72" s="48">
        <v>165000</v>
      </c>
      <c r="L72" s="48"/>
      <c r="M72" s="48">
        <v>0</v>
      </c>
      <c r="N72" s="48"/>
      <c r="O72" s="48">
        <v>0</v>
      </c>
      <c r="P72" s="48"/>
      <c r="Q72" s="48">
        <v>0</v>
      </c>
      <c r="R72" s="48">
        <f t="shared" si="2"/>
        <v>165000</v>
      </c>
      <c r="S72" s="49">
        <f>275000-110000</f>
        <v>165000</v>
      </c>
      <c r="T72" s="48">
        <v>165000</v>
      </c>
      <c r="U72" s="164">
        <f t="shared" si="3"/>
        <v>1</v>
      </c>
      <c r="V72" s="45" t="s">
        <v>450</v>
      </c>
      <c r="W72" s="45" t="s">
        <v>241</v>
      </c>
      <c r="X72" s="45">
        <v>168</v>
      </c>
      <c r="Y72" s="254" t="s">
        <v>578</v>
      </c>
      <c r="AA72" s="228"/>
      <c r="AB72" s="228"/>
    </row>
    <row r="73" spans="1:28" ht="210">
      <c r="A73" s="44">
        <f t="shared" si="0"/>
        <v>66</v>
      </c>
      <c r="B73" s="44" t="s">
        <v>30</v>
      </c>
      <c r="C73" s="44">
        <v>2016</v>
      </c>
      <c r="D73" s="45" t="s">
        <v>42</v>
      </c>
      <c r="E73" s="44" t="s">
        <v>28</v>
      </c>
      <c r="F73" s="50" t="s">
        <v>761</v>
      </c>
      <c r="G73" s="45" t="s">
        <v>255</v>
      </c>
      <c r="H73" s="48"/>
      <c r="I73" s="48"/>
      <c r="J73" s="48">
        <v>249128.7</v>
      </c>
      <c r="K73" s="48">
        <v>249128.7</v>
      </c>
      <c r="L73" s="48"/>
      <c r="M73" s="48">
        <v>0</v>
      </c>
      <c r="N73" s="48"/>
      <c r="O73" s="48">
        <v>0</v>
      </c>
      <c r="P73" s="48"/>
      <c r="Q73" s="48">
        <v>0</v>
      </c>
      <c r="R73" s="48">
        <f t="shared" si="2"/>
        <v>249128.7</v>
      </c>
      <c r="S73" s="49">
        <v>249100</v>
      </c>
      <c r="T73" s="48">
        <v>249100</v>
      </c>
      <c r="U73" s="164">
        <f t="shared" si="3"/>
        <v>1.0001152147731835</v>
      </c>
      <c r="V73" s="252" t="s">
        <v>762</v>
      </c>
      <c r="W73" s="252" t="s">
        <v>763</v>
      </c>
      <c r="X73" s="45">
        <v>32</v>
      </c>
      <c r="Y73" s="252" t="s">
        <v>544</v>
      </c>
      <c r="AA73" s="228"/>
      <c r="AB73" s="228"/>
    </row>
    <row r="74" spans="1:28" ht="135">
      <c r="A74" s="44">
        <f t="shared" ref="A74:A137" si="4">+A73+1</f>
        <v>67</v>
      </c>
      <c r="B74" s="44" t="s">
        <v>30</v>
      </c>
      <c r="C74" s="44">
        <v>2016</v>
      </c>
      <c r="D74" s="45" t="s">
        <v>42</v>
      </c>
      <c r="E74" s="44" t="s">
        <v>28</v>
      </c>
      <c r="F74" s="50" t="s">
        <v>764</v>
      </c>
      <c r="G74" s="45" t="s">
        <v>256</v>
      </c>
      <c r="H74" s="48"/>
      <c r="I74" s="48"/>
      <c r="J74" s="48">
        <v>219430</v>
      </c>
      <c r="K74" s="48">
        <v>219430</v>
      </c>
      <c r="L74" s="48"/>
      <c r="M74" s="48">
        <v>0</v>
      </c>
      <c r="N74" s="48"/>
      <c r="O74" s="48">
        <v>0</v>
      </c>
      <c r="P74" s="48"/>
      <c r="Q74" s="48">
        <v>0</v>
      </c>
      <c r="R74" s="48">
        <f t="shared" si="2"/>
        <v>219430</v>
      </c>
      <c r="S74" s="49">
        <v>219400</v>
      </c>
      <c r="T74" s="48">
        <v>219400</v>
      </c>
      <c r="U74" s="164">
        <f t="shared" si="3"/>
        <v>1.0001367365542388</v>
      </c>
      <c r="V74" s="45" t="s">
        <v>312</v>
      </c>
      <c r="W74" s="45" t="s">
        <v>313</v>
      </c>
      <c r="X74" s="255" t="s">
        <v>451</v>
      </c>
      <c r="Y74" s="255" t="s">
        <v>701</v>
      </c>
      <c r="AA74" s="228"/>
      <c r="AB74" s="228"/>
    </row>
    <row r="75" spans="1:28" ht="180">
      <c r="A75" s="44">
        <f t="shared" si="4"/>
        <v>68</v>
      </c>
      <c r="B75" s="44" t="s">
        <v>30</v>
      </c>
      <c r="C75" s="44">
        <v>2016</v>
      </c>
      <c r="D75" s="45" t="s">
        <v>42</v>
      </c>
      <c r="E75" s="44" t="s">
        <v>28</v>
      </c>
      <c r="F75" s="50" t="s">
        <v>764</v>
      </c>
      <c r="G75" s="45" t="s">
        <v>258</v>
      </c>
      <c r="H75" s="48">
        <v>0</v>
      </c>
      <c r="I75" s="48"/>
      <c r="J75" s="48">
        <v>134425.01999999999</v>
      </c>
      <c r="K75" s="48">
        <v>134425.01999999999</v>
      </c>
      <c r="L75" s="48">
        <v>82016.28</v>
      </c>
      <c r="M75" s="48">
        <v>82016.28</v>
      </c>
      <c r="N75" s="48"/>
      <c r="O75" s="48">
        <v>0</v>
      </c>
      <c r="P75" s="48"/>
      <c r="Q75" s="48">
        <v>0</v>
      </c>
      <c r="R75" s="48">
        <f t="shared" si="2"/>
        <v>216441.3</v>
      </c>
      <c r="S75" s="49">
        <v>216500</v>
      </c>
      <c r="T75" s="48">
        <v>216500</v>
      </c>
      <c r="U75" s="164">
        <f t="shared" si="3"/>
        <v>0.99972886836027708</v>
      </c>
      <c r="V75" s="45" t="s">
        <v>312</v>
      </c>
      <c r="W75" s="45" t="s">
        <v>313</v>
      </c>
      <c r="X75" s="45" t="s">
        <v>523</v>
      </c>
      <c r="Y75" s="255" t="s">
        <v>579</v>
      </c>
      <c r="AA75" s="228"/>
      <c r="AB75" s="228"/>
    </row>
    <row r="76" spans="1:28" ht="210">
      <c r="A76" s="44">
        <f t="shared" si="4"/>
        <v>69</v>
      </c>
      <c r="B76" s="44" t="s">
        <v>30</v>
      </c>
      <c r="C76" s="44">
        <v>2016</v>
      </c>
      <c r="D76" s="45" t="s">
        <v>43</v>
      </c>
      <c r="E76" s="44" t="s">
        <v>8</v>
      </c>
      <c r="F76" s="50" t="s">
        <v>97</v>
      </c>
      <c r="G76" s="45" t="s">
        <v>256</v>
      </c>
      <c r="H76" s="47">
        <v>0</v>
      </c>
      <c r="I76" s="47"/>
      <c r="J76" s="48">
        <v>200000</v>
      </c>
      <c r="K76" s="48">
        <v>200000</v>
      </c>
      <c r="L76" s="48"/>
      <c r="M76" s="48">
        <v>0</v>
      </c>
      <c r="N76" s="256"/>
      <c r="O76" s="48">
        <v>0</v>
      </c>
      <c r="P76" s="48"/>
      <c r="Q76" s="48">
        <v>0</v>
      </c>
      <c r="R76" s="48">
        <f t="shared" si="2"/>
        <v>200000</v>
      </c>
      <c r="S76" s="49">
        <v>200000</v>
      </c>
      <c r="T76" s="48">
        <v>200000</v>
      </c>
      <c r="U76" s="164">
        <f t="shared" si="3"/>
        <v>1</v>
      </c>
      <c r="V76" s="45" t="s">
        <v>54</v>
      </c>
      <c r="W76" s="45" t="s">
        <v>310</v>
      </c>
      <c r="X76" s="45" t="s">
        <v>490</v>
      </c>
      <c r="Y76" s="45" t="s">
        <v>538</v>
      </c>
      <c r="AA76" s="228"/>
      <c r="AB76" s="228"/>
    </row>
    <row r="77" spans="1:28" ht="180">
      <c r="A77" s="44">
        <f t="shared" si="4"/>
        <v>70</v>
      </c>
      <c r="B77" s="44" t="s">
        <v>30</v>
      </c>
      <c r="C77" s="44">
        <v>2016</v>
      </c>
      <c r="D77" s="45" t="s">
        <v>43</v>
      </c>
      <c r="E77" s="44" t="s">
        <v>8</v>
      </c>
      <c r="F77" s="50" t="s">
        <v>98</v>
      </c>
      <c r="G77" s="45" t="s">
        <v>256</v>
      </c>
      <c r="H77" s="47"/>
      <c r="I77" s="47">
        <v>0</v>
      </c>
      <c r="J77" s="48">
        <v>28551.25</v>
      </c>
      <c r="K77" s="48">
        <v>67509.25</v>
      </c>
      <c r="L77" s="48"/>
      <c r="M77" s="48">
        <v>0</v>
      </c>
      <c r="N77" s="256"/>
      <c r="O77" s="48">
        <v>0</v>
      </c>
      <c r="P77" s="48"/>
      <c r="Q77" s="48">
        <v>0</v>
      </c>
      <c r="R77" s="48">
        <f t="shared" si="2"/>
        <v>67509.25</v>
      </c>
      <c r="S77" s="49">
        <f>30000-1500</f>
        <v>28500</v>
      </c>
      <c r="T77" s="48">
        <v>118500</v>
      </c>
      <c r="U77" s="164">
        <f t="shared" si="3"/>
        <v>0.56969831223628697</v>
      </c>
      <c r="V77" s="45" t="s">
        <v>99</v>
      </c>
      <c r="W77" s="45" t="s">
        <v>100</v>
      </c>
      <c r="X77" s="45" t="s">
        <v>695</v>
      </c>
      <c r="Y77" s="255" t="s">
        <v>715</v>
      </c>
      <c r="AA77" s="228"/>
      <c r="AB77" s="228"/>
    </row>
    <row r="78" spans="1:28" ht="180">
      <c r="A78" s="44">
        <f t="shared" si="4"/>
        <v>71</v>
      </c>
      <c r="B78" s="44" t="s">
        <v>30</v>
      </c>
      <c r="C78" s="44">
        <v>2018</v>
      </c>
      <c r="D78" s="45" t="s">
        <v>647</v>
      </c>
      <c r="E78" s="44" t="s">
        <v>8</v>
      </c>
      <c r="F78" s="50" t="s">
        <v>98</v>
      </c>
      <c r="G78" s="45" t="s">
        <v>256</v>
      </c>
      <c r="H78" s="47">
        <f>67.88+20000</f>
        <v>20067.88</v>
      </c>
      <c r="I78" s="47">
        <v>0</v>
      </c>
      <c r="J78" s="48"/>
      <c r="K78" s="48">
        <v>0</v>
      </c>
      <c r="L78" s="48"/>
      <c r="M78" s="48">
        <v>0</v>
      </c>
      <c r="N78" s="256"/>
      <c r="O78" s="48">
        <v>0</v>
      </c>
      <c r="P78" s="48"/>
      <c r="Q78" s="48">
        <v>0</v>
      </c>
      <c r="R78" s="48">
        <f t="shared" si="2"/>
        <v>20067.88</v>
      </c>
      <c r="S78" s="49"/>
      <c r="T78" s="48">
        <v>120000</v>
      </c>
      <c r="U78" s="164">
        <f t="shared" si="3"/>
        <v>0.16723233333333334</v>
      </c>
      <c r="V78" s="45" t="s">
        <v>99</v>
      </c>
      <c r="W78" s="45" t="s">
        <v>100</v>
      </c>
      <c r="X78" s="45" t="s">
        <v>695</v>
      </c>
      <c r="Y78" s="255" t="s">
        <v>715</v>
      </c>
      <c r="AA78" s="228"/>
      <c r="AB78" s="228"/>
    </row>
    <row r="79" spans="1:28" ht="120">
      <c r="A79" s="44">
        <f t="shared" si="4"/>
        <v>72</v>
      </c>
      <c r="B79" s="44" t="s">
        <v>30</v>
      </c>
      <c r="C79" s="44">
        <v>2016</v>
      </c>
      <c r="D79" s="45" t="s">
        <v>43</v>
      </c>
      <c r="E79" s="44" t="s">
        <v>8</v>
      </c>
      <c r="F79" s="50" t="s">
        <v>101</v>
      </c>
      <c r="G79" s="45" t="s">
        <v>257</v>
      </c>
      <c r="H79" s="48"/>
      <c r="I79" s="48"/>
      <c r="J79" s="48">
        <v>937200.01</v>
      </c>
      <c r="K79" s="48">
        <v>937200.01</v>
      </c>
      <c r="L79" s="48"/>
      <c r="M79" s="48">
        <v>0</v>
      </c>
      <c r="N79" s="257">
        <v>839459.64</v>
      </c>
      <c r="O79" s="48">
        <v>839459.64</v>
      </c>
      <c r="P79" s="211"/>
      <c r="Q79" s="48">
        <v>0</v>
      </c>
      <c r="R79" s="48">
        <f t="shared" si="2"/>
        <v>1776659.65</v>
      </c>
      <c r="S79" s="49">
        <f>1740700+36000</f>
        <v>1776700</v>
      </c>
      <c r="T79" s="48">
        <v>1776700</v>
      </c>
      <c r="U79" s="164">
        <f t="shared" si="3"/>
        <v>0.99997728935667241</v>
      </c>
      <c r="V79" s="45" t="s">
        <v>102</v>
      </c>
      <c r="W79" s="45" t="s">
        <v>448</v>
      </c>
      <c r="X79" s="45" t="s">
        <v>491</v>
      </c>
      <c r="Y79" s="45" t="s">
        <v>539</v>
      </c>
      <c r="AA79" s="228"/>
      <c r="AB79" s="228"/>
    </row>
    <row r="80" spans="1:28" ht="90">
      <c r="A80" s="44">
        <f t="shared" si="4"/>
        <v>73</v>
      </c>
      <c r="B80" s="44" t="s">
        <v>30</v>
      </c>
      <c r="C80" s="44">
        <v>2016</v>
      </c>
      <c r="D80" s="45" t="s">
        <v>43</v>
      </c>
      <c r="E80" s="44" t="s">
        <v>8</v>
      </c>
      <c r="F80" s="50" t="s">
        <v>765</v>
      </c>
      <c r="G80" s="221" t="s">
        <v>464</v>
      </c>
      <c r="H80" s="48"/>
      <c r="I80" s="48"/>
      <c r="J80" s="48">
        <v>0</v>
      </c>
      <c r="K80" s="48">
        <v>0</v>
      </c>
      <c r="L80" s="48"/>
      <c r="M80" s="48">
        <v>774424.68</v>
      </c>
      <c r="N80" s="256"/>
      <c r="O80" s="48">
        <v>97575.32</v>
      </c>
      <c r="P80" s="48"/>
      <c r="Q80" s="48">
        <v>0</v>
      </c>
      <c r="R80" s="48">
        <f t="shared" si="2"/>
        <v>872000</v>
      </c>
      <c r="S80" s="49"/>
      <c r="T80" s="48">
        <v>872000</v>
      </c>
      <c r="U80" s="164">
        <f t="shared" si="3"/>
        <v>1</v>
      </c>
      <c r="V80" s="45" t="s">
        <v>492</v>
      </c>
      <c r="W80" s="45" t="s">
        <v>493</v>
      </c>
      <c r="X80" s="45"/>
      <c r="Y80" s="258" t="s">
        <v>578</v>
      </c>
      <c r="AA80" s="228"/>
      <c r="AB80" s="228"/>
    </row>
    <row r="81" spans="1:28" ht="60">
      <c r="A81" s="44">
        <f t="shared" si="4"/>
        <v>74</v>
      </c>
      <c r="B81" s="44" t="s">
        <v>30</v>
      </c>
      <c r="C81" s="44">
        <v>2016</v>
      </c>
      <c r="D81" s="45" t="s">
        <v>43</v>
      </c>
      <c r="E81" s="44" t="s">
        <v>8</v>
      </c>
      <c r="F81" s="50" t="s">
        <v>103</v>
      </c>
      <c r="G81" s="221" t="s">
        <v>256</v>
      </c>
      <c r="H81" s="48"/>
      <c r="I81" s="48"/>
      <c r="J81" s="48">
        <v>6509</v>
      </c>
      <c r="K81" s="48">
        <v>6509</v>
      </c>
      <c r="L81" s="48">
        <v>22606</v>
      </c>
      <c r="M81" s="48">
        <v>77606</v>
      </c>
      <c r="N81" s="256"/>
      <c r="O81" s="48">
        <v>-5467</v>
      </c>
      <c r="P81" s="48"/>
      <c r="Q81" s="48">
        <v>0</v>
      </c>
      <c r="R81" s="48">
        <f t="shared" si="2"/>
        <v>78648</v>
      </c>
      <c r="S81" s="49">
        <f>30000-900</f>
        <v>29100</v>
      </c>
      <c r="T81" s="48">
        <v>78600</v>
      </c>
      <c r="U81" s="164">
        <f t="shared" si="3"/>
        <v>1.0006106870229008</v>
      </c>
      <c r="V81" s="45" t="s">
        <v>104</v>
      </c>
      <c r="W81" s="45" t="s">
        <v>342</v>
      </c>
      <c r="X81" s="45" t="s">
        <v>494</v>
      </c>
      <c r="Y81" s="258" t="s">
        <v>578</v>
      </c>
    </row>
    <row r="82" spans="1:28" ht="90">
      <c r="A82" s="44">
        <f t="shared" si="4"/>
        <v>75</v>
      </c>
      <c r="B82" s="44" t="s">
        <v>30</v>
      </c>
      <c r="C82" s="44">
        <v>2016</v>
      </c>
      <c r="D82" s="45" t="s">
        <v>43</v>
      </c>
      <c r="E82" s="44" t="s">
        <v>28</v>
      </c>
      <c r="F82" s="50" t="s">
        <v>105</v>
      </c>
      <c r="G82" s="45" t="s">
        <v>258</v>
      </c>
      <c r="H82" s="48"/>
      <c r="I82" s="48"/>
      <c r="J82" s="48">
        <f>315914.07</f>
        <v>315914.07</v>
      </c>
      <c r="K82" s="48">
        <v>315914.07</v>
      </c>
      <c r="L82" s="48">
        <v>-115914.32</v>
      </c>
      <c r="M82" s="48">
        <v>-115914.32</v>
      </c>
      <c r="N82" s="256"/>
      <c r="O82" s="48">
        <v>0</v>
      </c>
      <c r="P82" s="48"/>
      <c r="Q82" s="48">
        <v>0</v>
      </c>
      <c r="R82" s="48">
        <f t="shared" si="2"/>
        <v>199999.75</v>
      </c>
      <c r="S82" s="49">
        <v>200000</v>
      </c>
      <c r="T82" s="48">
        <v>200000</v>
      </c>
      <c r="U82" s="164">
        <f t="shared" si="3"/>
        <v>0.99999875000000005</v>
      </c>
      <c r="V82" s="45" t="s">
        <v>106</v>
      </c>
      <c r="W82" s="45" t="s">
        <v>311</v>
      </c>
      <c r="X82" s="45" t="s">
        <v>521</v>
      </c>
      <c r="Y82" s="45" t="s">
        <v>540</v>
      </c>
      <c r="AA82" s="228"/>
      <c r="AB82" s="228"/>
    </row>
    <row r="83" spans="1:28" ht="90">
      <c r="A83" s="44">
        <f t="shared" si="4"/>
        <v>76</v>
      </c>
      <c r="B83" s="44" t="s">
        <v>30</v>
      </c>
      <c r="C83" s="44">
        <v>2016</v>
      </c>
      <c r="D83" s="45" t="s">
        <v>43</v>
      </c>
      <c r="E83" s="44" t="s">
        <v>28</v>
      </c>
      <c r="F83" s="50" t="s">
        <v>107</v>
      </c>
      <c r="G83" s="45" t="s">
        <v>259</v>
      </c>
      <c r="H83" s="47"/>
      <c r="I83" s="47"/>
      <c r="J83" s="48">
        <f>13851.26</f>
        <v>13851.26</v>
      </c>
      <c r="K83" s="48">
        <v>13851.26</v>
      </c>
      <c r="L83" s="48">
        <v>443648.74</v>
      </c>
      <c r="M83" s="48">
        <v>473648.74</v>
      </c>
      <c r="N83" s="256"/>
      <c r="O83" s="48">
        <v>-30000</v>
      </c>
      <c r="P83" s="48"/>
      <c r="Q83" s="48">
        <v>0</v>
      </c>
      <c r="R83" s="48">
        <f t="shared" si="2"/>
        <v>457500</v>
      </c>
      <c r="S83" s="49">
        <f>650000-30000-162500</f>
        <v>457500</v>
      </c>
      <c r="T83" s="48">
        <v>487500</v>
      </c>
      <c r="U83" s="164">
        <f t="shared" si="3"/>
        <v>0.93846153846153846</v>
      </c>
      <c r="V83" s="45" t="s">
        <v>576</v>
      </c>
      <c r="W83" s="45" t="s">
        <v>577</v>
      </c>
      <c r="X83" s="45" t="s">
        <v>522</v>
      </c>
      <c r="Y83" s="45" t="s">
        <v>696</v>
      </c>
    </row>
    <row r="84" spans="1:28" ht="90">
      <c r="A84" s="44">
        <f t="shared" si="4"/>
        <v>77</v>
      </c>
      <c r="B84" s="44" t="s">
        <v>30</v>
      </c>
      <c r="C84" s="44">
        <v>2016</v>
      </c>
      <c r="D84" s="45" t="s">
        <v>43</v>
      </c>
      <c r="E84" s="44" t="s">
        <v>25</v>
      </c>
      <c r="F84" s="50" t="s">
        <v>109</v>
      </c>
      <c r="G84" s="45" t="s">
        <v>73</v>
      </c>
      <c r="H84" s="48"/>
      <c r="I84" s="48"/>
      <c r="J84" s="48">
        <v>217944.85</v>
      </c>
      <c r="K84" s="48">
        <v>217944.85</v>
      </c>
      <c r="L84" s="48">
        <v>502055.15</v>
      </c>
      <c r="M84" s="48">
        <v>502055.15</v>
      </c>
      <c r="N84" s="256"/>
      <c r="O84" s="48">
        <v>533677.97</v>
      </c>
      <c r="P84" s="48"/>
      <c r="Q84" s="48">
        <v>0</v>
      </c>
      <c r="R84" s="48">
        <f t="shared" si="2"/>
        <v>1253677.97</v>
      </c>
      <c r="S84" s="49">
        <v>720000</v>
      </c>
      <c r="T84" s="48">
        <v>1253700</v>
      </c>
      <c r="U84" s="164">
        <f t="shared" si="3"/>
        <v>0.99998242801308124</v>
      </c>
      <c r="V84" s="45" t="s">
        <v>261</v>
      </c>
      <c r="W84" s="45" t="s">
        <v>262</v>
      </c>
      <c r="X84" s="45" t="s">
        <v>262</v>
      </c>
      <c r="Y84" s="258" t="s">
        <v>578</v>
      </c>
      <c r="AA84" s="228"/>
      <c r="AB84" s="228"/>
    </row>
    <row r="85" spans="1:28" ht="120">
      <c r="A85" s="44">
        <f t="shared" si="4"/>
        <v>78</v>
      </c>
      <c r="B85" s="44" t="s">
        <v>30</v>
      </c>
      <c r="C85" s="44">
        <v>2016</v>
      </c>
      <c r="D85" s="45" t="s">
        <v>43</v>
      </c>
      <c r="E85" s="44" t="s">
        <v>25</v>
      </c>
      <c r="F85" s="50" t="s">
        <v>110</v>
      </c>
      <c r="G85" s="45" t="s">
        <v>263</v>
      </c>
      <c r="H85" s="48"/>
      <c r="I85" s="48"/>
      <c r="J85" s="48">
        <v>500000</v>
      </c>
      <c r="K85" s="48">
        <v>500000</v>
      </c>
      <c r="L85" s="48"/>
      <c r="M85" s="48">
        <v>0</v>
      </c>
      <c r="N85" s="256"/>
      <c r="O85" s="48">
        <v>0</v>
      </c>
      <c r="P85" s="48"/>
      <c r="Q85" s="48">
        <v>0</v>
      </c>
      <c r="R85" s="48">
        <f t="shared" si="2"/>
        <v>500000</v>
      </c>
      <c r="S85" s="49">
        <v>500000</v>
      </c>
      <c r="T85" s="48">
        <v>500000</v>
      </c>
      <c r="U85" s="164">
        <f t="shared" si="3"/>
        <v>1</v>
      </c>
      <c r="V85" s="45" t="s">
        <v>111</v>
      </c>
      <c r="W85" s="45" t="s">
        <v>112</v>
      </c>
      <c r="X85" s="45" t="s">
        <v>808</v>
      </c>
      <c r="Y85" s="258" t="s">
        <v>578</v>
      </c>
      <c r="AA85" s="228"/>
      <c r="AB85" s="228"/>
    </row>
    <row r="86" spans="1:28" ht="165">
      <c r="A86" s="44">
        <f t="shared" si="4"/>
        <v>79</v>
      </c>
      <c r="B86" s="44" t="s">
        <v>30</v>
      </c>
      <c r="C86" s="44">
        <v>2016</v>
      </c>
      <c r="D86" s="45" t="s">
        <v>43</v>
      </c>
      <c r="E86" s="44" t="s">
        <v>25</v>
      </c>
      <c r="F86" s="250" t="s">
        <v>388</v>
      </c>
      <c r="G86" s="45" t="s">
        <v>263</v>
      </c>
      <c r="H86" s="48"/>
      <c r="I86" s="48"/>
      <c r="J86" s="48"/>
      <c r="K86" s="48">
        <v>0</v>
      </c>
      <c r="L86" s="48"/>
      <c r="M86" s="48">
        <v>0</v>
      </c>
      <c r="N86" s="256"/>
      <c r="O86" s="48">
        <v>0</v>
      </c>
      <c r="P86" s="48"/>
      <c r="Q86" s="48">
        <v>0</v>
      </c>
      <c r="R86" s="48">
        <f t="shared" si="2"/>
        <v>0</v>
      </c>
      <c r="S86" s="49">
        <f>755000-54000-100000-13100-12500-575400</f>
        <v>0</v>
      </c>
      <c r="T86" s="48">
        <v>2535000</v>
      </c>
      <c r="U86" s="164">
        <f t="shared" si="3"/>
        <v>0</v>
      </c>
      <c r="V86" s="45" t="s">
        <v>113</v>
      </c>
      <c r="W86" s="45" t="s">
        <v>114</v>
      </c>
      <c r="X86" s="45"/>
      <c r="Y86" s="45" t="s">
        <v>858</v>
      </c>
      <c r="AA86" s="228"/>
      <c r="AB86" s="228"/>
    </row>
    <row r="87" spans="1:28" ht="210">
      <c r="A87" s="44">
        <f t="shared" si="4"/>
        <v>80</v>
      </c>
      <c r="B87" s="44" t="s">
        <v>30</v>
      </c>
      <c r="C87" s="44">
        <v>2016</v>
      </c>
      <c r="D87" s="45" t="s">
        <v>43</v>
      </c>
      <c r="E87" s="44" t="s">
        <v>25</v>
      </c>
      <c r="F87" s="50" t="s">
        <v>115</v>
      </c>
      <c r="G87" s="221" t="s">
        <v>264</v>
      </c>
      <c r="H87" s="48"/>
      <c r="I87" s="48"/>
      <c r="J87" s="48">
        <v>53257.41</v>
      </c>
      <c r="K87" s="48">
        <v>53257.41</v>
      </c>
      <c r="L87" s="48">
        <v>213197.97</v>
      </c>
      <c r="M87" s="48">
        <v>213197.97</v>
      </c>
      <c r="N87" s="256">
        <f>-66296.8-29372.91+66296.8</f>
        <v>-29372.910000000003</v>
      </c>
      <c r="O87" s="48">
        <v>-29372.910000000003</v>
      </c>
      <c r="P87" s="48"/>
      <c r="Q87" s="48">
        <v>0</v>
      </c>
      <c r="R87" s="48">
        <f t="shared" ref="R87:R150" si="5">+K87+I87+H87+M87+O87+Q87</f>
        <v>237082.47</v>
      </c>
      <c r="S87" s="49">
        <f>200000+54000+12500-28600-800</f>
        <v>237100</v>
      </c>
      <c r="T87" s="48">
        <v>237100</v>
      </c>
      <c r="U87" s="164">
        <f t="shared" ref="U87:U150" si="6">IF(T87=0,"",(R87)/T87)</f>
        <v>0.99992606495149727</v>
      </c>
      <c r="V87" s="45" t="s">
        <v>116</v>
      </c>
      <c r="W87" s="45" t="s">
        <v>117</v>
      </c>
      <c r="X87" s="45" t="s">
        <v>697</v>
      </c>
      <c r="Y87" s="258" t="s">
        <v>578</v>
      </c>
      <c r="AA87" s="228"/>
      <c r="AB87" s="228"/>
    </row>
    <row r="88" spans="1:28" ht="90">
      <c r="A88" s="44">
        <f t="shared" si="4"/>
        <v>81</v>
      </c>
      <c r="B88" s="44" t="s">
        <v>30</v>
      </c>
      <c r="C88" s="44">
        <v>2016</v>
      </c>
      <c r="D88" s="45" t="s">
        <v>43</v>
      </c>
      <c r="E88" s="44" t="s">
        <v>25</v>
      </c>
      <c r="F88" s="50" t="s">
        <v>660</v>
      </c>
      <c r="G88" s="221" t="s">
        <v>669</v>
      </c>
      <c r="H88" s="48"/>
      <c r="I88" s="48"/>
      <c r="J88" s="48"/>
      <c r="K88" s="48">
        <v>0</v>
      </c>
      <c r="L88" s="48">
        <v>22500</v>
      </c>
      <c r="M88" s="48">
        <v>22500</v>
      </c>
      <c r="N88" s="259">
        <f>99999.62-20829.55</f>
        <v>79170.069999999992</v>
      </c>
      <c r="O88" s="48">
        <v>79170.069999999992</v>
      </c>
      <c r="P88" s="260"/>
      <c r="Q88" s="48">
        <v>0</v>
      </c>
      <c r="R88" s="48">
        <f t="shared" si="5"/>
        <v>101670.06999999999</v>
      </c>
      <c r="S88" s="49">
        <f>134400-36000+2500+800</f>
        <v>101700</v>
      </c>
      <c r="T88" s="48">
        <v>101700</v>
      </c>
      <c r="U88" s="164">
        <f t="shared" si="6"/>
        <v>0.99970570304818085</v>
      </c>
      <c r="V88" s="45" t="s">
        <v>698</v>
      </c>
      <c r="W88" s="45" t="s">
        <v>699</v>
      </c>
      <c r="X88" s="45"/>
      <c r="Y88" s="258" t="s">
        <v>578</v>
      </c>
      <c r="AA88" s="228"/>
      <c r="AB88" s="228"/>
    </row>
    <row r="89" spans="1:28" ht="90">
      <c r="A89" s="44">
        <f t="shared" si="4"/>
        <v>82</v>
      </c>
      <c r="B89" s="44" t="s">
        <v>30</v>
      </c>
      <c r="C89" s="44">
        <v>2016</v>
      </c>
      <c r="D89" s="45" t="s">
        <v>362</v>
      </c>
      <c r="E89" s="44" t="s">
        <v>25</v>
      </c>
      <c r="F89" s="50" t="s">
        <v>660</v>
      </c>
      <c r="G89" s="221" t="s">
        <v>669</v>
      </c>
      <c r="H89" s="48">
        <v>36185.71</v>
      </c>
      <c r="I89" s="48"/>
      <c r="J89" s="48"/>
      <c r="K89" s="48">
        <v>0</v>
      </c>
      <c r="L89" s="256"/>
      <c r="M89" s="48">
        <v>0</v>
      </c>
      <c r="N89" s="260">
        <v>33504.93</v>
      </c>
      <c r="O89" s="48">
        <v>33504.93</v>
      </c>
      <c r="P89" s="260">
        <v>-3948.56</v>
      </c>
      <c r="Q89" s="48">
        <v>-3948.56</v>
      </c>
      <c r="R89" s="48">
        <f t="shared" si="5"/>
        <v>65742.080000000002</v>
      </c>
      <c r="S89" s="49">
        <f>33500+26000+6300</f>
        <v>65800</v>
      </c>
      <c r="T89" s="48">
        <v>65800</v>
      </c>
      <c r="U89" s="164">
        <f t="shared" si="6"/>
        <v>0.99911975683890575</v>
      </c>
      <c r="V89" s="45" t="s">
        <v>698</v>
      </c>
      <c r="W89" s="45" t="s">
        <v>699</v>
      </c>
      <c r="X89" s="45"/>
      <c r="Y89" s="258" t="s">
        <v>578</v>
      </c>
      <c r="AA89" s="228"/>
      <c r="AB89" s="228"/>
    </row>
    <row r="90" spans="1:28" ht="90">
      <c r="A90" s="44">
        <f t="shared" si="4"/>
        <v>83</v>
      </c>
      <c r="B90" s="44" t="s">
        <v>30</v>
      </c>
      <c r="C90" s="44">
        <v>2017</v>
      </c>
      <c r="D90" s="45" t="s">
        <v>362</v>
      </c>
      <c r="E90" s="44" t="s">
        <v>25</v>
      </c>
      <c r="F90" s="50" t="s">
        <v>660</v>
      </c>
      <c r="G90" s="221" t="s">
        <v>669</v>
      </c>
      <c r="H90" s="48"/>
      <c r="I90" s="48"/>
      <c r="J90" s="48"/>
      <c r="K90" s="48">
        <v>0</v>
      </c>
      <c r="L90" s="256"/>
      <c r="M90" s="48">
        <v>0</v>
      </c>
      <c r="N90" s="260"/>
      <c r="O90" s="48">
        <v>0</v>
      </c>
      <c r="P90" s="260">
        <f>51640.48</f>
        <v>51640.480000000003</v>
      </c>
      <c r="Q90" s="48">
        <v>51640.480000000003</v>
      </c>
      <c r="R90" s="48">
        <f t="shared" si="5"/>
        <v>51640.480000000003</v>
      </c>
      <c r="S90" s="49">
        <v>51700</v>
      </c>
      <c r="T90" s="48">
        <v>51700</v>
      </c>
      <c r="U90" s="164">
        <f t="shared" si="6"/>
        <v>0.99884874274661517</v>
      </c>
      <c r="V90" s="45" t="s">
        <v>698</v>
      </c>
      <c r="W90" s="45" t="s">
        <v>699</v>
      </c>
      <c r="X90" s="45" t="s">
        <v>809</v>
      </c>
      <c r="Y90" s="258" t="s">
        <v>578</v>
      </c>
      <c r="AA90" s="228"/>
      <c r="AB90" s="228"/>
    </row>
    <row r="91" spans="1:28" ht="255">
      <c r="A91" s="44">
        <f t="shared" si="4"/>
        <v>84</v>
      </c>
      <c r="B91" s="44" t="s">
        <v>30</v>
      </c>
      <c r="C91" s="44">
        <v>2018</v>
      </c>
      <c r="D91" s="45" t="s">
        <v>647</v>
      </c>
      <c r="E91" s="44" t="s">
        <v>25</v>
      </c>
      <c r="F91" s="50" t="s">
        <v>660</v>
      </c>
      <c r="G91" s="221" t="s">
        <v>669</v>
      </c>
      <c r="H91" s="48">
        <v>88269.52</v>
      </c>
      <c r="I91" s="48"/>
      <c r="J91" s="48"/>
      <c r="K91" s="48">
        <v>0</v>
      </c>
      <c r="L91" s="256"/>
      <c r="M91" s="48">
        <v>0</v>
      </c>
      <c r="N91" s="260"/>
      <c r="O91" s="48">
        <v>0</v>
      </c>
      <c r="P91" s="260"/>
      <c r="Q91" s="48">
        <v>0</v>
      </c>
      <c r="R91" s="48">
        <f t="shared" si="5"/>
        <v>88269.52</v>
      </c>
      <c r="S91" s="49"/>
      <c r="T91" s="48">
        <v>140000</v>
      </c>
      <c r="U91" s="164">
        <f t="shared" si="6"/>
        <v>0.63049657142857141</v>
      </c>
      <c r="V91" s="45" t="s">
        <v>698</v>
      </c>
      <c r="W91" s="45" t="s">
        <v>699</v>
      </c>
      <c r="X91" s="45" t="s">
        <v>859</v>
      </c>
      <c r="Y91" s="45" t="s">
        <v>884</v>
      </c>
      <c r="AA91" s="228"/>
      <c r="AB91" s="228"/>
    </row>
    <row r="92" spans="1:28" ht="210">
      <c r="A92" s="44">
        <f t="shared" si="4"/>
        <v>85</v>
      </c>
      <c r="B92" s="44" t="s">
        <v>30</v>
      </c>
      <c r="C92" s="44">
        <v>2016</v>
      </c>
      <c r="D92" s="45" t="s">
        <v>43</v>
      </c>
      <c r="E92" s="44" t="s">
        <v>7</v>
      </c>
      <c r="F92" s="50" t="s">
        <v>118</v>
      </c>
      <c r="G92" s="45" t="s">
        <v>265</v>
      </c>
      <c r="H92" s="48"/>
      <c r="I92" s="48"/>
      <c r="J92" s="48">
        <v>4612800</v>
      </c>
      <c r="K92" s="48">
        <v>4612800</v>
      </c>
      <c r="L92" s="48"/>
      <c r="M92" s="48">
        <v>0</v>
      </c>
      <c r="N92" s="256"/>
      <c r="O92" s="48">
        <v>0</v>
      </c>
      <c r="P92" s="48"/>
      <c r="Q92" s="48">
        <v>0</v>
      </c>
      <c r="R92" s="48">
        <f t="shared" si="5"/>
        <v>4612800</v>
      </c>
      <c r="S92" s="49">
        <v>4612800</v>
      </c>
      <c r="T92" s="48">
        <v>4612800</v>
      </c>
      <c r="U92" s="164">
        <f t="shared" si="6"/>
        <v>1</v>
      </c>
      <c r="V92" s="252" t="s">
        <v>120</v>
      </c>
      <c r="W92" s="45" t="s">
        <v>119</v>
      </c>
      <c r="X92" s="253" t="s">
        <v>344</v>
      </c>
      <c r="Y92" s="252" t="s">
        <v>501</v>
      </c>
      <c r="AA92" s="228"/>
      <c r="AB92" s="228"/>
    </row>
    <row r="93" spans="1:28" ht="60">
      <c r="A93" s="44">
        <f t="shared" si="4"/>
        <v>86</v>
      </c>
      <c r="B93" s="44" t="s">
        <v>30</v>
      </c>
      <c r="C93" s="44">
        <v>2016</v>
      </c>
      <c r="D93" s="45" t="s">
        <v>43</v>
      </c>
      <c r="E93" s="44" t="s">
        <v>7</v>
      </c>
      <c r="F93" s="50" t="s">
        <v>693</v>
      </c>
      <c r="G93" s="45" t="s">
        <v>684</v>
      </c>
      <c r="H93" s="48"/>
      <c r="I93" s="48"/>
      <c r="J93" s="48"/>
      <c r="K93" s="48">
        <v>0</v>
      </c>
      <c r="L93" s="48"/>
      <c r="M93" s="48">
        <v>0</v>
      </c>
      <c r="N93" s="256">
        <v>13084.32</v>
      </c>
      <c r="O93" s="48">
        <v>13084.32</v>
      </c>
      <c r="P93" s="48"/>
      <c r="Q93" s="48">
        <v>0</v>
      </c>
      <c r="R93" s="48">
        <f t="shared" si="5"/>
        <v>13084.32</v>
      </c>
      <c r="S93" s="49">
        <v>13100</v>
      </c>
      <c r="T93" s="48">
        <v>13100</v>
      </c>
      <c r="U93" s="164">
        <f t="shared" si="6"/>
        <v>0.99880305343511444</v>
      </c>
      <c r="V93" s="45" t="s">
        <v>685</v>
      </c>
      <c r="W93" s="45" t="s">
        <v>686</v>
      </c>
      <c r="X93" s="45">
        <v>92</v>
      </c>
      <c r="Y93" s="252" t="s">
        <v>700</v>
      </c>
      <c r="AA93" s="228"/>
      <c r="AB93" s="228"/>
    </row>
    <row r="94" spans="1:28" ht="60">
      <c r="A94" s="44">
        <f t="shared" si="4"/>
        <v>87</v>
      </c>
      <c r="B94" s="44" t="s">
        <v>30</v>
      </c>
      <c r="C94" s="44">
        <v>2019</v>
      </c>
      <c r="D94" s="45" t="s">
        <v>743</v>
      </c>
      <c r="E94" s="44" t="s">
        <v>7</v>
      </c>
      <c r="F94" s="50" t="s">
        <v>693</v>
      </c>
      <c r="G94" s="45" t="s">
        <v>684</v>
      </c>
      <c r="H94" s="48">
        <f>-P94</f>
        <v>-12487.68</v>
      </c>
      <c r="I94" s="48"/>
      <c r="J94" s="48"/>
      <c r="K94" s="48">
        <v>0</v>
      </c>
      <c r="L94" s="48"/>
      <c r="M94" s="48">
        <v>0</v>
      </c>
      <c r="N94" s="256">
        <v>0</v>
      </c>
      <c r="O94" s="48">
        <v>0</v>
      </c>
      <c r="P94" s="48">
        <v>12487.68</v>
      </c>
      <c r="Q94" s="48">
        <v>12487.68</v>
      </c>
      <c r="R94" s="48">
        <f t="shared" si="5"/>
        <v>0</v>
      </c>
      <c r="S94" s="49">
        <v>0</v>
      </c>
      <c r="T94" s="48">
        <v>0</v>
      </c>
      <c r="U94" s="164" t="str">
        <f t="shared" si="6"/>
        <v/>
      </c>
      <c r="V94" s="45"/>
      <c r="W94" s="45"/>
      <c r="X94" s="45"/>
      <c r="Y94" s="252" t="s">
        <v>700</v>
      </c>
      <c r="AA94" s="228"/>
      <c r="AB94" s="228"/>
    </row>
    <row r="95" spans="1:28" ht="150">
      <c r="A95" s="44">
        <f t="shared" si="4"/>
        <v>88</v>
      </c>
      <c r="B95" s="44" t="s">
        <v>30</v>
      </c>
      <c r="C95" s="44">
        <v>2016</v>
      </c>
      <c r="D95" s="45" t="s">
        <v>43</v>
      </c>
      <c r="E95" s="44" t="s">
        <v>28</v>
      </c>
      <c r="F95" s="50" t="s">
        <v>766</v>
      </c>
      <c r="G95" s="45" t="s">
        <v>255</v>
      </c>
      <c r="H95" s="47">
        <v>-4654.03</v>
      </c>
      <c r="I95" s="48"/>
      <c r="J95" s="48"/>
      <c r="K95" s="48">
        <v>691091</v>
      </c>
      <c r="L95" s="48"/>
      <c r="M95" s="48">
        <v>131474.07999999999</v>
      </c>
      <c r="N95" s="256"/>
      <c r="O95" s="48">
        <v>249223.95</v>
      </c>
      <c r="P95" s="48"/>
      <c r="Q95" s="48">
        <v>4654.03</v>
      </c>
      <c r="R95" s="48">
        <f t="shared" si="5"/>
        <v>1071789.03</v>
      </c>
      <c r="S95" s="49"/>
      <c r="T95" s="48">
        <v>1071800</v>
      </c>
      <c r="U95" s="164">
        <f t="shared" si="6"/>
        <v>0.99998976488150781</v>
      </c>
      <c r="V95" s="45" t="s">
        <v>767</v>
      </c>
      <c r="W95" s="45" t="s">
        <v>768</v>
      </c>
      <c r="X95" s="45">
        <f>46+377</f>
        <v>423</v>
      </c>
      <c r="Y95" s="45" t="s">
        <v>769</v>
      </c>
      <c r="AA95" s="228"/>
      <c r="AB95" s="228"/>
    </row>
    <row r="96" spans="1:28" ht="120">
      <c r="A96" s="44">
        <f t="shared" si="4"/>
        <v>89</v>
      </c>
      <c r="B96" s="44" t="s">
        <v>30</v>
      </c>
      <c r="C96" s="44">
        <v>2016</v>
      </c>
      <c r="D96" s="45" t="s">
        <v>43</v>
      </c>
      <c r="E96" s="44" t="s">
        <v>28</v>
      </c>
      <c r="F96" s="50" t="s">
        <v>122</v>
      </c>
      <c r="G96" s="45" t="s">
        <v>266</v>
      </c>
      <c r="H96" s="47"/>
      <c r="I96" s="47"/>
      <c r="J96" s="48">
        <v>258591.96</v>
      </c>
      <c r="K96" s="48">
        <v>258591.96</v>
      </c>
      <c r="L96" s="48">
        <v>16408</v>
      </c>
      <c r="M96" s="48">
        <v>16408</v>
      </c>
      <c r="N96" s="256"/>
      <c r="O96" s="48">
        <v>0</v>
      </c>
      <c r="P96" s="48"/>
      <c r="Q96" s="48">
        <v>0</v>
      </c>
      <c r="R96" s="48">
        <f t="shared" si="5"/>
        <v>274999.95999999996</v>
      </c>
      <c r="S96" s="49">
        <v>275000</v>
      </c>
      <c r="T96" s="48">
        <v>275000</v>
      </c>
      <c r="U96" s="164">
        <f t="shared" si="6"/>
        <v>0.99999985454545437</v>
      </c>
      <c r="V96" s="45" t="s">
        <v>123</v>
      </c>
      <c r="W96" s="45" t="s">
        <v>124</v>
      </c>
      <c r="X96" s="45"/>
      <c r="Y96" s="45" t="s">
        <v>541</v>
      </c>
      <c r="AA96" s="228"/>
      <c r="AB96" s="228"/>
    </row>
    <row r="97" spans="1:28" ht="225">
      <c r="A97" s="44">
        <f t="shared" si="4"/>
        <v>90</v>
      </c>
      <c r="B97" s="44" t="s">
        <v>30</v>
      </c>
      <c r="C97" s="44">
        <v>2016</v>
      </c>
      <c r="D97" s="45" t="s">
        <v>43</v>
      </c>
      <c r="E97" s="44" t="s">
        <v>28</v>
      </c>
      <c r="F97" s="50" t="s">
        <v>761</v>
      </c>
      <c r="G97" s="45" t="s">
        <v>255</v>
      </c>
      <c r="H97" s="48"/>
      <c r="I97" s="48"/>
      <c r="J97" s="48"/>
      <c r="K97" s="48">
        <v>105636.48</v>
      </c>
      <c r="L97" s="48"/>
      <c r="M97" s="48">
        <v>-15189.23</v>
      </c>
      <c r="N97" s="256"/>
      <c r="O97" s="48">
        <v>0</v>
      </c>
      <c r="P97" s="48"/>
      <c r="Q97" s="48">
        <v>0</v>
      </c>
      <c r="R97" s="48">
        <f t="shared" si="5"/>
        <v>90447.25</v>
      </c>
      <c r="S97" s="49"/>
      <c r="T97" s="48">
        <v>126500</v>
      </c>
      <c r="U97" s="164">
        <f t="shared" si="6"/>
        <v>0.71499802371541499</v>
      </c>
      <c r="V97" s="252" t="s">
        <v>762</v>
      </c>
      <c r="W97" s="252" t="s">
        <v>763</v>
      </c>
      <c r="X97" s="45" t="s">
        <v>495</v>
      </c>
      <c r="Y97" s="261" t="s">
        <v>542</v>
      </c>
      <c r="AA97" s="228"/>
      <c r="AB97" s="228"/>
    </row>
    <row r="98" spans="1:28" ht="240">
      <c r="A98" s="44">
        <f t="shared" si="4"/>
        <v>91</v>
      </c>
      <c r="B98" s="44" t="s">
        <v>30</v>
      </c>
      <c r="C98" s="44">
        <v>2016</v>
      </c>
      <c r="D98" s="45" t="s">
        <v>43</v>
      </c>
      <c r="E98" s="44" t="s">
        <v>28</v>
      </c>
      <c r="F98" s="50" t="s">
        <v>465</v>
      </c>
      <c r="G98" s="45" t="s">
        <v>466</v>
      </c>
      <c r="H98" s="48"/>
      <c r="I98" s="48"/>
      <c r="J98" s="48"/>
      <c r="K98" s="48">
        <v>18500</v>
      </c>
      <c r="L98" s="48"/>
      <c r="M98" s="48">
        <v>0</v>
      </c>
      <c r="N98" s="256"/>
      <c r="O98" s="48">
        <v>0</v>
      </c>
      <c r="P98" s="48"/>
      <c r="Q98" s="48">
        <v>0</v>
      </c>
      <c r="R98" s="48">
        <f t="shared" si="5"/>
        <v>18500</v>
      </c>
      <c r="S98" s="262"/>
      <c r="T98" s="48">
        <v>18500</v>
      </c>
      <c r="U98" s="164">
        <f t="shared" si="6"/>
        <v>1</v>
      </c>
      <c r="V98" s="252" t="s">
        <v>467</v>
      </c>
      <c r="W98" s="252" t="s">
        <v>468</v>
      </c>
      <c r="X98" s="45">
        <v>44</v>
      </c>
      <c r="Y98" s="231" t="s">
        <v>543</v>
      </c>
      <c r="AA98" s="228"/>
      <c r="AB98" s="228"/>
    </row>
    <row r="99" spans="1:28" ht="105">
      <c r="A99" s="44">
        <f t="shared" si="4"/>
        <v>92</v>
      </c>
      <c r="B99" s="44" t="s">
        <v>30</v>
      </c>
      <c r="C99" s="44">
        <v>2016</v>
      </c>
      <c r="D99" s="45" t="s">
        <v>43</v>
      </c>
      <c r="E99" s="44" t="s">
        <v>28</v>
      </c>
      <c r="F99" s="50" t="s">
        <v>764</v>
      </c>
      <c r="G99" s="45" t="s">
        <v>258</v>
      </c>
      <c r="H99" s="47"/>
      <c r="I99" s="48"/>
      <c r="J99" s="48"/>
      <c r="K99" s="48">
        <v>0</v>
      </c>
      <c r="L99" s="48"/>
      <c r="M99" s="48">
        <v>70000</v>
      </c>
      <c r="N99" s="256"/>
      <c r="O99" s="48">
        <v>0</v>
      </c>
      <c r="P99" s="48"/>
      <c r="Q99" s="48">
        <v>0</v>
      </c>
      <c r="R99" s="48">
        <f t="shared" si="5"/>
        <v>70000</v>
      </c>
      <c r="S99" s="49"/>
      <c r="T99" s="48">
        <v>70000</v>
      </c>
      <c r="U99" s="164">
        <f t="shared" si="6"/>
        <v>1</v>
      </c>
      <c r="V99" s="45" t="s">
        <v>312</v>
      </c>
      <c r="W99" s="45" t="s">
        <v>313</v>
      </c>
      <c r="X99" s="255"/>
      <c r="Y99" s="255" t="s">
        <v>701</v>
      </c>
      <c r="AA99" s="228"/>
      <c r="AB99" s="228"/>
    </row>
    <row r="100" spans="1:28" ht="120">
      <c r="A100" s="44">
        <f t="shared" si="4"/>
        <v>93</v>
      </c>
      <c r="B100" s="44" t="s">
        <v>30</v>
      </c>
      <c r="C100" s="44">
        <v>2016</v>
      </c>
      <c r="D100" s="45" t="s">
        <v>43</v>
      </c>
      <c r="E100" s="44" t="s">
        <v>28</v>
      </c>
      <c r="F100" s="50" t="s">
        <v>126</v>
      </c>
      <c r="G100" s="45" t="s">
        <v>267</v>
      </c>
      <c r="H100" s="48">
        <v>0</v>
      </c>
      <c r="I100" s="48"/>
      <c r="J100" s="263"/>
      <c r="K100" s="48">
        <v>0</v>
      </c>
      <c r="L100" s="48">
        <v>366173.23</v>
      </c>
      <c r="M100" s="48">
        <v>366173.23</v>
      </c>
      <c r="N100" s="256">
        <v>162364.29999999999</v>
      </c>
      <c r="O100" s="48">
        <v>162364.29999999999</v>
      </c>
      <c r="P100" s="48"/>
      <c r="Q100" s="48">
        <v>0</v>
      </c>
      <c r="R100" s="48">
        <f t="shared" si="5"/>
        <v>528537.53</v>
      </c>
      <c r="S100" s="49">
        <f>500000+30000-1500</f>
        <v>528500</v>
      </c>
      <c r="T100" s="48">
        <v>528500</v>
      </c>
      <c r="U100" s="164">
        <f t="shared" si="6"/>
        <v>1.0000710122989593</v>
      </c>
      <c r="V100" s="45" t="s">
        <v>314</v>
      </c>
      <c r="W100" s="45" t="s">
        <v>127</v>
      </c>
      <c r="X100" s="255" t="s">
        <v>716</v>
      </c>
      <c r="Y100" s="264" t="s">
        <v>770</v>
      </c>
      <c r="AA100" s="228"/>
      <c r="AB100" s="228"/>
    </row>
    <row r="101" spans="1:28" ht="150">
      <c r="A101" s="44">
        <f t="shared" si="4"/>
        <v>94</v>
      </c>
      <c r="B101" s="44" t="s">
        <v>30</v>
      </c>
      <c r="C101" s="44">
        <v>2016</v>
      </c>
      <c r="D101" s="45" t="s">
        <v>43</v>
      </c>
      <c r="E101" s="44" t="s">
        <v>8</v>
      </c>
      <c r="F101" s="50" t="s">
        <v>345</v>
      </c>
      <c r="G101" s="45" t="s">
        <v>346</v>
      </c>
      <c r="H101" s="48"/>
      <c r="I101" s="48"/>
      <c r="J101" s="48">
        <v>49044</v>
      </c>
      <c r="K101" s="48">
        <v>49044</v>
      </c>
      <c r="L101" s="48">
        <f>36791.14+76951.1</f>
        <v>113742.24</v>
      </c>
      <c r="M101" s="48">
        <v>113742.24</v>
      </c>
      <c r="N101" s="256">
        <f>202601.56+14612.2</f>
        <v>217213.76</v>
      </c>
      <c r="O101" s="48">
        <v>217213.76</v>
      </c>
      <c r="P101" s="48"/>
      <c r="Q101" s="48">
        <v>0</v>
      </c>
      <c r="R101" s="48">
        <f t="shared" si="5"/>
        <v>380000</v>
      </c>
      <c r="S101" s="49">
        <v>380000</v>
      </c>
      <c r="T101" s="48">
        <v>380000</v>
      </c>
      <c r="U101" s="164">
        <f t="shared" si="6"/>
        <v>1</v>
      </c>
      <c r="V101" s="45" t="s">
        <v>347</v>
      </c>
      <c r="W101" s="45" t="s">
        <v>525</v>
      </c>
      <c r="X101" s="45" t="s">
        <v>526</v>
      </c>
      <c r="Y101" s="45" t="s">
        <v>545</v>
      </c>
      <c r="AA101" s="228"/>
      <c r="AB101" s="228"/>
    </row>
    <row r="102" spans="1:28" ht="120">
      <c r="A102" s="44">
        <f t="shared" si="4"/>
        <v>95</v>
      </c>
      <c r="B102" s="44" t="s">
        <v>30</v>
      </c>
      <c r="C102" s="44">
        <v>2016</v>
      </c>
      <c r="D102" s="45" t="s">
        <v>362</v>
      </c>
      <c r="E102" s="45" t="s">
        <v>8</v>
      </c>
      <c r="F102" s="250" t="s">
        <v>630</v>
      </c>
      <c r="G102" s="45" t="s">
        <v>257</v>
      </c>
      <c r="H102" s="48"/>
      <c r="I102" s="48"/>
      <c r="J102" s="48"/>
      <c r="K102" s="48">
        <v>0</v>
      </c>
      <c r="L102" s="256">
        <f>440000</f>
        <v>440000</v>
      </c>
      <c r="M102" s="48">
        <v>440000</v>
      </c>
      <c r="N102" s="48">
        <v>6408.03</v>
      </c>
      <c r="O102" s="48">
        <v>6408.03</v>
      </c>
      <c r="P102" s="48"/>
      <c r="Q102" s="48">
        <v>0</v>
      </c>
      <c r="R102" s="48">
        <f t="shared" si="5"/>
        <v>446408.03</v>
      </c>
      <c r="S102" s="49">
        <f>440000+6500-100</f>
        <v>446400</v>
      </c>
      <c r="T102" s="48">
        <v>446400</v>
      </c>
      <c r="U102" s="164">
        <f t="shared" si="6"/>
        <v>1.0000179883512545</v>
      </c>
      <c r="V102" s="45" t="s">
        <v>102</v>
      </c>
      <c r="W102" s="45" t="s">
        <v>448</v>
      </c>
      <c r="X102" s="45" t="s">
        <v>643</v>
      </c>
      <c r="Y102" s="45" t="s">
        <v>662</v>
      </c>
      <c r="AA102" s="228"/>
      <c r="AB102" s="228"/>
    </row>
    <row r="103" spans="1:28" ht="225">
      <c r="A103" s="44">
        <f t="shared" si="4"/>
        <v>96</v>
      </c>
      <c r="B103" s="44" t="s">
        <v>30</v>
      </c>
      <c r="C103" s="44">
        <v>2016</v>
      </c>
      <c r="D103" s="45" t="s">
        <v>362</v>
      </c>
      <c r="E103" s="45" t="s">
        <v>8</v>
      </c>
      <c r="F103" s="50" t="s">
        <v>386</v>
      </c>
      <c r="G103" s="45" t="s">
        <v>452</v>
      </c>
      <c r="H103" s="48"/>
      <c r="I103" s="48"/>
      <c r="J103" s="48"/>
      <c r="K103" s="48">
        <v>0</v>
      </c>
      <c r="L103" s="256">
        <f>723930.43+1916.87</f>
        <v>725847.3</v>
      </c>
      <c r="M103" s="48">
        <v>725847.3</v>
      </c>
      <c r="N103" s="48">
        <v>536063.52</v>
      </c>
      <c r="O103" s="48">
        <v>536063.52</v>
      </c>
      <c r="P103" s="48"/>
      <c r="Q103" s="48">
        <v>0</v>
      </c>
      <c r="R103" s="48">
        <f t="shared" si="5"/>
        <v>1261910.82</v>
      </c>
      <c r="S103" s="49">
        <f>1300000+24300+80000+11000+83000-600-235700</f>
        <v>1262000</v>
      </c>
      <c r="T103" s="48">
        <v>1262000</v>
      </c>
      <c r="U103" s="164">
        <f t="shared" si="6"/>
        <v>0.99992933438985743</v>
      </c>
      <c r="V103" s="45" t="s">
        <v>471</v>
      </c>
      <c r="W103" s="45" t="s">
        <v>472</v>
      </c>
      <c r="X103" s="265"/>
      <c r="Y103" s="45" t="s">
        <v>860</v>
      </c>
      <c r="AA103" s="228"/>
      <c r="AB103" s="228"/>
    </row>
    <row r="104" spans="1:28" ht="225">
      <c r="A104" s="44">
        <f t="shared" si="4"/>
        <v>97</v>
      </c>
      <c r="B104" s="44" t="s">
        <v>30</v>
      </c>
      <c r="C104" s="44">
        <v>2018</v>
      </c>
      <c r="D104" s="45" t="s">
        <v>647</v>
      </c>
      <c r="E104" s="45" t="s">
        <v>8</v>
      </c>
      <c r="F104" s="50" t="s">
        <v>386</v>
      </c>
      <c r="G104" s="45" t="s">
        <v>452</v>
      </c>
      <c r="H104" s="48"/>
      <c r="I104" s="48"/>
      <c r="J104" s="48"/>
      <c r="K104" s="48">
        <v>0</v>
      </c>
      <c r="L104" s="48"/>
      <c r="M104" s="48">
        <v>0</v>
      </c>
      <c r="N104" s="48">
        <v>438993.09</v>
      </c>
      <c r="O104" s="48">
        <v>438993.09</v>
      </c>
      <c r="P104" s="48"/>
      <c r="Q104" s="48">
        <v>0</v>
      </c>
      <c r="R104" s="48">
        <f t="shared" si="5"/>
        <v>438993.09</v>
      </c>
      <c r="S104" s="49">
        <v>439000</v>
      </c>
      <c r="T104" s="48">
        <v>439000</v>
      </c>
      <c r="U104" s="164">
        <f t="shared" si="6"/>
        <v>0.9999842596810935</v>
      </c>
      <c r="V104" s="45" t="s">
        <v>471</v>
      </c>
      <c r="W104" s="45" t="s">
        <v>472</v>
      </c>
      <c r="X104" s="45"/>
      <c r="Y104" s="258" t="s">
        <v>578</v>
      </c>
      <c r="AA104" s="228"/>
      <c r="AB104" s="228"/>
    </row>
    <row r="105" spans="1:28" ht="225">
      <c r="A105" s="44">
        <f t="shared" si="4"/>
        <v>98</v>
      </c>
      <c r="B105" s="44" t="s">
        <v>30</v>
      </c>
      <c r="C105" s="44">
        <v>2018</v>
      </c>
      <c r="D105" s="45" t="s">
        <v>743</v>
      </c>
      <c r="E105" s="45" t="s">
        <v>8</v>
      </c>
      <c r="F105" s="50" t="s">
        <v>386</v>
      </c>
      <c r="G105" s="45" t="s">
        <v>452</v>
      </c>
      <c r="H105" s="48">
        <f>-P105</f>
        <v>-67.88</v>
      </c>
      <c r="I105" s="48"/>
      <c r="J105" s="48"/>
      <c r="K105" s="48">
        <v>0</v>
      </c>
      <c r="L105" s="48"/>
      <c r="M105" s="48">
        <v>0</v>
      </c>
      <c r="N105" s="48"/>
      <c r="O105" s="48">
        <v>0</v>
      </c>
      <c r="P105" s="48">
        <v>67.88</v>
      </c>
      <c r="Q105" s="48">
        <v>67.88</v>
      </c>
      <c r="R105" s="48">
        <f t="shared" si="5"/>
        <v>0</v>
      </c>
      <c r="S105" s="49"/>
      <c r="T105" s="48">
        <v>0</v>
      </c>
      <c r="U105" s="164" t="str">
        <f t="shared" si="6"/>
        <v/>
      </c>
      <c r="V105" s="45" t="s">
        <v>471</v>
      </c>
      <c r="W105" s="45" t="s">
        <v>472</v>
      </c>
      <c r="X105" s="45"/>
      <c r="Y105" s="258" t="s">
        <v>578</v>
      </c>
      <c r="AA105" s="228"/>
      <c r="AB105" s="228"/>
    </row>
    <row r="106" spans="1:28" ht="60">
      <c r="A106" s="44">
        <f t="shared" si="4"/>
        <v>99</v>
      </c>
      <c r="B106" s="44" t="s">
        <v>30</v>
      </c>
      <c r="C106" s="44">
        <v>2016</v>
      </c>
      <c r="D106" s="45" t="s">
        <v>362</v>
      </c>
      <c r="E106" s="45" t="s">
        <v>28</v>
      </c>
      <c r="F106" s="50" t="s">
        <v>387</v>
      </c>
      <c r="G106" s="45" t="s">
        <v>266</v>
      </c>
      <c r="H106" s="48"/>
      <c r="I106" s="48"/>
      <c r="J106" s="48">
        <f>50000</f>
        <v>50000</v>
      </c>
      <c r="K106" s="48">
        <v>50000</v>
      </c>
      <c r="L106" s="256">
        <v>2074373.31</v>
      </c>
      <c r="M106" s="48">
        <v>2074373.31</v>
      </c>
      <c r="N106" s="48">
        <v>552640.61</v>
      </c>
      <c r="O106" s="48">
        <v>552640.61</v>
      </c>
      <c r="P106" s="48"/>
      <c r="Q106" s="48">
        <v>0</v>
      </c>
      <c r="R106" s="48">
        <f t="shared" si="5"/>
        <v>2677013.92</v>
      </c>
      <c r="S106" s="49">
        <f>2950000+250000-522000-1000</f>
        <v>2677000</v>
      </c>
      <c r="T106" s="48">
        <v>2677000</v>
      </c>
      <c r="U106" s="164">
        <f t="shared" si="6"/>
        <v>1.000005199850579</v>
      </c>
      <c r="V106" s="45"/>
      <c r="W106" s="45"/>
      <c r="X106" s="45"/>
      <c r="Y106" s="45" t="s">
        <v>702</v>
      </c>
      <c r="AA106" s="228"/>
      <c r="AB106" s="228"/>
    </row>
    <row r="107" spans="1:28" ht="60">
      <c r="A107" s="44">
        <f t="shared" si="4"/>
        <v>100</v>
      </c>
      <c r="B107" s="44" t="s">
        <v>30</v>
      </c>
      <c r="C107" s="44">
        <v>2018</v>
      </c>
      <c r="D107" s="45" t="s">
        <v>647</v>
      </c>
      <c r="E107" s="45" t="s">
        <v>28</v>
      </c>
      <c r="F107" s="50" t="s">
        <v>387</v>
      </c>
      <c r="G107" s="45" t="s">
        <v>266</v>
      </c>
      <c r="H107" s="48"/>
      <c r="I107" s="48"/>
      <c r="J107" s="48"/>
      <c r="K107" s="48">
        <v>0</v>
      </c>
      <c r="L107" s="48"/>
      <c r="M107" s="48">
        <v>0</v>
      </c>
      <c r="N107" s="48">
        <v>374241.01</v>
      </c>
      <c r="O107" s="48">
        <v>374241.01</v>
      </c>
      <c r="P107" s="48"/>
      <c r="Q107" s="48">
        <v>0</v>
      </c>
      <c r="R107" s="48">
        <f t="shared" si="5"/>
        <v>374241.01</v>
      </c>
      <c r="S107" s="49">
        <v>375000</v>
      </c>
      <c r="T107" s="48">
        <v>375000</v>
      </c>
      <c r="U107" s="164">
        <f t="shared" si="6"/>
        <v>0.99797602666666674</v>
      </c>
      <c r="V107" s="45"/>
      <c r="W107" s="45"/>
      <c r="X107" s="45"/>
      <c r="Y107" s="45" t="s">
        <v>702</v>
      </c>
      <c r="AA107" s="228"/>
      <c r="AB107" s="228"/>
    </row>
    <row r="108" spans="1:28" ht="150">
      <c r="A108" s="44">
        <f t="shared" si="4"/>
        <v>101</v>
      </c>
      <c r="B108" s="44" t="s">
        <v>30</v>
      </c>
      <c r="C108" s="44">
        <v>2016</v>
      </c>
      <c r="D108" s="45" t="s">
        <v>362</v>
      </c>
      <c r="E108" s="45" t="s">
        <v>28</v>
      </c>
      <c r="F108" s="50" t="s">
        <v>766</v>
      </c>
      <c r="G108" s="45" t="s">
        <v>255</v>
      </c>
      <c r="H108" s="48"/>
      <c r="I108" s="48"/>
      <c r="J108" s="48">
        <v>132517.18</v>
      </c>
      <c r="K108" s="48">
        <v>132517.18</v>
      </c>
      <c r="L108" s="256">
        <v>253752.14</v>
      </c>
      <c r="M108" s="48">
        <v>253752.14</v>
      </c>
      <c r="N108" s="48">
        <f>311.2</f>
        <v>311.2</v>
      </c>
      <c r="O108" s="48">
        <v>311.2</v>
      </c>
      <c r="P108" s="48"/>
      <c r="Q108" s="48">
        <v>0</v>
      </c>
      <c r="R108" s="48">
        <f t="shared" si="5"/>
        <v>386580.52</v>
      </c>
      <c r="S108" s="49">
        <f>1250000-492800-300000+163000-200-233400</f>
        <v>386600</v>
      </c>
      <c r="T108" s="48">
        <v>386600</v>
      </c>
      <c r="U108" s="164">
        <f t="shared" si="6"/>
        <v>0.99994961200206933</v>
      </c>
      <c r="V108" s="45" t="s">
        <v>767</v>
      </c>
      <c r="W108" s="45" t="s">
        <v>768</v>
      </c>
      <c r="X108" s="45"/>
      <c r="Y108" s="258" t="s">
        <v>578</v>
      </c>
      <c r="AA108" s="228"/>
      <c r="AB108" s="228"/>
    </row>
    <row r="109" spans="1:28" ht="60">
      <c r="A109" s="44">
        <f t="shared" si="4"/>
        <v>102</v>
      </c>
      <c r="B109" s="44" t="s">
        <v>30</v>
      </c>
      <c r="C109" s="44">
        <v>2016</v>
      </c>
      <c r="D109" s="45" t="s">
        <v>362</v>
      </c>
      <c r="E109" s="45" t="s">
        <v>25</v>
      </c>
      <c r="F109" s="250" t="s">
        <v>688</v>
      </c>
      <c r="G109" s="45" t="s">
        <v>689</v>
      </c>
      <c r="H109" s="48"/>
      <c r="I109" s="48"/>
      <c r="J109" s="48"/>
      <c r="K109" s="48">
        <v>0</v>
      </c>
      <c r="L109" s="256">
        <v>304423.53000000003</v>
      </c>
      <c r="M109" s="48">
        <v>304423.53000000003</v>
      </c>
      <c r="N109" s="48"/>
      <c r="O109" s="48">
        <v>0</v>
      </c>
      <c r="P109" s="48"/>
      <c r="Q109" s="48">
        <v>0</v>
      </c>
      <c r="R109" s="48">
        <f t="shared" si="5"/>
        <v>304423.53000000003</v>
      </c>
      <c r="S109" s="49">
        <f>350000-21000-24300-300</f>
        <v>304400</v>
      </c>
      <c r="T109" s="48">
        <v>304400</v>
      </c>
      <c r="U109" s="164">
        <f t="shared" si="6"/>
        <v>1.0000772996057821</v>
      </c>
      <c r="V109" s="45"/>
      <c r="W109" s="45"/>
      <c r="X109" s="45"/>
      <c r="Y109" s="45" t="s">
        <v>717</v>
      </c>
      <c r="AA109" s="228"/>
      <c r="AB109" s="228"/>
    </row>
    <row r="110" spans="1:28" ht="60">
      <c r="A110" s="44">
        <f t="shared" si="4"/>
        <v>103</v>
      </c>
      <c r="B110" s="44" t="s">
        <v>30</v>
      </c>
      <c r="C110" s="44">
        <v>2018</v>
      </c>
      <c r="D110" s="45" t="s">
        <v>647</v>
      </c>
      <c r="E110" s="45" t="s">
        <v>25</v>
      </c>
      <c r="F110" s="250" t="s">
        <v>688</v>
      </c>
      <c r="G110" s="45" t="s">
        <v>689</v>
      </c>
      <c r="H110" s="48"/>
      <c r="I110" s="48"/>
      <c r="J110" s="48"/>
      <c r="K110" s="48">
        <v>0</v>
      </c>
      <c r="L110" s="256"/>
      <c r="M110" s="48">
        <v>0</v>
      </c>
      <c r="N110" s="48"/>
      <c r="O110" s="48">
        <v>0</v>
      </c>
      <c r="P110" s="48"/>
      <c r="Q110" s="48">
        <v>0</v>
      </c>
      <c r="R110" s="48">
        <f t="shared" si="5"/>
        <v>0</v>
      </c>
      <c r="S110" s="49"/>
      <c r="T110" s="48">
        <v>300000</v>
      </c>
      <c r="U110" s="164">
        <f t="shared" si="6"/>
        <v>0</v>
      </c>
      <c r="V110" s="45"/>
      <c r="W110" s="45"/>
      <c r="X110" s="45"/>
      <c r="Y110" s="45" t="s">
        <v>717</v>
      </c>
      <c r="AA110" s="228"/>
      <c r="AB110" s="228"/>
    </row>
    <row r="111" spans="1:28" ht="210">
      <c r="A111" s="44">
        <f t="shared" si="4"/>
        <v>104</v>
      </c>
      <c r="B111" s="44" t="s">
        <v>30</v>
      </c>
      <c r="C111" s="44">
        <v>2016</v>
      </c>
      <c r="D111" s="45" t="s">
        <v>362</v>
      </c>
      <c r="E111" s="45" t="s">
        <v>25</v>
      </c>
      <c r="F111" s="250" t="s">
        <v>473</v>
      </c>
      <c r="G111" s="45" t="s">
        <v>453</v>
      </c>
      <c r="H111" s="48"/>
      <c r="I111" s="48"/>
      <c r="J111" s="48"/>
      <c r="K111" s="48">
        <v>0</v>
      </c>
      <c r="L111" s="256">
        <v>150033.04</v>
      </c>
      <c r="M111" s="48">
        <v>150033.04</v>
      </c>
      <c r="N111" s="48">
        <v>173584.86</v>
      </c>
      <c r="O111" s="48">
        <v>173584.86</v>
      </c>
      <c r="P111" s="48"/>
      <c r="Q111" s="48">
        <v>0</v>
      </c>
      <c r="R111" s="48">
        <f t="shared" si="5"/>
        <v>323617.90000000002</v>
      </c>
      <c r="S111" s="49">
        <f>260000+64000-300-100</f>
        <v>323600</v>
      </c>
      <c r="T111" s="48">
        <v>323600</v>
      </c>
      <c r="U111" s="164">
        <f t="shared" si="6"/>
        <v>1.0000553152039555</v>
      </c>
      <c r="V111" s="45" t="s">
        <v>474</v>
      </c>
      <c r="W111" s="45" t="s">
        <v>475</v>
      </c>
      <c r="X111" s="45" t="s">
        <v>639</v>
      </c>
      <c r="Y111" s="45" t="s">
        <v>663</v>
      </c>
      <c r="AA111" s="228"/>
      <c r="AB111" s="228"/>
    </row>
    <row r="112" spans="1:28" ht="180">
      <c r="A112" s="44">
        <f t="shared" si="4"/>
        <v>105</v>
      </c>
      <c r="B112" s="44" t="s">
        <v>30</v>
      </c>
      <c r="C112" s="44">
        <v>2016</v>
      </c>
      <c r="D112" s="45" t="s">
        <v>362</v>
      </c>
      <c r="E112" s="45" t="s">
        <v>25</v>
      </c>
      <c r="F112" s="50" t="s">
        <v>389</v>
      </c>
      <c r="G112" s="45"/>
      <c r="H112" s="48"/>
      <c r="I112" s="48"/>
      <c r="J112" s="48"/>
      <c r="K112" s="48">
        <v>0</v>
      </c>
      <c r="L112" s="256"/>
      <c r="M112" s="48">
        <v>0</v>
      </c>
      <c r="N112" s="48"/>
      <c r="O112" s="48">
        <v>0</v>
      </c>
      <c r="P112" s="48"/>
      <c r="Q112" s="48">
        <v>0</v>
      </c>
      <c r="R112" s="48">
        <f t="shared" si="5"/>
        <v>0</v>
      </c>
      <c r="S112" s="49">
        <v>0</v>
      </c>
      <c r="T112" s="48">
        <v>6100000</v>
      </c>
      <c r="U112" s="164">
        <f t="shared" si="6"/>
        <v>0</v>
      </c>
      <c r="V112" s="45"/>
      <c r="W112" s="45"/>
      <c r="X112" s="45"/>
      <c r="Y112" s="45" t="s">
        <v>718</v>
      </c>
      <c r="AA112" s="228"/>
      <c r="AB112" s="228"/>
    </row>
    <row r="113" spans="1:28" ht="105">
      <c r="A113" s="44">
        <f t="shared" si="4"/>
        <v>106</v>
      </c>
      <c r="B113" s="44" t="s">
        <v>30</v>
      </c>
      <c r="C113" s="44">
        <v>2016</v>
      </c>
      <c r="D113" s="45" t="s">
        <v>362</v>
      </c>
      <c r="E113" s="45" t="s">
        <v>25</v>
      </c>
      <c r="F113" s="50" t="s">
        <v>107</v>
      </c>
      <c r="G113" s="45" t="s">
        <v>259</v>
      </c>
      <c r="H113" s="48"/>
      <c r="I113" s="48"/>
      <c r="J113" s="48"/>
      <c r="K113" s="48">
        <v>0</v>
      </c>
      <c r="L113" s="256">
        <v>500000</v>
      </c>
      <c r="M113" s="48">
        <v>500000</v>
      </c>
      <c r="N113" s="48">
        <v>162500</v>
      </c>
      <c r="O113" s="48">
        <v>162500</v>
      </c>
      <c r="P113" s="48"/>
      <c r="Q113" s="48">
        <v>0</v>
      </c>
      <c r="R113" s="48">
        <f t="shared" si="5"/>
        <v>662500</v>
      </c>
      <c r="S113" s="49">
        <v>662500</v>
      </c>
      <c r="T113" s="48">
        <v>662500</v>
      </c>
      <c r="U113" s="164">
        <f t="shared" si="6"/>
        <v>1</v>
      </c>
      <c r="V113" s="45" t="s">
        <v>108</v>
      </c>
      <c r="W113" s="45" t="s">
        <v>260</v>
      </c>
      <c r="X113" s="45" t="s">
        <v>522</v>
      </c>
      <c r="Y113" s="258" t="s">
        <v>578</v>
      </c>
      <c r="AA113" s="228"/>
      <c r="AB113" s="228"/>
    </row>
    <row r="114" spans="1:28" ht="120">
      <c r="A114" s="44">
        <f t="shared" si="4"/>
        <v>107</v>
      </c>
      <c r="B114" s="44" t="s">
        <v>30</v>
      </c>
      <c r="C114" s="44">
        <v>2016</v>
      </c>
      <c r="D114" s="45" t="s">
        <v>362</v>
      </c>
      <c r="E114" s="45" t="s">
        <v>28</v>
      </c>
      <c r="F114" s="50" t="s">
        <v>611</v>
      </c>
      <c r="G114" s="45" t="s">
        <v>612</v>
      </c>
      <c r="H114" s="48"/>
      <c r="I114" s="48"/>
      <c r="J114" s="48"/>
      <c r="K114" s="48">
        <v>0</v>
      </c>
      <c r="L114" s="256">
        <v>29600</v>
      </c>
      <c r="M114" s="48">
        <v>29600</v>
      </c>
      <c r="N114" s="48">
        <v>12900</v>
      </c>
      <c r="O114" s="48">
        <v>12900</v>
      </c>
      <c r="P114" s="48"/>
      <c r="Q114" s="48">
        <v>0</v>
      </c>
      <c r="R114" s="48">
        <f t="shared" si="5"/>
        <v>42500</v>
      </c>
      <c r="S114" s="49">
        <f>79000-36500</f>
        <v>42500</v>
      </c>
      <c r="T114" s="48">
        <v>42500</v>
      </c>
      <c r="U114" s="164">
        <f t="shared" si="6"/>
        <v>1</v>
      </c>
      <c r="V114" s="45" t="s">
        <v>613</v>
      </c>
      <c r="W114" s="45" t="s">
        <v>614</v>
      </c>
      <c r="X114" s="45"/>
      <c r="Y114" s="45" t="s">
        <v>719</v>
      </c>
      <c r="AA114" s="228"/>
      <c r="AB114" s="228"/>
    </row>
    <row r="115" spans="1:28" ht="120">
      <c r="A115" s="44">
        <f t="shared" si="4"/>
        <v>108</v>
      </c>
      <c r="B115" s="44" t="s">
        <v>30</v>
      </c>
      <c r="C115" s="44">
        <v>2018</v>
      </c>
      <c r="D115" s="45" t="s">
        <v>647</v>
      </c>
      <c r="E115" s="45" t="s">
        <v>28</v>
      </c>
      <c r="F115" s="50" t="s">
        <v>611</v>
      </c>
      <c r="G115" s="45" t="s">
        <v>720</v>
      </c>
      <c r="H115" s="48"/>
      <c r="I115" s="48"/>
      <c r="J115" s="48"/>
      <c r="K115" s="48">
        <v>0</v>
      </c>
      <c r="L115" s="48"/>
      <c r="M115" s="48">
        <v>0</v>
      </c>
      <c r="N115" s="48">
        <v>23650</v>
      </c>
      <c r="O115" s="48">
        <v>23650</v>
      </c>
      <c r="P115" s="48"/>
      <c r="Q115" s="48">
        <v>0</v>
      </c>
      <c r="R115" s="48">
        <f t="shared" si="5"/>
        <v>23650</v>
      </c>
      <c r="S115" s="49">
        <f>100000-76400</f>
        <v>23600</v>
      </c>
      <c r="T115" s="48">
        <v>23600</v>
      </c>
      <c r="U115" s="164">
        <f t="shared" si="6"/>
        <v>1.0021186440677967</v>
      </c>
      <c r="V115" s="45" t="s">
        <v>613</v>
      </c>
      <c r="W115" s="45" t="s">
        <v>614</v>
      </c>
      <c r="X115" s="45"/>
      <c r="Y115" s="45" t="s">
        <v>719</v>
      </c>
      <c r="AA115" s="228"/>
      <c r="AB115" s="228"/>
    </row>
    <row r="116" spans="1:28" ht="75">
      <c r="A116" s="44">
        <f t="shared" si="4"/>
        <v>109</v>
      </c>
      <c r="B116" s="44" t="s">
        <v>30</v>
      </c>
      <c r="C116" s="44">
        <v>2016</v>
      </c>
      <c r="D116" s="45" t="s">
        <v>362</v>
      </c>
      <c r="E116" s="45" t="s">
        <v>28</v>
      </c>
      <c r="F116" s="50" t="s">
        <v>615</v>
      </c>
      <c r="G116" s="45" t="s">
        <v>616</v>
      </c>
      <c r="H116" s="48"/>
      <c r="I116" s="48"/>
      <c r="J116" s="48"/>
      <c r="K116" s="48">
        <v>0</v>
      </c>
      <c r="L116" s="256">
        <v>46450</v>
      </c>
      <c r="M116" s="48">
        <v>46450</v>
      </c>
      <c r="N116" s="48">
        <v>16590</v>
      </c>
      <c r="O116" s="48">
        <v>16590</v>
      </c>
      <c r="P116" s="48"/>
      <c r="Q116" s="48">
        <v>0</v>
      </c>
      <c r="R116" s="48">
        <f t="shared" si="5"/>
        <v>63040</v>
      </c>
      <c r="S116" s="49">
        <f>160000-80000-17000</f>
        <v>63000</v>
      </c>
      <c r="T116" s="48">
        <v>63000</v>
      </c>
      <c r="U116" s="164">
        <f t="shared" si="6"/>
        <v>1.0006349206349205</v>
      </c>
      <c r="V116" s="45" t="s">
        <v>617</v>
      </c>
      <c r="W116" s="45" t="s">
        <v>618</v>
      </c>
      <c r="X116" s="45"/>
      <c r="Y116" s="45" t="s">
        <v>719</v>
      </c>
      <c r="AA116" s="228"/>
      <c r="AB116" s="228"/>
    </row>
    <row r="117" spans="1:28" ht="75">
      <c r="A117" s="44">
        <f t="shared" si="4"/>
        <v>110</v>
      </c>
      <c r="B117" s="44" t="s">
        <v>30</v>
      </c>
      <c r="C117" s="44">
        <v>2018</v>
      </c>
      <c r="D117" s="45" t="s">
        <v>647</v>
      </c>
      <c r="E117" s="45" t="s">
        <v>28</v>
      </c>
      <c r="F117" s="50" t="s">
        <v>615</v>
      </c>
      <c r="G117" s="45" t="s">
        <v>616</v>
      </c>
      <c r="H117" s="48"/>
      <c r="I117" s="48"/>
      <c r="J117" s="48"/>
      <c r="K117" s="48">
        <v>0</v>
      </c>
      <c r="L117" s="48"/>
      <c r="M117" s="48">
        <v>0</v>
      </c>
      <c r="N117" s="48">
        <v>13620</v>
      </c>
      <c r="O117" s="48">
        <v>13620</v>
      </c>
      <c r="P117" s="48"/>
      <c r="Q117" s="48">
        <v>0</v>
      </c>
      <c r="R117" s="48">
        <f t="shared" si="5"/>
        <v>13620</v>
      </c>
      <c r="S117" s="49">
        <v>100000</v>
      </c>
      <c r="T117" s="48">
        <v>100000</v>
      </c>
      <c r="U117" s="164">
        <f t="shared" si="6"/>
        <v>0.13619999999999999</v>
      </c>
      <c r="V117" s="45" t="s">
        <v>617</v>
      </c>
      <c r="W117" s="45" t="s">
        <v>618</v>
      </c>
      <c r="X117" s="45"/>
      <c r="Y117" s="45" t="s">
        <v>719</v>
      </c>
      <c r="AA117" s="228"/>
      <c r="AB117" s="228"/>
    </row>
    <row r="118" spans="1:28" ht="180">
      <c r="A118" s="44">
        <f t="shared" si="4"/>
        <v>111</v>
      </c>
      <c r="B118" s="44" t="s">
        <v>30</v>
      </c>
      <c r="C118" s="44">
        <v>2016</v>
      </c>
      <c r="D118" s="45" t="s">
        <v>362</v>
      </c>
      <c r="E118" s="45" t="s">
        <v>28</v>
      </c>
      <c r="F118" s="50" t="s">
        <v>619</v>
      </c>
      <c r="G118" s="45" t="s">
        <v>620</v>
      </c>
      <c r="H118" s="48"/>
      <c r="I118" s="48"/>
      <c r="J118" s="48"/>
      <c r="K118" s="48">
        <v>0</v>
      </c>
      <c r="L118" s="256">
        <v>139920</v>
      </c>
      <c r="M118" s="48">
        <v>139920</v>
      </c>
      <c r="N118" s="48">
        <f>339800-79736</f>
        <v>260064</v>
      </c>
      <c r="O118" s="48">
        <v>260064</v>
      </c>
      <c r="P118" s="48"/>
      <c r="Q118" s="48">
        <v>0</v>
      </c>
      <c r="R118" s="48">
        <f t="shared" si="5"/>
        <v>399984</v>
      </c>
      <c r="S118" s="49">
        <v>400000</v>
      </c>
      <c r="T118" s="48">
        <v>400000</v>
      </c>
      <c r="U118" s="164">
        <f t="shared" si="6"/>
        <v>0.99995999999999996</v>
      </c>
      <c r="V118" s="45" t="s">
        <v>624</v>
      </c>
      <c r="W118" s="45" t="s">
        <v>629</v>
      </c>
      <c r="X118" s="45" t="s">
        <v>810</v>
      </c>
      <c r="Y118" s="45" t="s">
        <v>861</v>
      </c>
      <c r="AA118" s="228"/>
      <c r="AB118" s="228"/>
    </row>
    <row r="119" spans="1:28" ht="105">
      <c r="A119" s="44">
        <f t="shared" si="4"/>
        <v>112</v>
      </c>
      <c r="B119" s="44" t="s">
        <v>30</v>
      </c>
      <c r="C119" s="44">
        <v>2016</v>
      </c>
      <c r="D119" s="45" t="s">
        <v>362</v>
      </c>
      <c r="E119" s="45" t="s">
        <v>25</v>
      </c>
      <c r="F119" s="50" t="s">
        <v>527</v>
      </c>
      <c r="G119" s="45" t="s">
        <v>528</v>
      </c>
      <c r="H119" s="48"/>
      <c r="I119" s="48"/>
      <c r="J119" s="48">
        <v>128.36000000000001</v>
      </c>
      <c r="K119" s="48">
        <v>128.36000000000001</v>
      </c>
      <c r="L119" s="256">
        <v>6278.65</v>
      </c>
      <c r="M119" s="48">
        <v>6278.65</v>
      </c>
      <c r="N119" s="48">
        <v>20485.72</v>
      </c>
      <c r="O119" s="48">
        <v>20485.72</v>
      </c>
      <c r="P119" s="48">
        <v>-6219.85</v>
      </c>
      <c r="Q119" s="48">
        <v>-6219.85</v>
      </c>
      <c r="R119" s="48">
        <f t="shared" si="5"/>
        <v>20672.879999999997</v>
      </c>
      <c r="S119" s="49">
        <f>100000-6500-11000-55000-500-100-6300</f>
        <v>20600</v>
      </c>
      <c r="T119" s="48">
        <v>20600</v>
      </c>
      <c r="U119" s="164">
        <f t="shared" si="6"/>
        <v>1.0035378640776698</v>
      </c>
      <c r="V119" s="45" t="s">
        <v>527</v>
      </c>
      <c r="W119" s="45" t="s">
        <v>529</v>
      </c>
      <c r="X119" s="45" t="s">
        <v>862</v>
      </c>
      <c r="Y119" s="45" t="s">
        <v>863</v>
      </c>
      <c r="AA119" s="228"/>
      <c r="AB119" s="228"/>
    </row>
    <row r="120" spans="1:28" ht="105">
      <c r="A120" s="44">
        <f t="shared" si="4"/>
        <v>113</v>
      </c>
      <c r="B120" s="44" t="s">
        <v>30</v>
      </c>
      <c r="C120" s="44">
        <v>2017</v>
      </c>
      <c r="D120" s="45" t="s">
        <v>362</v>
      </c>
      <c r="E120" s="45" t="s">
        <v>25</v>
      </c>
      <c r="F120" s="50" t="s">
        <v>527</v>
      </c>
      <c r="G120" s="45" t="s">
        <v>528</v>
      </c>
      <c r="H120" s="48"/>
      <c r="I120" s="48"/>
      <c r="J120" s="48"/>
      <c r="K120" s="48">
        <v>0</v>
      </c>
      <c r="L120" s="256"/>
      <c r="M120" s="48">
        <v>0</v>
      </c>
      <c r="N120" s="48">
        <v>283.8</v>
      </c>
      <c r="O120" s="48">
        <v>283.8</v>
      </c>
      <c r="P120" s="48">
        <v>9594.86</v>
      </c>
      <c r="Q120" s="48">
        <v>9594.86</v>
      </c>
      <c r="R120" s="48">
        <f t="shared" si="5"/>
        <v>9878.66</v>
      </c>
      <c r="S120" s="49">
        <f>8500+1400</f>
        <v>9900</v>
      </c>
      <c r="T120" s="48">
        <v>9900</v>
      </c>
      <c r="U120" s="164">
        <f t="shared" si="6"/>
        <v>0.99784444444444442</v>
      </c>
      <c r="V120" s="45" t="s">
        <v>527</v>
      </c>
      <c r="W120" s="45" t="s">
        <v>529</v>
      </c>
      <c r="X120" s="45" t="s">
        <v>862</v>
      </c>
      <c r="Y120" s="45" t="s">
        <v>863</v>
      </c>
      <c r="AA120" s="228"/>
      <c r="AB120" s="228"/>
    </row>
    <row r="121" spans="1:28" ht="135">
      <c r="A121" s="44">
        <f t="shared" si="4"/>
        <v>114</v>
      </c>
      <c r="B121" s="44" t="s">
        <v>30</v>
      </c>
      <c r="C121" s="44">
        <v>2018</v>
      </c>
      <c r="D121" s="45" t="s">
        <v>647</v>
      </c>
      <c r="E121" s="45" t="s">
        <v>25</v>
      </c>
      <c r="F121" s="50" t="s">
        <v>527</v>
      </c>
      <c r="G121" s="45" t="s">
        <v>528</v>
      </c>
      <c r="H121" s="48">
        <v>10405.14</v>
      </c>
      <c r="I121" s="48"/>
      <c r="J121" s="48"/>
      <c r="K121" s="48">
        <v>0</v>
      </c>
      <c r="L121" s="256"/>
      <c r="M121" s="48">
        <v>0</v>
      </c>
      <c r="N121" s="48">
        <v>734.71</v>
      </c>
      <c r="O121" s="48">
        <v>734.71</v>
      </c>
      <c r="P121" s="48"/>
      <c r="Q121" s="48">
        <v>0</v>
      </c>
      <c r="R121" s="48">
        <f t="shared" si="5"/>
        <v>11139.849999999999</v>
      </c>
      <c r="S121" s="49">
        <v>800</v>
      </c>
      <c r="T121" s="48">
        <v>800</v>
      </c>
      <c r="U121" s="164">
        <f t="shared" si="6"/>
        <v>13.924812499999998</v>
      </c>
      <c r="V121" s="45" t="s">
        <v>527</v>
      </c>
      <c r="W121" s="45" t="s">
        <v>529</v>
      </c>
      <c r="X121" s="45" t="s">
        <v>862</v>
      </c>
      <c r="Y121" s="45" t="s">
        <v>885</v>
      </c>
      <c r="AA121" s="228"/>
      <c r="AB121" s="228"/>
    </row>
    <row r="122" spans="1:28" ht="210">
      <c r="A122" s="44">
        <f t="shared" si="4"/>
        <v>115</v>
      </c>
      <c r="B122" s="44" t="s">
        <v>30</v>
      </c>
      <c r="C122" s="44">
        <v>2016</v>
      </c>
      <c r="D122" s="45" t="s">
        <v>362</v>
      </c>
      <c r="E122" s="44" t="s">
        <v>8</v>
      </c>
      <c r="F122" s="50" t="s">
        <v>97</v>
      </c>
      <c r="G122" s="45" t="s">
        <v>256</v>
      </c>
      <c r="H122" s="47"/>
      <c r="I122" s="47"/>
      <c r="J122" s="48">
        <v>0</v>
      </c>
      <c r="K122" s="48">
        <v>0</v>
      </c>
      <c r="L122" s="256"/>
      <c r="M122" s="48">
        <v>0</v>
      </c>
      <c r="N122" s="48">
        <v>300000</v>
      </c>
      <c r="O122" s="48">
        <v>300000</v>
      </c>
      <c r="P122" s="48">
        <v>-26017.3</v>
      </c>
      <c r="Q122" s="48">
        <v>-26017.3</v>
      </c>
      <c r="R122" s="48">
        <f t="shared" si="5"/>
        <v>273982.7</v>
      </c>
      <c r="S122" s="49">
        <f>300000-26000</f>
        <v>274000</v>
      </c>
      <c r="T122" s="48">
        <v>274000</v>
      </c>
      <c r="U122" s="164">
        <f t="shared" si="6"/>
        <v>0.99993686131386861</v>
      </c>
      <c r="V122" s="45" t="s">
        <v>54</v>
      </c>
      <c r="W122" s="45" t="s">
        <v>691</v>
      </c>
      <c r="X122" s="45" t="s">
        <v>692</v>
      </c>
      <c r="Y122" s="258" t="s">
        <v>578</v>
      </c>
      <c r="AA122" s="228"/>
      <c r="AB122" s="228"/>
    </row>
    <row r="123" spans="1:28" ht="105">
      <c r="A123" s="44">
        <f t="shared" si="4"/>
        <v>116</v>
      </c>
      <c r="B123" s="44" t="s">
        <v>30</v>
      </c>
      <c r="C123" s="44">
        <v>2016</v>
      </c>
      <c r="D123" s="45" t="s">
        <v>362</v>
      </c>
      <c r="E123" s="45" t="s">
        <v>25</v>
      </c>
      <c r="F123" s="250" t="s">
        <v>533</v>
      </c>
      <c r="G123" s="45" t="s">
        <v>534</v>
      </c>
      <c r="H123" s="48"/>
      <c r="I123" s="48"/>
      <c r="J123" s="48"/>
      <c r="K123" s="48">
        <v>0</v>
      </c>
      <c r="L123" s="256">
        <v>416002</v>
      </c>
      <c r="M123" s="48">
        <v>416002</v>
      </c>
      <c r="N123" s="48">
        <v>748733</v>
      </c>
      <c r="O123" s="48">
        <v>748733</v>
      </c>
      <c r="P123" s="48"/>
      <c r="Q123" s="48">
        <v>0</v>
      </c>
      <c r="R123" s="48">
        <f t="shared" si="5"/>
        <v>1164735</v>
      </c>
      <c r="S123" s="49">
        <f>200000+297000+492800+154000+21000-100</f>
        <v>1164700</v>
      </c>
      <c r="T123" s="48">
        <v>1164700</v>
      </c>
      <c r="U123" s="164">
        <f t="shared" si="6"/>
        <v>1.0000300506568216</v>
      </c>
      <c r="V123" s="45" t="s">
        <v>535</v>
      </c>
      <c r="W123" s="45" t="s">
        <v>536</v>
      </c>
      <c r="X123" s="45"/>
      <c r="Y123" s="258" t="s">
        <v>578</v>
      </c>
      <c r="AA123" s="228"/>
      <c r="AB123" s="228"/>
    </row>
    <row r="124" spans="1:28" ht="300">
      <c r="A124" s="44">
        <f t="shared" si="4"/>
        <v>117</v>
      </c>
      <c r="B124" s="44" t="s">
        <v>30</v>
      </c>
      <c r="C124" s="44">
        <v>2018</v>
      </c>
      <c r="D124" s="45" t="s">
        <v>647</v>
      </c>
      <c r="E124" s="45" t="s">
        <v>25</v>
      </c>
      <c r="F124" s="250" t="s">
        <v>533</v>
      </c>
      <c r="G124" s="45" t="s">
        <v>534</v>
      </c>
      <c r="H124" s="48">
        <v>269640</v>
      </c>
      <c r="I124" s="48"/>
      <c r="J124" s="48"/>
      <c r="K124" s="48">
        <v>0</v>
      </c>
      <c r="L124" s="256"/>
      <c r="M124" s="48">
        <v>0</v>
      </c>
      <c r="N124" s="48"/>
      <c r="O124" s="48">
        <v>0</v>
      </c>
      <c r="P124" s="48"/>
      <c r="Q124" s="48">
        <v>550360</v>
      </c>
      <c r="R124" s="48">
        <f t="shared" si="5"/>
        <v>820000</v>
      </c>
      <c r="S124" s="49"/>
      <c r="T124" s="48">
        <v>820000</v>
      </c>
      <c r="U124" s="164">
        <f t="shared" si="6"/>
        <v>1</v>
      </c>
      <c r="V124" s="45" t="s">
        <v>535</v>
      </c>
      <c r="W124" s="45" t="s">
        <v>536</v>
      </c>
      <c r="X124" s="45" t="s">
        <v>886</v>
      </c>
      <c r="Y124" s="45" t="s">
        <v>887</v>
      </c>
      <c r="AA124" s="228"/>
      <c r="AB124" s="228"/>
    </row>
    <row r="125" spans="1:28" ht="105">
      <c r="A125" s="44">
        <f t="shared" si="4"/>
        <v>118</v>
      </c>
      <c r="B125" s="44" t="s">
        <v>30</v>
      </c>
      <c r="C125" s="44">
        <v>2019</v>
      </c>
      <c r="D125" s="45" t="s">
        <v>743</v>
      </c>
      <c r="E125" s="45" t="s">
        <v>25</v>
      </c>
      <c r="F125" s="250" t="s">
        <v>533</v>
      </c>
      <c r="G125" s="45" t="s">
        <v>534</v>
      </c>
      <c r="H125" s="48"/>
      <c r="I125" s="48"/>
      <c r="J125" s="48"/>
      <c r="K125" s="48">
        <v>0</v>
      </c>
      <c r="L125" s="256"/>
      <c r="M125" s="48">
        <v>0</v>
      </c>
      <c r="N125" s="48"/>
      <c r="O125" s="48">
        <v>0</v>
      </c>
      <c r="P125" s="48"/>
      <c r="Q125" s="48">
        <v>0</v>
      </c>
      <c r="R125" s="48">
        <f t="shared" si="5"/>
        <v>0</v>
      </c>
      <c r="S125" s="49"/>
      <c r="T125" s="48">
        <v>0</v>
      </c>
      <c r="U125" s="164" t="str">
        <f t="shared" si="6"/>
        <v/>
      </c>
      <c r="V125" s="45" t="s">
        <v>535</v>
      </c>
      <c r="W125" s="45" t="s">
        <v>536</v>
      </c>
      <c r="X125" s="45"/>
      <c r="Y125" s="45"/>
      <c r="AA125" s="228"/>
      <c r="AB125" s="228"/>
    </row>
    <row r="126" spans="1:28" ht="150">
      <c r="A126" s="44">
        <f t="shared" si="4"/>
        <v>119</v>
      </c>
      <c r="B126" s="44" t="s">
        <v>30</v>
      </c>
      <c r="C126" s="44">
        <v>2017</v>
      </c>
      <c r="D126" s="45" t="s">
        <v>362</v>
      </c>
      <c r="E126" s="45" t="s">
        <v>8</v>
      </c>
      <c r="F126" s="250" t="s">
        <v>368</v>
      </c>
      <c r="G126" s="45"/>
      <c r="H126" s="48"/>
      <c r="I126" s="48"/>
      <c r="J126" s="48">
        <v>0</v>
      </c>
      <c r="K126" s="48">
        <v>0</v>
      </c>
      <c r="L126" s="48">
        <v>102912.64</v>
      </c>
      <c r="M126" s="48">
        <v>3622912.64</v>
      </c>
      <c r="N126" s="48">
        <v>423.36</v>
      </c>
      <c r="O126" s="48">
        <v>423.36</v>
      </c>
      <c r="P126" s="48"/>
      <c r="Q126" s="48">
        <v>0</v>
      </c>
      <c r="R126" s="48">
        <f t="shared" si="5"/>
        <v>3623336</v>
      </c>
      <c r="S126" s="49">
        <v>103400</v>
      </c>
      <c r="T126" s="48">
        <v>3623400</v>
      </c>
      <c r="U126" s="164">
        <f t="shared" si="6"/>
        <v>0.9999823370315174</v>
      </c>
      <c r="V126" s="45" t="s">
        <v>621</v>
      </c>
      <c r="W126" s="45" t="s">
        <v>530</v>
      </c>
      <c r="X126" s="45"/>
      <c r="Y126" s="45" t="s">
        <v>644</v>
      </c>
      <c r="AA126" s="228"/>
      <c r="AB126" s="228"/>
    </row>
    <row r="127" spans="1:28" ht="120">
      <c r="A127" s="44">
        <f t="shared" si="4"/>
        <v>120</v>
      </c>
      <c r="B127" s="44" t="s">
        <v>30</v>
      </c>
      <c r="C127" s="44">
        <v>2017</v>
      </c>
      <c r="D127" s="45" t="s">
        <v>362</v>
      </c>
      <c r="E127" s="45" t="s">
        <v>8</v>
      </c>
      <c r="F127" s="250" t="s">
        <v>630</v>
      </c>
      <c r="G127" s="45" t="s">
        <v>257</v>
      </c>
      <c r="H127" s="48"/>
      <c r="I127" s="48"/>
      <c r="J127" s="48">
        <v>0</v>
      </c>
      <c r="K127" s="48">
        <v>0</v>
      </c>
      <c r="L127" s="48">
        <f>950000.06+10000</f>
        <v>960000.06</v>
      </c>
      <c r="M127" s="48">
        <v>960000.06</v>
      </c>
      <c r="N127" s="48">
        <v>756804.26</v>
      </c>
      <c r="O127" s="48">
        <v>756804.26</v>
      </c>
      <c r="P127" s="48"/>
      <c r="Q127" s="48">
        <v>0</v>
      </c>
      <c r="R127" s="48">
        <f t="shared" si="5"/>
        <v>1716804.32</v>
      </c>
      <c r="S127" s="49">
        <f>1706800+10000</f>
        <v>1716800</v>
      </c>
      <c r="T127" s="48">
        <v>1716800</v>
      </c>
      <c r="U127" s="164">
        <f t="shared" si="6"/>
        <v>1.0000025163094128</v>
      </c>
      <c r="V127" s="45" t="s">
        <v>102</v>
      </c>
      <c r="W127" s="45" t="s">
        <v>448</v>
      </c>
      <c r="X127" s="45" t="s">
        <v>811</v>
      </c>
      <c r="Y127" s="45" t="s">
        <v>812</v>
      </c>
      <c r="AA127" s="228"/>
      <c r="AB127" s="228"/>
    </row>
    <row r="128" spans="1:28" ht="120">
      <c r="A128" s="44">
        <f t="shared" si="4"/>
        <v>121</v>
      </c>
      <c r="B128" s="44" t="s">
        <v>30</v>
      </c>
      <c r="C128" s="44">
        <v>2018</v>
      </c>
      <c r="D128" s="45" t="s">
        <v>647</v>
      </c>
      <c r="E128" s="45" t="s">
        <v>8</v>
      </c>
      <c r="F128" s="250" t="s">
        <v>630</v>
      </c>
      <c r="G128" s="45" t="s">
        <v>257</v>
      </c>
      <c r="H128" s="48">
        <v>1436000</v>
      </c>
      <c r="I128" s="48"/>
      <c r="J128" s="48">
        <v>0</v>
      </c>
      <c r="K128" s="48">
        <v>0</v>
      </c>
      <c r="L128" s="48"/>
      <c r="M128" s="48">
        <v>0</v>
      </c>
      <c r="N128" s="48"/>
      <c r="O128" s="48">
        <v>0</v>
      </c>
      <c r="P128" s="48"/>
      <c r="Q128" s="48">
        <v>0</v>
      </c>
      <c r="R128" s="48">
        <f t="shared" si="5"/>
        <v>1436000</v>
      </c>
      <c r="S128" s="49"/>
      <c r="T128" s="48">
        <v>1436000</v>
      </c>
      <c r="U128" s="164">
        <f t="shared" si="6"/>
        <v>1</v>
      </c>
      <c r="V128" s="45" t="s">
        <v>102</v>
      </c>
      <c r="W128" s="45" t="s">
        <v>448</v>
      </c>
      <c r="X128" s="45" t="s">
        <v>888</v>
      </c>
      <c r="Y128" s="45" t="s">
        <v>889</v>
      </c>
      <c r="AA128" s="228"/>
      <c r="AB128" s="228"/>
    </row>
    <row r="129" spans="1:28" ht="45">
      <c r="A129" s="44">
        <f t="shared" si="4"/>
        <v>122</v>
      </c>
      <c r="B129" s="44" t="s">
        <v>30</v>
      </c>
      <c r="C129" s="44">
        <v>2017</v>
      </c>
      <c r="D129" s="45" t="s">
        <v>362</v>
      </c>
      <c r="E129" s="45" t="s">
        <v>8</v>
      </c>
      <c r="F129" s="50" t="s">
        <v>765</v>
      </c>
      <c r="G129" s="45" t="s">
        <v>464</v>
      </c>
      <c r="H129" s="48"/>
      <c r="I129" s="48"/>
      <c r="J129" s="48">
        <v>0</v>
      </c>
      <c r="K129" s="48">
        <v>0</v>
      </c>
      <c r="L129" s="48"/>
      <c r="M129" s="48">
        <v>0</v>
      </c>
      <c r="N129" s="48">
        <v>756325.01</v>
      </c>
      <c r="O129" s="48">
        <v>914264.83000000007</v>
      </c>
      <c r="P129" s="48"/>
      <c r="Q129" s="48">
        <v>0</v>
      </c>
      <c r="R129" s="48">
        <f t="shared" si="5"/>
        <v>914264.83000000007</v>
      </c>
      <c r="S129" s="49">
        <v>756300</v>
      </c>
      <c r="T129" s="48">
        <v>941900</v>
      </c>
      <c r="U129" s="164">
        <f t="shared" si="6"/>
        <v>0.97066018685635425</v>
      </c>
      <c r="V129" s="45"/>
      <c r="W129" s="45"/>
      <c r="X129" s="45"/>
      <c r="Y129" s="45" t="s">
        <v>696</v>
      </c>
      <c r="AA129" s="228"/>
      <c r="AB129" s="228"/>
    </row>
    <row r="130" spans="1:28" ht="45">
      <c r="A130" s="44">
        <f t="shared" si="4"/>
        <v>123</v>
      </c>
      <c r="B130" s="44" t="s">
        <v>30</v>
      </c>
      <c r="C130" s="44">
        <v>2018</v>
      </c>
      <c r="D130" s="45" t="s">
        <v>647</v>
      </c>
      <c r="E130" s="45" t="s">
        <v>8</v>
      </c>
      <c r="F130" s="50" t="s">
        <v>765</v>
      </c>
      <c r="G130" s="45" t="s">
        <v>464</v>
      </c>
      <c r="H130" s="48"/>
      <c r="I130" s="48"/>
      <c r="J130" s="48">
        <v>0</v>
      </c>
      <c r="K130" s="48">
        <v>0</v>
      </c>
      <c r="L130" s="48"/>
      <c r="M130" s="48">
        <v>0</v>
      </c>
      <c r="N130" s="48"/>
      <c r="O130" s="48">
        <v>0</v>
      </c>
      <c r="P130" s="48"/>
      <c r="Q130" s="48">
        <v>0</v>
      </c>
      <c r="R130" s="48">
        <f t="shared" si="5"/>
        <v>0</v>
      </c>
      <c r="S130" s="49"/>
      <c r="T130" s="48">
        <v>0</v>
      </c>
      <c r="U130" s="164" t="str">
        <f t="shared" si="6"/>
        <v/>
      </c>
      <c r="V130" s="45"/>
      <c r="W130" s="45"/>
      <c r="X130" s="45"/>
      <c r="Y130" s="45" t="s">
        <v>696</v>
      </c>
      <c r="AA130" s="228"/>
      <c r="AB130" s="228"/>
    </row>
    <row r="131" spans="1:28" ht="240">
      <c r="A131" s="44">
        <f t="shared" si="4"/>
        <v>124</v>
      </c>
      <c r="B131" s="44" t="s">
        <v>30</v>
      </c>
      <c r="C131" s="44">
        <v>2017</v>
      </c>
      <c r="D131" s="45" t="s">
        <v>362</v>
      </c>
      <c r="E131" s="44" t="s">
        <v>28</v>
      </c>
      <c r="F131" s="50" t="s">
        <v>465</v>
      </c>
      <c r="G131" s="45" t="s">
        <v>466</v>
      </c>
      <c r="H131" s="48"/>
      <c r="I131" s="48"/>
      <c r="J131" s="48">
        <v>0</v>
      </c>
      <c r="K131" s="48">
        <v>0</v>
      </c>
      <c r="L131" s="48">
        <f>44400</f>
        <v>44400</v>
      </c>
      <c r="M131" s="48">
        <v>44400</v>
      </c>
      <c r="N131" s="48">
        <v>-21.33</v>
      </c>
      <c r="O131" s="48">
        <v>-21.33</v>
      </c>
      <c r="P131" s="48"/>
      <c r="Q131" s="48">
        <v>0</v>
      </c>
      <c r="R131" s="48">
        <f t="shared" si="5"/>
        <v>44378.67</v>
      </c>
      <c r="S131" s="218">
        <v>44400</v>
      </c>
      <c r="T131" s="48">
        <v>44400</v>
      </c>
      <c r="U131" s="164">
        <f t="shared" si="6"/>
        <v>0.99951959459459461</v>
      </c>
      <c r="V131" s="45" t="s">
        <v>467</v>
      </c>
      <c r="W131" s="45" t="s">
        <v>468</v>
      </c>
      <c r="X131" s="45" t="s">
        <v>721</v>
      </c>
      <c r="Y131" s="45" t="s">
        <v>771</v>
      </c>
      <c r="AA131" s="228"/>
      <c r="AB131" s="228"/>
    </row>
    <row r="132" spans="1:28" ht="90">
      <c r="A132" s="44">
        <f t="shared" si="4"/>
        <v>125</v>
      </c>
      <c r="B132" s="44" t="s">
        <v>30</v>
      </c>
      <c r="C132" s="44">
        <v>2017</v>
      </c>
      <c r="D132" s="45" t="s">
        <v>362</v>
      </c>
      <c r="E132" s="45" t="s">
        <v>28</v>
      </c>
      <c r="F132" s="50" t="s">
        <v>107</v>
      </c>
      <c r="G132" s="45" t="s">
        <v>259</v>
      </c>
      <c r="H132" s="48"/>
      <c r="I132" s="48"/>
      <c r="J132" s="48">
        <v>0</v>
      </c>
      <c r="K132" s="48">
        <v>0</v>
      </c>
      <c r="L132" s="48">
        <v>23851.26</v>
      </c>
      <c r="M132" s="48">
        <v>23851.26</v>
      </c>
      <c r="N132" s="48">
        <v>37057.61</v>
      </c>
      <c r="O132" s="48">
        <v>37057.61</v>
      </c>
      <c r="P132" s="48"/>
      <c r="Q132" s="48">
        <v>0</v>
      </c>
      <c r="R132" s="48">
        <f t="shared" si="5"/>
        <v>60908.869999999995</v>
      </c>
      <c r="S132" s="49">
        <v>60900</v>
      </c>
      <c r="T132" s="48">
        <v>60900</v>
      </c>
      <c r="U132" s="164">
        <f t="shared" si="6"/>
        <v>1.0001456486042692</v>
      </c>
      <c r="V132" s="45" t="s">
        <v>576</v>
      </c>
      <c r="W132" s="45" t="s">
        <v>577</v>
      </c>
      <c r="X132" s="45" t="s">
        <v>722</v>
      </c>
      <c r="Y132" s="258" t="s">
        <v>578</v>
      </c>
      <c r="AA132" s="228"/>
      <c r="AB132" s="228"/>
    </row>
    <row r="133" spans="1:28" ht="150">
      <c r="A133" s="44">
        <f t="shared" si="4"/>
        <v>126</v>
      </c>
      <c r="B133" s="44" t="s">
        <v>30</v>
      </c>
      <c r="C133" s="44">
        <v>2017</v>
      </c>
      <c r="D133" s="45" t="s">
        <v>362</v>
      </c>
      <c r="E133" s="44" t="s">
        <v>28</v>
      </c>
      <c r="F133" s="50" t="s">
        <v>766</v>
      </c>
      <c r="G133" s="45" t="s">
        <v>255</v>
      </c>
      <c r="H133" s="48">
        <f>257.43+263.98</f>
        <v>521.41000000000008</v>
      </c>
      <c r="I133" s="48">
        <f>305.04+784.96</f>
        <v>1090</v>
      </c>
      <c r="J133" s="48">
        <v>0</v>
      </c>
      <c r="K133" s="48">
        <v>0</v>
      </c>
      <c r="L133" s="48">
        <f>129235.73+1525.92</f>
        <v>130761.65</v>
      </c>
      <c r="M133" s="48">
        <v>130761.65</v>
      </c>
      <c r="N133" s="48">
        <f>27002.01+22137.53-305.04</f>
        <v>48834.499999999993</v>
      </c>
      <c r="O133" s="48">
        <v>110792.34</v>
      </c>
      <c r="P133" s="48">
        <f>76285.72</f>
        <v>76285.72</v>
      </c>
      <c r="Q133" s="48">
        <v>76285.72</v>
      </c>
      <c r="R133" s="48">
        <f t="shared" si="5"/>
        <v>319451.12</v>
      </c>
      <c r="S133" s="49">
        <f>262800-6800</f>
        <v>256000</v>
      </c>
      <c r="T133" s="48">
        <v>318000</v>
      </c>
      <c r="U133" s="164">
        <f t="shared" si="6"/>
        <v>1.0045632704402516</v>
      </c>
      <c r="V133" s="45" t="s">
        <v>767</v>
      </c>
      <c r="W133" s="45" t="s">
        <v>768</v>
      </c>
      <c r="X133" s="45" t="s">
        <v>813</v>
      </c>
      <c r="Y133" s="258" t="s">
        <v>578</v>
      </c>
      <c r="AA133" s="228"/>
      <c r="AB133" s="228"/>
    </row>
    <row r="134" spans="1:28" ht="90">
      <c r="A134" s="44">
        <f t="shared" si="4"/>
        <v>127</v>
      </c>
      <c r="B134" s="44" t="s">
        <v>30</v>
      </c>
      <c r="C134" s="44">
        <v>2017</v>
      </c>
      <c r="D134" s="45" t="s">
        <v>362</v>
      </c>
      <c r="E134" s="44" t="s">
        <v>28</v>
      </c>
      <c r="F134" s="50" t="s">
        <v>814</v>
      </c>
      <c r="G134" s="45" t="s">
        <v>255</v>
      </c>
      <c r="H134" s="48"/>
      <c r="I134" s="48"/>
      <c r="J134" s="48">
        <v>0</v>
      </c>
      <c r="K134" s="48">
        <v>0</v>
      </c>
      <c r="L134" s="48">
        <v>60286.03</v>
      </c>
      <c r="M134" s="48">
        <v>60286.03</v>
      </c>
      <c r="N134" s="48">
        <f>90016.69-38437.49</f>
        <v>51579.200000000004</v>
      </c>
      <c r="O134" s="48">
        <v>51579.200000000004</v>
      </c>
      <c r="P134" s="48"/>
      <c r="Q134" s="48">
        <v>0</v>
      </c>
      <c r="R134" s="48">
        <f t="shared" si="5"/>
        <v>111865.23000000001</v>
      </c>
      <c r="S134" s="49">
        <v>111900</v>
      </c>
      <c r="T134" s="48">
        <v>111900</v>
      </c>
      <c r="U134" s="164">
        <f t="shared" si="6"/>
        <v>0.99968927613941028</v>
      </c>
      <c r="V134" s="45" t="s">
        <v>740</v>
      </c>
      <c r="W134" s="45" t="s">
        <v>449</v>
      </c>
      <c r="X134" s="45"/>
      <c r="Y134" s="258" t="s">
        <v>578</v>
      </c>
      <c r="AA134" s="228"/>
      <c r="AB134" s="228"/>
    </row>
    <row r="135" spans="1:28" ht="90">
      <c r="A135" s="44">
        <f t="shared" si="4"/>
        <v>128</v>
      </c>
      <c r="B135" s="44" t="s">
        <v>30</v>
      </c>
      <c r="C135" s="44">
        <v>2018</v>
      </c>
      <c r="D135" s="45" t="s">
        <v>647</v>
      </c>
      <c r="E135" s="44" t="s">
        <v>28</v>
      </c>
      <c r="F135" s="50" t="s">
        <v>814</v>
      </c>
      <c r="G135" s="45" t="s">
        <v>255</v>
      </c>
      <c r="H135" s="48"/>
      <c r="I135" s="48"/>
      <c r="J135" s="48">
        <v>0</v>
      </c>
      <c r="K135" s="48">
        <v>0</v>
      </c>
      <c r="L135" s="48"/>
      <c r="M135" s="48">
        <v>0</v>
      </c>
      <c r="N135" s="48"/>
      <c r="O135" s="48">
        <v>0</v>
      </c>
      <c r="P135" s="48"/>
      <c r="Q135" s="48">
        <v>0</v>
      </c>
      <c r="R135" s="48">
        <f t="shared" si="5"/>
        <v>0</v>
      </c>
      <c r="S135" s="49"/>
      <c r="T135" s="48">
        <v>200000</v>
      </c>
      <c r="U135" s="164">
        <f t="shared" si="6"/>
        <v>0</v>
      </c>
      <c r="V135" s="45" t="s">
        <v>740</v>
      </c>
      <c r="W135" s="45" t="s">
        <v>449</v>
      </c>
      <c r="X135" s="45" t="s">
        <v>890</v>
      </c>
      <c r="Y135" s="45" t="s">
        <v>890</v>
      </c>
      <c r="AA135" s="228"/>
      <c r="AB135" s="228"/>
    </row>
    <row r="136" spans="1:28" ht="120">
      <c r="A136" s="44">
        <f t="shared" si="4"/>
        <v>129</v>
      </c>
      <c r="B136" s="44" t="s">
        <v>30</v>
      </c>
      <c r="C136" s="44">
        <v>2017</v>
      </c>
      <c r="D136" s="45" t="s">
        <v>362</v>
      </c>
      <c r="E136" s="44" t="s">
        <v>28</v>
      </c>
      <c r="F136" s="50" t="s">
        <v>761</v>
      </c>
      <c r="G136" s="45" t="s">
        <v>255</v>
      </c>
      <c r="H136" s="48"/>
      <c r="I136" s="48"/>
      <c r="J136" s="48">
        <v>0</v>
      </c>
      <c r="K136" s="48">
        <v>0</v>
      </c>
      <c r="L136" s="48">
        <v>187003.62</v>
      </c>
      <c r="M136" s="48">
        <v>187003.62</v>
      </c>
      <c r="N136" s="48">
        <v>79329.649999999994</v>
      </c>
      <c r="O136" s="48">
        <v>79329.649999999994</v>
      </c>
      <c r="P136" s="48"/>
      <c r="Q136" s="48">
        <v>0</v>
      </c>
      <c r="R136" s="48">
        <f t="shared" si="5"/>
        <v>266333.27</v>
      </c>
      <c r="S136" s="49">
        <v>266400</v>
      </c>
      <c r="T136" s="48">
        <v>266400</v>
      </c>
      <c r="U136" s="164">
        <f t="shared" si="6"/>
        <v>0.99974951201201212</v>
      </c>
      <c r="V136" s="45" t="s">
        <v>762</v>
      </c>
      <c r="W136" s="45" t="s">
        <v>763</v>
      </c>
      <c r="X136" s="45" t="s">
        <v>703</v>
      </c>
      <c r="Y136" s="231" t="s">
        <v>723</v>
      </c>
      <c r="AA136" s="228"/>
      <c r="AB136" s="228"/>
    </row>
    <row r="137" spans="1:28" ht="120">
      <c r="A137" s="44">
        <f t="shared" si="4"/>
        <v>130</v>
      </c>
      <c r="B137" s="44" t="s">
        <v>30</v>
      </c>
      <c r="C137" s="44">
        <v>2018</v>
      </c>
      <c r="D137" s="45" t="s">
        <v>647</v>
      </c>
      <c r="E137" s="44" t="s">
        <v>28</v>
      </c>
      <c r="F137" s="50" t="s">
        <v>761</v>
      </c>
      <c r="G137" s="45" t="s">
        <v>255</v>
      </c>
      <c r="H137" s="48"/>
      <c r="I137" s="48"/>
      <c r="J137" s="48">
        <v>0</v>
      </c>
      <c r="K137" s="48">
        <v>0</v>
      </c>
      <c r="L137" s="48"/>
      <c r="M137" s="48">
        <v>0</v>
      </c>
      <c r="N137" s="48"/>
      <c r="O137" s="48">
        <v>0</v>
      </c>
      <c r="P137" s="48"/>
      <c r="Q137" s="48">
        <v>0</v>
      </c>
      <c r="R137" s="48">
        <f t="shared" si="5"/>
        <v>0</v>
      </c>
      <c r="S137" s="49"/>
      <c r="T137" s="48">
        <v>122100</v>
      </c>
      <c r="U137" s="164">
        <f t="shared" si="6"/>
        <v>0</v>
      </c>
      <c r="V137" s="45" t="s">
        <v>762</v>
      </c>
      <c r="W137" s="45" t="s">
        <v>763</v>
      </c>
      <c r="X137" s="45" t="s">
        <v>703</v>
      </c>
      <c r="Y137" s="231" t="s">
        <v>723</v>
      </c>
      <c r="AA137" s="228"/>
      <c r="AB137" s="228"/>
    </row>
    <row r="138" spans="1:28" ht="60">
      <c r="A138" s="44">
        <f t="shared" ref="A138:A201" si="7">+A137+1</f>
        <v>131</v>
      </c>
      <c r="B138" s="44" t="s">
        <v>30</v>
      </c>
      <c r="C138" s="44">
        <v>2017</v>
      </c>
      <c r="D138" s="45" t="s">
        <v>362</v>
      </c>
      <c r="E138" s="44" t="s">
        <v>28</v>
      </c>
      <c r="F138" s="50" t="s">
        <v>531</v>
      </c>
      <c r="G138" s="45" t="s">
        <v>29</v>
      </c>
      <c r="H138" s="48"/>
      <c r="I138" s="48"/>
      <c r="J138" s="48">
        <v>0</v>
      </c>
      <c r="K138" s="48">
        <v>0</v>
      </c>
      <c r="L138" s="48">
        <v>1751830.87</v>
      </c>
      <c r="M138" s="48">
        <v>1751830.87</v>
      </c>
      <c r="N138" s="48">
        <v>340080.24</v>
      </c>
      <c r="O138" s="48">
        <v>340080.24</v>
      </c>
      <c r="P138" s="48"/>
      <c r="Q138" s="48">
        <v>0</v>
      </c>
      <c r="R138" s="48">
        <f t="shared" si="5"/>
        <v>2091911.11</v>
      </c>
      <c r="S138" s="49">
        <v>2092000</v>
      </c>
      <c r="T138" s="48">
        <v>2092000</v>
      </c>
      <c r="U138" s="164">
        <f t="shared" si="6"/>
        <v>0.99995750956022944</v>
      </c>
      <c r="V138" s="45" t="s">
        <v>532</v>
      </c>
      <c r="W138" s="45"/>
      <c r="X138" s="45"/>
      <c r="Y138" s="45" t="s">
        <v>584</v>
      </c>
      <c r="AA138" s="228"/>
      <c r="AB138" s="228"/>
    </row>
    <row r="139" spans="1:28" ht="240">
      <c r="A139" s="44">
        <f t="shared" si="7"/>
        <v>132</v>
      </c>
      <c r="B139" s="44" t="s">
        <v>30</v>
      </c>
      <c r="C139" s="44">
        <v>2016</v>
      </c>
      <c r="D139" s="45" t="s">
        <v>362</v>
      </c>
      <c r="E139" s="44" t="s">
        <v>28</v>
      </c>
      <c r="F139" s="50" t="s">
        <v>772</v>
      </c>
      <c r="G139" s="45" t="s">
        <v>773</v>
      </c>
      <c r="H139" s="48"/>
      <c r="I139" s="48"/>
      <c r="J139" s="48">
        <v>0</v>
      </c>
      <c r="K139" s="48">
        <v>0</v>
      </c>
      <c r="L139" s="48"/>
      <c r="M139" s="48">
        <v>0</v>
      </c>
      <c r="N139" s="48">
        <v>329352.96000000002</v>
      </c>
      <c r="O139" s="48">
        <v>329352.96000000002</v>
      </c>
      <c r="P139" s="48"/>
      <c r="Q139" s="48">
        <v>0</v>
      </c>
      <c r="R139" s="48">
        <f t="shared" si="5"/>
        <v>329352.96000000002</v>
      </c>
      <c r="S139" s="49">
        <v>329400</v>
      </c>
      <c r="T139" s="48">
        <v>329400</v>
      </c>
      <c r="U139" s="164">
        <f t="shared" si="6"/>
        <v>0.99985719489981795</v>
      </c>
      <c r="V139" s="45" t="s">
        <v>312</v>
      </c>
      <c r="W139" s="45" t="s">
        <v>313</v>
      </c>
      <c r="X139" s="45" t="s">
        <v>724</v>
      </c>
      <c r="Y139" s="45" t="s">
        <v>774</v>
      </c>
      <c r="AA139" s="228"/>
      <c r="AB139" s="228"/>
    </row>
    <row r="140" spans="1:28" ht="240">
      <c r="A140" s="44">
        <f t="shared" si="7"/>
        <v>133</v>
      </c>
      <c r="B140" s="44" t="s">
        <v>30</v>
      </c>
      <c r="C140" s="44">
        <v>2017</v>
      </c>
      <c r="D140" s="45" t="s">
        <v>362</v>
      </c>
      <c r="E140" s="44" t="s">
        <v>28</v>
      </c>
      <c r="F140" s="50" t="s">
        <v>772</v>
      </c>
      <c r="G140" s="45" t="s">
        <v>773</v>
      </c>
      <c r="H140" s="48"/>
      <c r="I140" s="48"/>
      <c r="J140" s="48">
        <v>0</v>
      </c>
      <c r="K140" s="48">
        <v>0</v>
      </c>
      <c r="L140" s="48">
        <v>314175.71999999997</v>
      </c>
      <c r="M140" s="48">
        <v>314175.71999999997</v>
      </c>
      <c r="N140" s="48">
        <f>-12344.62+48311.84+6972.21</f>
        <v>42939.429999999993</v>
      </c>
      <c r="O140" s="48">
        <v>42939.429999999993</v>
      </c>
      <c r="P140" s="48">
        <v>70899.09</v>
      </c>
      <c r="Q140" s="48">
        <v>70899.09</v>
      </c>
      <c r="R140" s="48">
        <f t="shared" si="5"/>
        <v>428014.24</v>
      </c>
      <c r="S140" s="49">
        <v>428100</v>
      </c>
      <c r="T140" s="48">
        <v>428100</v>
      </c>
      <c r="U140" s="164">
        <f t="shared" si="6"/>
        <v>0.99979967297360428</v>
      </c>
      <c r="V140" s="45" t="s">
        <v>312</v>
      </c>
      <c r="W140" s="45" t="s">
        <v>313</v>
      </c>
      <c r="X140" s="45" t="s">
        <v>724</v>
      </c>
      <c r="Y140" s="45" t="s">
        <v>774</v>
      </c>
      <c r="AA140" s="228"/>
      <c r="AB140" s="228"/>
    </row>
    <row r="141" spans="1:28" ht="180">
      <c r="A141" s="44">
        <f t="shared" si="7"/>
        <v>134</v>
      </c>
      <c r="B141" s="44" t="s">
        <v>30</v>
      </c>
      <c r="C141" s="44">
        <v>2016</v>
      </c>
      <c r="D141" s="45" t="s">
        <v>362</v>
      </c>
      <c r="E141" s="45" t="s">
        <v>25</v>
      </c>
      <c r="F141" s="266" t="s">
        <v>390</v>
      </c>
      <c r="G141" s="45" t="s">
        <v>256</v>
      </c>
      <c r="H141" s="48"/>
      <c r="I141" s="48"/>
      <c r="J141" s="48">
        <v>0</v>
      </c>
      <c r="K141" s="48">
        <v>0</v>
      </c>
      <c r="L141" s="48"/>
      <c r="M141" s="48">
        <v>0</v>
      </c>
      <c r="N141" s="48">
        <v>197.83</v>
      </c>
      <c r="O141" s="48">
        <v>197.83</v>
      </c>
      <c r="P141" s="48"/>
      <c r="Q141" s="48">
        <v>0</v>
      </c>
      <c r="R141" s="48">
        <f t="shared" si="5"/>
        <v>197.83</v>
      </c>
      <c r="S141" s="49">
        <v>200</v>
      </c>
      <c r="T141" s="48">
        <v>200</v>
      </c>
      <c r="U141" s="164">
        <f t="shared" si="6"/>
        <v>0.98915000000000008</v>
      </c>
      <c r="V141" s="45" t="s">
        <v>99</v>
      </c>
      <c r="W141" s="45" t="s">
        <v>100</v>
      </c>
      <c r="X141" s="45" t="s">
        <v>695</v>
      </c>
      <c r="Y141" s="255" t="s">
        <v>715</v>
      </c>
      <c r="AA141" s="228"/>
      <c r="AB141" s="228"/>
    </row>
    <row r="142" spans="1:28" ht="180">
      <c r="A142" s="44">
        <f t="shared" si="7"/>
        <v>135</v>
      </c>
      <c r="B142" s="44" t="s">
        <v>30</v>
      </c>
      <c r="C142" s="44">
        <v>2017</v>
      </c>
      <c r="D142" s="45" t="s">
        <v>362</v>
      </c>
      <c r="E142" s="45" t="s">
        <v>25</v>
      </c>
      <c r="F142" s="266" t="s">
        <v>390</v>
      </c>
      <c r="G142" s="45" t="s">
        <v>256</v>
      </c>
      <c r="H142" s="48"/>
      <c r="I142" s="48"/>
      <c r="J142" s="48">
        <v>0</v>
      </c>
      <c r="K142" s="48">
        <v>0</v>
      </c>
      <c r="L142" s="48">
        <v>86804</v>
      </c>
      <c r="M142" s="48">
        <v>86804</v>
      </c>
      <c r="N142" s="48">
        <v>-1435</v>
      </c>
      <c r="O142" s="48">
        <v>-1435</v>
      </c>
      <c r="P142" s="48">
        <v>51989.98</v>
      </c>
      <c r="Q142" s="48">
        <v>51989.98</v>
      </c>
      <c r="R142" s="48">
        <f t="shared" si="5"/>
        <v>137358.98000000001</v>
      </c>
      <c r="S142" s="49">
        <v>137400</v>
      </c>
      <c r="T142" s="48">
        <v>137400</v>
      </c>
      <c r="U142" s="164">
        <f t="shared" si="6"/>
        <v>0.99970145560407575</v>
      </c>
      <c r="V142" s="45" t="s">
        <v>99</v>
      </c>
      <c r="W142" s="45" t="s">
        <v>100</v>
      </c>
      <c r="X142" s="45" t="s">
        <v>695</v>
      </c>
      <c r="Y142" s="255" t="s">
        <v>715</v>
      </c>
      <c r="AA142" s="228"/>
      <c r="AB142" s="228"/>
    </row>
    <row r="143" spans="1:28" ht="105">
      <c r="A143" s="44">
        <f t="shared" si="7"/>
        <v>136</v>
      </c>
      <c r="B143" s="44" t="s">
        <v>30</v>
      </c>
      <c r="C143" s="44">
        <v>2017</v>
      </c>
      <c r="D143" s="45" t="s">
        <v>362</v>
      </c>
      <c r="E143" s="45" t="s">
        <v>25</v>
      </c>
      <c r="F143" s="266" t="s">
        <v>622</v>
      </c>
      <c r="G143" s="45" t="s">
        <v>623</v>
      </c>
      <c r="H143" s="48"/>
      <c r="I143" s="48"/>
      <c r="J143" s="48"/>
      <c r="K143" s="48">
        <v>0</v>
      </c>
      <c r="L143" s="48">
        <v>100000</v>
      </c>
      <c r="M143" s="48">
        <v>100000</v>
      </c>
      <c r="N143" s="48">
        <v>340000</v>
      </c>
      <c r="O143" s="48">
        <v>340000</v>
      </c>
      <c r="P143" s="48"/>
      <c r="Q143" s="48">
        <v>0</v>
      </c>
      <c r="R143" s="48">
        <f t="shared" si="5"/>
        <v>440000</v>
      </c>
      <c r="S143" s="49">
        <v>440000</v>
      </c>
      <c r="T143" s="48">
        <v>440000</v>
      </c>
      <c r="U143" s="164">
        <f t="shared" si="6"/>
        <v>1</v>
      </c>
      <c r="V143" s="45" t="s">
        <v>625</v>
      </c>
      <c r="W143" s="45" t="s">
        <v>631</v>
      </c>
      <c r="X143" s="45" t="s">
        <v>632</v>
      </c>
      <c r="Y143" s="45" t="s">
        <v>633</v>
      </c>
      <c r="AA143" s="228"/>
      <c r="AB143" s="228"/>
    </row>
    <row r="144" spans="1:28" ht="45">
      <c r="A144" s="44">
        <f t="shared" si="7"/>
        <v>137</v>
      </c>
      <c r="B144" s="44" t="s">
        <v>30</v>
      </c>
      <c r="C144" s="44">
        <v>2017</v>
      </c>
      <c r="D144" s="45" t="s">
        <v>362</v>
      </c>
      <c r="E144" s="45" t="s">
        <v>25</v>
      </c>
      <c r="F144" s="50" t="s">
        <v>388</v>
      </c>
      <c r="G144" s="45" t="s">
        <v>263</v>
      </c>
      <c r="H144" s="48"/>
      <c r="I144" s="48"/>
      <c r="J144" s="48">
        <v>0</v>
      </c>
      <c r="K144" s="48">
        <v>0</v>
      </c>
      <c r="L144" s="48"/>
      <c r="M144" s="48">
        <v>0</v>
      </c>
      <c r="N144" s="48"/>
      <c r="O144" s="48">
        <v>0</v>
      </c>
      <c r="P144" s="48"/>
      <c r="Q144" s="48">
        <v>0</v>
      </c>
      <c r="R144" s="48">
        <f t="shared" si="5"/>
        <v>0</v>
      </c>
      <c r="S144" s="49">
        <v>0</v>
      </c>
      <c r="T144" s="48">
        <v>1869300</v>
      </c>
      <c r="U144" s="164">
        <f t="shared" si="6"/>
        <v>0</v>
      </c>
      <c r="V144" s="45"/>
      <c r="W144" s="45"/>
      <c r="X144" s="45"/>
      <c r="Y144" s="45"/>
      <c r="AA144" s="228"/>
      <c r="AB144" s="228"/>
    </row>
    <row r="145" spans="1:28" ht="195">
      <c r="A145" s="44">
        <f t="shared" si="7"/>
        <v>138</v>
      </c>
      <c r="B145" s="44" t="s">
        <v>30</v>
      </c>
      <c r="C145" s="44">
        <v>2017</v>
      </c>
      <c r="D145" s="45" t="s">
        <v>362</v>
      </c>
      <c r="E145" s="44" t="s">
        <v>25</v>
      </c>
      <c r="F145" s="50" t="s">
        <v>115</v>
      </c>
      <c r="G145" s="221" t="s">
        <v>264</v>
      </c>
      <c r="H145" s="48"/>
      <c r="I145" s="48"/>
      <c r="J145" s="48"/>
      <c r="K145" s="48">
        <v>0</v>
      </c>
      <c r="L145" s="48"/>
      <c r="M145" s="48">
        <v>0</v>
      </c>
      <c r="N145" s="48">
        <v>338333.95</v>
      </c>
      <c r="O145" s="48">
        <v>338333.95</v>
      </c>
      <c r="P145" s="48">
        <v>55578.43</v>
      </c>
      <c r="Q145" s="48">
        <v>55578.43</v>
      </c>
      <c r="R145" s="48">
        <f t="shared" si="5"/>
        <v>393912.38</v>
      </c>
      <c r="S145" s="49">
        <v>394000</v>
      </c>
      <c r="T145" s="48">
        <v>394000</v>
      </c>
      <c r="U145" s="164">
        <f t="shared" si="6"/>
        <v>0.999777614213198</v>
      </c>
      <c r="V145" s="45" t="s">
        <v>116</v>
      </c>
      <c r="W145" s="45" t="s">
        <v>117</v>
      </c>
      <c r="X145" s="45" t="s">
        <v>725</v>
      </c>
      <c r="Y145" s="258" t="s">
        <v>578</v>
      </c>
      <c r="AA145" s="228"/>
      <c r="AB145" s="228"/>
    </row>
    <row r="146" spans="1:28" ht="409.5">
      <c r="A146" s="44">
        <f t="shared" si="7"/>
        <v>139</v>
      </c>
      <c r="B146" s="44" t="s">
        <v>30</v>
      </c>
      <c r="C146" s="44">
        <v>2018</v>
      </c>
      <c r="D146" s="45" t="s">
        <v>647</v>
      </c>
      <c r="E146" s="44" t="s">
        <v>25</v>
      </c>
      <c r="F146" s="50" t="s">
        <v>115</v>
      </c>
      <c r="G146" s="221" t="s">
        <v>264</v>
      </c>
      <c r="H146" s="48">
        <f>252311.52</f>
        <v>252311.52</v>
      </c>
      <c r="I146" s="48"/>
      <c r="J146" s="48"/>
      <c r="K146" s="48">
        <v>0</v>
      </c>
      <c r="L146" s="48"/>
      <c r="M146" s="48">
        <v>0</v>
      </c>
      <c r="N146" s="48">
        <v>11666.05</v>
      </c>
      <c r="O146" s="48">
        <v>11666.05</v>
      </c>
      <c r="P146" s="48"/>
      <c r="Q146" s="48">
        <v>42110.05</v>
      </c>
      <c r="R146" s="48">
        <f t="shared" si="5"/>
        <v>306087.62</v>
      </c>
      <c r="S146" s="49"/>
      <c r="T146" s="48">
        <v>290000</v>
      </c>
      <c r="U146" s="164">
        <f t="shared" si="6"/>
        <v>1.055474551724138</v>
      </c>
      <c r="V146" s="45" t="s">
        <v>116</v>
      </c>
      <c r="W146" s="45" t="s">
        <v>117</v>
      </c>
      <c r="X146" s="45" t="s">
        <v>891</v>
      </c>
      <c r="Y146" s="45" t="s">
        <v>892</v>
      </c>
      <c r="AA146" s="228"/>
      <c r="AB146" s="228"/>
    </row>
    <row r="147" spans="1:28" ht="210">
      <c r="A147" s="44">
        <f t="shared" si="7"/>
        <v>140</v>
      </c>
      <c r="B147" s="44" t="s">
        <v>30</v>
      </c>
      <c r="C147" s="44">
        <v>2017</v>
      </c>
      <c r="D147" s="45" t="s">
        <v>362</v>
      </c>
      <c r="E147" s="45" t="s">
        <v>25</v>
      </c>
      <c r="F147" s="250" t="s">
        <v>473</v>
      </c>
      <c r="G147" s="45" t="s">
        <v>453</v>
      </c>
      <c r="H147" s="48"/>
      <c r="I147" s="48"/>
      <c r="J147" s="48">
        <v>0</v>
      </c>
      <c r="K147" s="48">
        <v>0</v>
      </c>
      <c r="L147" s="48"/>
      <c r="M147" s="48">
        <v>0</v>
      </c>
      <c r="N147" s="48">
        <v>197692.14</v>
      </c>
      <c r="O147" s="48">
        <v>197692.14</v>
      </c>
      <c r="P147" s="48">
        <v>56276.5</v>
      </c>
      <c r="Q147" s="48">
        <v>56276.5</v>
      </c>
      <c r="R147" s="48">
        <f t="shared" si="5"/>
        <v>253968.64000000001</v>
      </c>
      <c r="S147" s="49">
        <f>389600-135600</f>
        <v>254000</v>
      </c>
      <c r="T147" s="48">
        <v>254000</v>
      </c>
      <c r="U147" s="164">
        <f t="shared" si="6"/>
        <v>0.99987653543307087</v>
      </c>
      <c r="V147" s="45" t="s">
        <v>474</v>
      </c>
      <c r="W147" s="45" t="s">
        <v>475</v>
      </c>
      <c r="X147" s="45" t="s">
        <v>815</v>
      </c>
      <c r="Y147" s="258" t="s">
        <v>578</v>
      </c>
      <c r="AA147" s="228"/>
      <c r="AB147" s="228"/>
    </row>
    <row r="148" spans="1:28" ht="105">
      <c r="A148" s="44">
        <f t="shared" si="7"/>
        <v>141</v>
      </c>
      <c r="B148" s="44" t="s">
        <v>30</v>
      </c>
      <c r="C148" s="44">
        <v>2017</v>
      </c>
      <c r="D148" s="45" t="s">
        <v>362</v>
      </c>
      <c r="E148" s="44" t="s">
        <v>8</v>
      </c>
      <c r="F148" s="50" t="s">
        <v>345</v>
      </c>
      <c r="G148" s="45" t="s">
        <v>346</v>
      </c>
      <c r="H148" s="48"/>
      <c r="I148" s="48"/>
      <c r="J148" s="48">
        <v>0</v>
      </c>
      <c r="K148" s="48">
        <v>0</v>
      </c>
      <c r="L148" s="48">
        <v>152429.21</v>
      </c>
      <c r="M148" s="48">
        <v>152429.21</v>
      </c>
      <c r="N148" s="48">
        <v>25585.67</v>
      </c>
      <c r="O148" s="48">
        <v>25585.67</v>
      </c>
      <c r="P148" s="48"/>
      <c r="Q148" s="48">
        <v>0</v>
      </c>
      <c r="R148" s="48">
        <f t="shared" si="5"/>
        <v>178014.88</v>
      </c>
      <c r="S148" s="49">
        <v>178000</v>
      </c>
      <c r="T148" s="48">
        <v>178000</v>
      </c>
      <c r="U148" s="164">
        <f t="shared" si="6"/>
        <v>1.000083595505618</v>
      </c>
      <c r="V148" s="45" t="s">
        <v>347</v>
      </c>
      <c r="W148" s="45" t="s">
        <v>348</v>
      </c>
      <c r="X148" s="45" t="s">
        <v>690</v>
      </c>
      <c r="Y148" s="258" t="s">
        <v>578</v>
      </c>
      <c r="AA148" s="228"/>
      <c r="AB148" s="228"/>
    </row>
    <row r="149" spans="1:28" ht="210">
      <c r="A149" s="44">
        <f t="shared" si="7"/>
        <v>142</v>
      </c>
      <c r="B149" s="44" t="s">
        <v>30</v>
      </c>
      <c r="C149" s="44">
        <v>2017</v>
      </c>
      <c r="D149" s="45" t="s">
        <v>362</v>
      </c>
      <c r="E149" s="44" t="s">
        <v>8</v>
      </c>
      <c r="F149" s="50" t="s">
        <v>97</v>
      </c>
      <c r="G149" s="45" t="s">
        <v>256</v>
      </c>
      <c r="H149" s="47"/>
      <c r="I149" s="47"/>
      <c r="J149" s="48">
        <v>0</v>
      </c>
      <c r="K149" s="48">
        <v>0</v>
      </c>
      <c r="L149" s="48">
        <f>300000</f>
        <v>300000</v>
      </c>
      <c r="M149" s="48">
        <v>300000</v>
      </c>
      <c r="N149" s="48">
        <v>-19174</v>
      </c>
      <c r="O149" s="48">
        <v>-19174</v>
      </c>
      <c r="P149" s="48"/>
      <c r="Q149" s="48">
        <v>0</v>
      </c>
      <c r="R149" s="48">
        <f t="shared" si="5"/>
        <v>280826</v>
      </c>
      <c r="S149" s="49">
        <v>280900</v>
      </c>
      <c r="T149" s="48">
        <v>280900</v>
      </c>
      <c r="U149" s="164">
        <f t="shared" si="6"/>
        <v>0.99973656105375575</v>
      </c>
      <c r="V149" s="45" t="s">
        <v>54</v>
      </c>
      <c r="W149" s="45" t="s">
        <v>775</v>
      </c>
      <c r="X149" s="45" t="s">
        <v>776</v>
      </c>
      <c r="Y149" s="258" t="s">
        <v>578</v>
      </c>
      <c r="AA149" s="228"/>
      <c r="AB149" s="228"/>
    </row>
    <row r="150" spans="1:28" ht="90">
      <c r="A150" s="44">
        <f t="shared" si="7"/>
        <v>143</v>
      </c>
      <c r="B150" s="44" t="s">
        <v>30</v>
      </c>
      <c r="C150" s="44">
        <v>2017</v>
      </c>
      <c r="D150" s="45" t="s">
        <v>362</v>
      </c>
      <c r="E150" s="44" t="s">
        <v>25</v>
      </c>
      <c r="F150" s="50" t="s">
        <v>109</v>
      </c>
      <c r="G150" s="45" t="s">
        <v>73</v>
      </c>
      <c r="H150" s="48"/>
      <c r="I150" s="48"/>
      <c r="J150" s="48">
        <v>0</v>
      </c>
      <c r="K150" s="48">
        <v>0</v>
      </c>
      <c r="L150" s="48">
        <v>86187.07</v>
      </c>
      <c r="M150" s="48">
        <v>86187.07</v>
      </c>
      <c r="N150" s="48"/>
      <c r="O150" s="48">
        <v>254002.34</v>
      </c>
      <c r="P150" s="48"/>
      <c r="Q150" s="48">
        <v>0</v>
      </c>
      <c r="R150" s="48">
        <f t="shared" si="5"/>
        <v>340189.41000000003</v>
      </c>
      <c r="S150" s="49">
        <v>86200</v>
      </c>
      <c r="T150" s="48">
        <v>493200</v>
      </c>
      <c r="U150" s="164">
        <f t="shared" si="6"/>
        <v>0.68975954987834553</v>
      </c>
      <c r="V150" s="45" t="s">
        <v>261</v>
      </c>
      <c r="W150" s="45" t="s">
        <v>262</v>
      </c>
      <c r="X150" s="45"/>
      <c r="Y150" s="258" t="s">
        <v>578</v>
      </c>
      <c r="AA150" s="228"/>
      <c r="AB150" s="228"/>
    </row>
    <row r="151" spans="1:28" ht="90">
      <c r="A151" s="44">
        <f t="shared" si="7"/>
        <v>144</v>
      </c>
      <c r="B151" s="44" t="s">
        <v>30</v>
      </c>
      <c r="C151" s="44">
        <v>2018</v>
      </c>
      <c r="D151" s="45" t="s">
        <v>647</v>
      </c>
      <c r="E151" s="44" t="s">
        <v>25</v>
      </c>
      <c r="F151" s="50" t="s">
        <v>109</v>
      </c>
      <c r="G151" s="45" t="s">
        <v>73</v>
      </c>
      <c r="H151" s="48">
        <v>800000</v>
      </c>
      <c r="I151" s="48"/>
      <c r="J151" s="48">
        <v>0</v>
      </c>
      <c r="K151" s="48">
        <v>0</v>
      </c>
      <c r="L151" s="48"/>
      <c r="M151" s="48">
        <v>0</v>
      </c>
      <c r="N151" s="48"/>
      <c r="O151" s="48">
        <v>0</v>
      </c>
      <c r="P151" s="48"/>
      <c r="Q151" s="48">
        <v>0</v>
      </c>
      <c r="R151" s="48">
        <f t="shared" ref="R151:R214" si="8">+K151+I151+H151+M151+O151+Q151</f>
        <v>800000</v>
      </c>
      <c r="S151" s="49"/>
      <c r="T151" s="48">
        <v>800000</v>
      </c>
      <c r="U151" s="164">
        <f t="shared" ref="U151:U214" si="9">IF(T151=0,"",(R151)/T151)</f>
        <v>1</v>
      </c>
      <c r="V151" s="45" t="s">
        <v>261</v>
      </c>
      <c r="W151" s="45" t="s">
        <v>262</v>
      </c>
      <c r="X151" s="45" t="s">
        <v>893</v>
      </c>
      <c r="Y151" s="45" t="s">
        <v>476</v>
      </c>
      <c r="AA151" s="228"/>
      <c r="AB151" s="228"/>
    </row>
    <row r="152" spans="1:28" ht="90">
      <c r="A152" s="44">
        <f t="shared" si="7"/>
        <v>145</v>
      </c>
      <c r="B152" s="44" t="s">
        <v>30</v>
      </c>
      <c r="C152" s="44">
        <v>2016</v>
      </c>
      <c r="D152" s="45" t="s">
        <v>362</v>
      </c>
      <c r="E152" s="44" t="s">
        <v>28</v>
      </c>
      <c r="F152" s="50" t="s">
        <v>105</v>
      </c>
      <c r="G152" s="45" t="s">
        <v>258</v>
      </c>
      <c r="H152" s="48"/>
      <c r="I152" s="48"/>
      <c r="J152" s="48">
        <v>0</v>
      </c>
      <c r="K152" s="48">
        <v>0</v>
      </c>
      <c r="L152" s="256"/>
      <c r="M152" s="48">
        <v>0</v>
      </c>
      <c r="N152" s="48">
        <v>267337.83</v>
      </c>
      <c r="O152" s="48">
        <v>267337.83</v>
      </c>
      <c r="P152" s="48"/>
      <c r="Q152" s="48">
        <v>0</v>
      </c>
      <c r="R152" s="48">
        <f t="shared" si="8"/>
        <v>267337.83</v>
      </c>
      <c r="S152" s="49">
        <f>36500+55000+175900-100</f>
        <v>267300</v>
      </c>
      <c r="T152" s="48">
        <v>267300</v>
      </c>
      <c r="U152" s="164">
        <f t="shared" si="9"/>
        <v>1.0001415263748599</v>
      </c>
      <c r="V152" s="45" t="s">
        <v>106</v>
      </c>
      <c r="W152" s="45" t="s">
        <v>311</v>
      </c>
      <c r="X152" s="45" t="s">
        <v>704</v>
      </c>
      <c r="Y152" s="45" t="s">
        <v>696</v>
      </c>
      <c r="AA152" s="228"/>
      <c r="AB152" s="228"/>
    </row>
    <row r="153" spans="1:28" ht="90">
      <c r="A153" s="44">
        <f t="shared" si="7"/>
        <v>146</v>
      </c>
      <c r="B153" s="44" t="s">
        <v>30</v>
      </c>
      <c r="C153" s="44">
        <v>2017</v>
      </c>
      <c r="D153" s="45" t="s">
        <v>362</v>
      </c>
      <c r="E153" s="44" t="s">
        <v>28</v>
      </c>
      <c r="F153" s="50" t="s">
        <v>105</v>
      </c>
      <c r="G153" s="45" t="s">
        <v>258</v>
      </c>
      <c r="H153" s="48"/>
      <c r="I153" s="48"/>
      <c r="J153" s="48">
        <v>0</v>
      </c>
      <c r="K153" s="48">
        <v>0</v>
      </c>
      <c r="L153" s="48">
        <v>375000</v>
      </c>
      <c r="M153" s="48">
        <v>375000</v>
      </c>
      <c r="N153" s="48">
        <v>98531.199999999997</v>
      </c>
      <c r="O153" s="48">
        <v>98531.199999999997</v>
      </c>
      <c r="P153" s="48">
        <v>161680.48000000001</v>
      </c>
      <c r="Q153" s="48">
        <v>161680.48000000001</v>
      </c>
      <c r="R153" s="48">
        <f t="shared" si="8"/>
        <v>635211.68000000005</v>
      </c>
      <c r="S153" s="49">
        <f>682200-47000</f>
        <v>635200</v>
      </c>
      <c r="T153" s="48">
        <v>635200</v>
      </c>
      <c r="U153" s="164">
        <f t="shared" si="9"/>
        <v>1.0000183879093201</v>
      </c>
      <c r="V153" s="45" t="s">
        <v>106</v>
      </c>
      <c r="W153" s="45" t="s">
        <v>311</v>
      </c>
      <c r="X153" s="45" t="s">
        <v>704</v>
      </c>
      <c r="Y153" s="45" t="s">
        <v>696</v>
      </c>
      <c r="AA153" s="228"/>
      <c r="AB153" s="228"/>
    </row>
    <row r="154" spans="1:28" ht="45">
      <c r="A154" s="44">
        <f t="shared" si="7"/>
        <v>147</v>
      </c>
      <c r="B154" s="44" t="s">
        <v>30</v>
      </c>
      <c r="C154" s="44">
        <v>2017</v>
      </c>
      <c r="D154" s="45" t="s">
        <v>362</v>
      </c>
      <c r="E154" s="44" t="s">
        <v>8</v>
      </c>
      <c r="F154" s="50" t="s">
        <v>777</v>
      </c>
      <c r="G154" s="45" t="s">
        <v>727</v>
      </c>
      <c r="H154" s="48">
        <v>52362.78</v>
      </c>
      <c r="I154" s="48"/>
      <c r="J154" s="267"/>
      <c r="K154" s="48">
        <v>0</v>
      </c>
      <c r="L154" s="48"/>
      <c r="M154" s="48">
        <v>0</v>
      </c>
      <c r="N154" s="48">
        <v>10433.32</v>
      </c>
      <c r="O154" s="48">
        <v>10433.32</v>
      </c>
      <c r="P154" s="48">
        <v>142462.25</v>
      </c>
      <c r="Q154" s="48">
        <v>142462.25</v>
      </c>
      <c r="R154" s="48">
        <f t="shared" si="8"/>
        <v>205258.35</v>
      </c>
      <c r="S154" s="49">
        <f>168800+36500</f>
        <v>205300</v>
      </c>
      <c r="T154" s="48">
        <v>205300</v>
      </c>
      <c r="U154" s="164">
        <f t="shared" si="9"/>
        <v>0.99979712615684369</v>
      </c>
      <c r="V154" s="45"/>
      <c r="W154" s="45"/>
      <c r="X154" s="45" t="s">
        <v>894</v>
      </c>
      <c r="Y154" s="45" t="s">
        <v>895</v>
      </c>
      <c r="AA154" s="228"/>
      <c r="AB154" s="228"/>
    </row>
    <row r="155" spans="1:28" ht="60">
      <c r="A155" s="44">
        <f t="shared" si="7"/>
        <v>148</v>
      </c>
      <c r="B155" s="44" t="s">
        <v>30</v>
      </c>
      <c r="C155" s="44">
        <v>2017</v>
      </c>
      <c r="D155" s="45" t="s">
        <v>362</v>
      </c>
      <c r="E155" s="268" t="s">
        <v>7</v>
      </c>
      <c r="F155" s="269" t="s">
        <v>778</v>
      </c>
      <c r="G155" s="45"/>
      <c r="H155" s="48"/>
      <c r="I155" s="48"/>
      <c r="J155" s="267"/>
      <c r="K155" s="48">
        <v>0</v>
      </c>
      <c r="L155" s="48">
        <v>602.15</v>
      </c>
      <c r="M155" s="48">
        <v>602.15</v>
      </c>
      <c r="N155" s="48"/>
      <c r="O155" s="48">
        <v>0</v>
      </c>
      <c r="P155" s="48">
        <v>145516.26999999999</v>
      </c>
      <c r="Q155" s="48">
        <v>145516.26999999999</v>
      </c>
      <c r="R155" s="48">
        <f t="shared" si="8"/>
        <v>146118.41999999998</v>
      </c>
      <c r="S155" s="270">
        <f>65100+81000</f>
        <v>146100</v>
      </c>
      <c r="T155" s="48">
        <v>146100</v>
      </c>
      <c r="U155" s="164">
        <f t="shared" si="9"/>
        <v>1.0001260780287473</v>
      </c>
      <c r="V155" s="45"/>
      <c r="W155" s="45"/>
      <c r="X155" s="45" t="s">
        <v>896</v>
      </c>
      <c r="Y155" s="45" t="s">
        <v>897</v>
      </c>
      <c r="AA155" s="228"/>
      <c r="AB155" s="228"/>
    </row>
    <row r="156" spans="1:28" ht="105">
      <c r="A156" s="44">
        <f t="shared" si="7"/>
        <v>149</v>
      </c>
      <c r="B156" s="44" t="s">
        <v>30</v>
      </c>
      <c r="C156" s="44">
        <v>2019</v>
      </c>
      <c r="D156" s="45" t="s">
        <v>743</v>
      </c>
      <c r="E156" s="268" t="s">
        <v>7</v>
      </c>
      <c r="F156" s="269" t="s">
        <v>778</v>
      </c>
      <c r="G156" s="45"/>
      <c r="H156" s="48">
        <f>-P156</f>
        <v>-99987.32</v>
      </c>
      <c r="I156" s="48"/>
      <c r="J156" s="267"/>
      <c r="K156" s="48">
        <v>0</v>
      </c>
      <c r="L156" s="48"/>
      <c r="M156" s="48">
        <v>0</v>
      </c>
      <c r="N156" s="48"/>
      <c r="O156" s="48">
        <v>0</v>
      </c>
      <c r="P156" s="48">
        <v>99987.32</v>
      </c>
      <c r="Q156" s="48">
        <v>99987.32</v>
      </c>
      <c r="R156" s="48">
        <f t="shared" si="8"/>
        <v>0</v>
      </c>
      <c r="S156" s="270">
        <v>65100</v>
      </c>
      <c r="T156" s="48">
        <v>65100</v>
      </c>
      <c r="U156" s="164">
        <f t="shared" si="9"/>
        <v>0</v>
      </c>
      <c r="V156" s="45"/>
      <c r="W156" s="45"/>
      <c r="X156" s="45" t="s">
        <v>898</v>
      </c>
      <c r="Y156" s="45" t="s">
        <v>898</v>
      </c>
      <c r="AA156" s="228"/>
      <c r="AB156" s="228"/>
    </row>
    <row r="157" spans="1:28" ht="75">
      <c r="A157" s="44">
        <f t="shared" si="7"/>
        <v>150</v>
      </c>
      <c r="B157" s="44" t="s">
        <v>30</v>
      </c>
      <c r="C157" s="44">
        <v>2018</v>
      </c>
      <c r="D157" s="45" t="s">
        <v>647</v>
      </c>
      <c r="E157" s="45" t="s">
        <v>25</v>
      </c>
      <c r="F157" s="266" t="s">
        <v>390</v>
      </c>
      <c r="G157" s="45" t="s">
        <v>256</v>
      </c>
      <c r="H157" s="48"/>
      <c r="I157" s="48"/>
      <c r="J157" s="48">
        <v>0</v>
      </c>
      <c r="K157" s="48">
        <v>0</v>
      </c>
      <c r="L157" s="48"/>
      <c r="M157" s="48">
        <v>0</v>
      </c>
      <c r="N157" s="48">
        <v>20000</v>
      </c>
      <c r="O157" s="48">
        <v>20000</v>
      </c>
      <c r="P157" s="48"/>
      <c r="Q157" s="48">
        <v>0</v>
      </c>
      <c r="R157" s="48">
        <f t="shared" si="8"/>
        <v>20000</v>
      </c>
      <c r="S157" s="49">
        <f>100000-80000</f>
        <v>20000</v>
      </c>
      <c r="T157" s="48">
        <v>20000</v>
      </c>
      <c r="U157" s="164">
        <f t="shared" si="9"/>
        <v>1</v>
      </c>
      <c r="V157" s="45" t="s">
        <v>99</v>
      </c>
      <c r="W157" s="45" t="s">
        <v>100</v>
      </c>
      <c r="X157" s="45" t="s">
        <v>899</v>
      </c>
      <c r="Y157" s="255" t="s">
        <v>900</v>
      </c>
      <c r="AA157" s="228"/>
      <c r="AB157" s="228"/>
    </row>
    <row r="158" spans="1:28" ht="105">
      <c r="A158" s="44">
        <f t="shared" si="7"/>
        <v>151</v>
      </c>
      <c r="B158" s="44" t="s">
        <v>30</v>
      </c>
      <c r="C158" s="44">
        <v>2018</v>
      </c>
      <c r="D158" s="45" t="s">
        <v>647</v>
      </c>
      <c r="E158" s="44" t="s">
        <v>28</v>
      </c>
      <c r="F158" s="50" t="s">
        <v>772</v>
      </c>
      <c r="G158" s="45" t="s">
        <v>258</v>
      </c>
      <c r="H158" s="48">
        <f>74644.3+310203.11</f>
        <v>384847.41</v>
      </c>
      <c r="I158" s="48"/>
      <c r="J158" s="267"/>
      <c r="K158" s="48">
        <v>0</v>
      </c>
      <c r="L158" s="48"/>
      <c r="M158" s="48">
        <v>0</v>
      </c>
      <c r="N158" s="48">
        <v>126769.05</v>
      </c>
      <c r="O158" s="48">
        <v>126769.05</v>
      </c>
      <c r="P158" s="48">
        <v>125317.79</v>
      </c>
      <c r="Q158" s="48">
        <v>125317.79</v>
      </c>
      <c r="R158" s="48">
        <f t="shared" si="8"/>
        <v>636934.25</v>
      </c>
      <c r="S158" s="271">
        <v>252100</v>
      </c>
      <c r="T158" s="48">
        <v>252100</v>
      </c>
      <c r="U158" s="164">
        <f t="shared" si="9"/>
        <v>2.5265142800476004</v>
      </c>
      <c r="V158" s="45" t="s">
        <v>312</v>
      </c>
      <c r="W158" s="45" t="s">
        <v>313</v>
      </c>
      <c r="X158" s="45"/>
      <c r="Y158" s="258" t="s">
        <v>578</v>
      </c>
      <c r="AA158" s="228"/>
      <c r="AB158" s="228"/>
    </row>
    <row r="159" spans="1:28" ht="105">
      <c r="A159" s="44">
        <f t="shared" si="7"/>
        <v>152</v>
      </c>
      <c r="B159" s="44" t="s">
        <v>30</v>
      </c>
      <c r="C159" s="44">
        <v>2019</v>
      </c>
      <c r="D159" s="45" t="s">
        <v>743</v>
      </c>
      <c r="E159" s="44" t="s">
        <v>28</v>
      </c>
      <c r="F159" s="50" t="s">
        <v>772</v>
      </c>
      <c r="G159" s="45" t="s">
        <v>258</v>
      </c>
      <c r="H159" s="48">
        <f>-P159</f>
        <v>-74644.3</v>
      </c>
      <c r="I159" s="48"/>
      <c r="J159" s="267"/>
      <c r="K159" s="48">
        <v>0</v>
      </c>
      <c r="L159" s="48"/>
      <c r="M159" s="48">
        <v>0</v>
      </c>
      <c r="N159" s="48"/>
      <c r="O159" s="48">
        <v>0</v>
      </c>
      <c r="P159" s="48">
        <v>74644.3</v>
      </c>
      <c r="Q159" s="48">
        <v>74644.3</v>
      </c>
      <c r="R159" s="48">
        <f t="shared" si="8"/>
        <v>0</v>
      </c>
      <c r="S159" s="271">
        <v>709000</v>
      </c>
      <c r="T159" s="48">
        <v>709000</v>
      </c>
      <c r="U159" s="164">
        <f t="shared" si="9"/>
        <v>0</v>
      </c>
      <c r="V159" s="45" t="s">
        <v>312</v>
      </c>
      <c r="W159" s="45" t="s">
        <v>313</v>
      </c>
      <c r="X159" s="45" t="s">
        <v>901</v>
      </c>
      <c r="Y159" s="45" t="s">
        <v>901</v>
      </c>
      <c r="AA159" s="228"/>
      <c r="AB159" s="228"/>
    </row>
    <row r="160" spans="1:28" ht="195">
      <c r="A160" s="44">
        <f t="shared" si="7"/>
        <v>153</v>
      </c>
      <c r="B160" s="44" t="s">
        <v>30</v>
      </c>
      <c r="C160" s="44">
        <v>2018</v>
      </c>
      <c r="D160" s="45" t="s">
        <v>647</v>
      </c>
      <c r="E160" s="272" t="s">
        <v>8</v>
      </c>
      <c r="F160" s="273" t="s">
        <v>103</v>
      </c>
      <c r="G160" s="221" t="s">
        <v>256</v>
      </c>
      <c r="H160" s="48">
        <f>83333+9842.47+7083+13835.15+23056</f>
        <v>137149.62</v>
      </c>
      <c r="I160" s="48"/>
      <c r="J160" s="48"/>
      <c r="K160" s="48">
        <v>0</v>
      </c>
      <c r="L160" s="48"/>
      <c r="M160" s="48">
        <v>0</v>
      </c>
      <c r="N160" s="48">
        <v>75000</v>
      </c>
      <c r="O160" s="48">
        <v>75000</v>
      </c>
      <c r="P160" s="48"/>
      <c r="Q160" s="48">
        <v>0</v>
      </c>
      <c r="R160" s="48">
        <f t="shared" si="8"/>
        <v>212149.62</v>
      </c>
      <c r="S160" s="49">
        <v>75000</v>
      </c>
      <c r="T160" s="48">
        <v>75000</v>
      </c>
      <c r="U160" s="164">
        <f t="shared" si="9"/>
        <v>2.8286615999999998</v>
      </c>
      <c r="V160" s="45" t="s">
        <v>726</v>
      </c>
      <c r="W160" s="45" t="s">
        <v>726</v>
      </c>
      <c r="X160" s="45" t="s">
        <v>902</v>
      </c>
      <c r="Y160" s="45" t="s">
        <v>903</v>
      </c>
      <c r="AA160" s="228"/>
      <c r="AB160" s="228"/>
    </row>
    <row r="161" spans="1:28" ht="165">
      <c r="A161" s="44">
        <f t="shared" si="7"/>
        <v>154</v>
      </c>
      <c r="B161" s="44" t="s">
        <v>30</v>
      </c>
      <c r="C161" s="44">
        <v>2019</v>
      </c>
      <c r="D161" s="45" t="s">
        <v>743</v>
      </c>
      <c r="E161" s="272" t="s">
        <v>8</v>
      </c>
      <c r="F161" s="273" t="s">
        <v>103</v>
      </c>
      <c r="G161" s="221" t="s">
        <v>256</v>
      </c>
      <c r="H161" s="48">
        <f>-P161</f>
        <v>-100258.47</v>
      </c>
      <c r="I161" s="48"/>
      <c r="J161" s="48"/>
      <c r="K161" s="48">
        <v>0</v>
      </c>
      <c r="L161" s="48"/>
      <c r="M161" s="48">
        <v>0</v>
      </c>
      <c r="N161" s="48"/>
      <c r="O161" s="48">
        <v>0</v>
      </c>
      <c r="P161" s="48">
        <f>7083+83333+9842.47</f>
        <v>100258.47</v>
      </c>
      <c r="Q161" s="48">
        <v>100258.47</v>
      </c>
      <c r="R161" s="48">
        <f t="shared" si="8"/>
        <v>0</v>
      </c>
      <c r="S161" s="49"/>
      <c r="T161" s="48">
        <v>0</v>
      </c>
      <c r="U161" s="164" t="str">
        <f t="shared" si="9"/>
        <v/>
      </c>
      <c r="V161" s="45" t="s">
        <v>726</v>
      </c>
      <c r="W161" s="45" t="s">
        <v>726</v>
      </c>
      <c r="X161" s="45" t="s">
        <v>902</v>
      </c>
      <c r="Y161" s="45" t="s">
        <v>902</v>
      </c>
      <c r="AA161" s="228"/>
      <c r="AB161" s="228"/>
    </row>
    <row r="162" spans="1:28" ht="105">
      <c r="A162" s="44">
        <f t="shared" si="7"/>
        <v>155</v>
      </c>
      <c r="B162" s="44" t="s">
        <v>30</v>
      </c>
      <c r="C162" s="44">
        <v>2018</v>
      </c>
      <c r="D162" s="45" t="s">
        <v>647</v>
      </c>
      <c r="E162" s="274" t="s">
        <v>28</v>
      </c>
      <c r="F162" s="269" t="s">
        <v>107</v>
      </c>
      <c r="G162" s="45"/>
      <c r="H162" s="48"/>
      <c r="I162" s="48"/>
      <c r="J162" s="267"/>
      <c r="K162" s="48">
        <v>0</v>
      </c>
      <c r="L162" s="48"/>
      <c r="M162" s="48">
        <v>0</v>
      </c>
      <c r="N162" s="48"/>
      <c r="O162" s="48">
        <v>650000</v>
      </c>
      <c r="P162" s="48"/>
      <c r="Q162" s="48">
        <v>0</v>
      </c>
      <c r="R162" s="48">
        <f t="shared" si="8"/>
        <v>650000</v>
      </c>
      <c r="S162" s="271"/>
      <c r="T162" s="48">
        <v>650000</v>
      </c>
      <c r="U162" s="164">
        <f t="shared" si="9"/>
        <v>1</v>
      </c>
      <c r="V162" s="45" t="s">
        <v>576</v>
      </c>
      <c r="W162" s="45" t="s">
        <v>577</v>
      </c>
      <c r="X162" s="45" t="s">
        <v>904</v>
      </c>
      <c r="Y162" s="45" t="s">
        <v>904</v>
      </c>
      <c r="AA162" s="228"/>
      <c r="AB162" s="228"/>
    </row>
    <row r="163" spans="1:28" ht="90">
      <c r="A163" s="44">
        <f t="shared" si="7"/>
        <v>156</v>
      </c>
      <c r="B163" s="44" t="s">
        <v>30</v>
      </c>
      <c r="C163" s="44">
        <v>2018</v>
      </c>
      <c r="D163" s="45" t="s">
        <v>647</v>
      </c>
      <c r="E163" s="275" t="s">
        <v>28</v>
      </c>
      <c r="F163" s="50" t="s">
        <v>105</v>
      </c>
      <c r="G163" s="45" t="s">
        <v>258</v>
      </c>
      <c r="H163" s="48">
        <f>25920.04+7049.54+38105.26+190813.71</f>
        <v>261888.55</v>
      </c>
      <c r="I163" s="48"/>
      <c r="J163" s="267"/>
      <c r="K163" s="48">
        <v>0</v>
      </c>
      <c r="L163" s="48"/>
      <c r="M163" s="48">
        <v>0</v>
      </c>
      <c r="N163" s="48"/>
      <c r="O163" s="48">
        <v>42000</v>
      </c>
      <c r="P163" s="48"/>
      <c r="Q163" s="48">
        <v>0</v>
      </c>
      <c r="R163" s="48">
        <f t="shared" si="8"/>
        <v>303888.55</v>
      </c>
      <c r="S163" s="276"/>
      <c r="T163" s="48">
        <v>42000</v>
      </c>
      <c r="U163" s="164">
        <f t="shared" si="9"/>
        <v>7.2354416666666665</v>
      </c>
      <c r="V163" s="45" t="s">
        <v>106</v>
      </c>
      <c r="W163" s="45" t="s">
        <v>311</v>
      </c>
      <c r="X163" s="45" t="s">
        <v>816</v>
      </c>
      <c r="Y163" s="45" t="s">
        <v>696</v>
      </c>
      <c r="AA163" s="228"/>
      <c r="AB163" s="228"/>
    </row>
    <row r="164" spans="1:28" ht="150">
      <c r="A164" s="44">
        <f t="shared" si="7"/>
        <v>157</v>
      </c>
      <c r="B164" s="44" t="s">
        <v>30</v>
      </c>
      <c r="C164" s="44">
        <v>2018</v>
      </c>
      <c r="D164" s="45" t="s">
        <v>647</v>
      </c>
      <c r="E164" s="272" t="s">
        <v>28</v>
      </c>
      <c r="F164" s="277" t="s">
        <v>864</v>
      </c>
      <c r="G164" s="45" t="s">
        <v>255</v>
      </c>
      <c r="H164" s="48">
        <f>148213.88+264955.25+93910.75+286684.12+164235.27+67434.7+81332.37+98664+11273</f>
        <v>1216703.3399999999</v>
      </c>
      <c r="I164" s="48"/>
      <c r="J164" s="267"/>
      <c r="K164" s="48">
        <v>0</v>
      </c>
      <c r="L164" s="48"/>
      <c r="M164" s="48">
        <v>0</v>
      </c>
      <c r="N164" s="48">
        <f>105288.46-67.65</f>
        <v>105220.81000000001</v>
      </c>
      <c r="O164" s="48">
        <v>105220.81000000001</v>
      </c>
      <c r="P164" s="48">
        <f>346.32+48951.94</f>
        <v>49298.26</v>
      </c>
      <c r="Q164" s="48">
        <v>49398.48</v>
      </c>
      <c r="R164" s="48">
        <f t="shared" si="8"/>
        <v>1371322.63</v>
      </c>
      <c r="S164" s="271"/>
      <c r="T164" s="48">
        <v>410000</v>
      </c>
      <c r="U164" s="164">
        <f t="shared" si="9"/>
        <v>3.3446893414634142</v>
      </c>
      <c r="V164" s="45" t="s">
        <v>767</v>
      </c>
      <c r="W164" s="45" t="s">
        <v>768</v>
      </c>
      <c r="X164" s="45" t="s">
        <v>905</v>
      </c>
      <c r="Y164" s="45" t="s">
        <v>905</v>
      </c>
      <c r="AA164" s="228"/>
      <c r="AB164" s="228"/>
    </row>
    <row r="165" spans="1:28" ht="120">
      <c r="A165" s="44">
        <f t="shared" si="7"/>
        <v>158</v>
      </c>
      <c r="B165" s="44" t="s">
        <v>30</v>
      </c>
      <c r="C165" s="44">
        <v>2017</v>
      </c>
      <c r="D165" s="45" t="s">
        <v>362</v>
      </c>
      <c r="E165" s="278" t="s">
        <v>28</v>
      </c>
      <c r="F165" s="279" t="s">
        <v>126</v>
      </c>
      <c r="G165" s="45"/>
      <c r="H165" s="48"/>
      <c r="I165" s="48"/>
      <c r="J165" s="267"/>
      <c r="K165" s="48">
        <v>0</v>
      </c>
      <c r="L165" s="48"/>
      <c r="M165" s="48">
        <v>0</v>
      </c>
      <c r="N165" s="48">
        <v>439239.7</v>
      </c>
      <c r="O165" s="48">
        <v>439239.7</v>
      </c>
      <c r="P165" s="48"/>
      <c r="Q165" s="48">
        <v>0</v>
      </c>
      <c r="R165" s="48">
        <f t="shared" si="8"/>
        <v>439239.7</v>
      </c>
      <c r="S165" s="276">
        <v>439300</v>
      </c>
      <c r="T165" s="48">
        <v>439300</v>
      </c>
      <c r="U165" s="164">
        <f t="shared" si="9"/>
        <v>0.99986273617118149</v>
      </c>
      <c r="V165" s="45" t="s">
        <v>314</v>
      </c>
      <c r="W165" s="45" t="s">
        <v>127</v>
      </c>
      <c r="X165" s="255" t="s">
        <v>817</v>
      </c>
      <c r="Y165" s="280" t="s">
        <v>578</v>
      </c>
      <c r="AA165" s="228"/>
      <c r="AB165" s="228"/>
    </row>
    <row r="166" spans="1:28" ht="165">
      <c r="A166" s="44">
        <f t="shared" si="7"/>
        <v>159</v>
      </c>
      <c r="B166" s="44" t="s">
        <v>30</v>
      </c>
      <c r="C166" s="44">
        <v>2018</v>
      </c>
      <c r="D166" s="45" t="s">
        <v>647</v>
      </c>
      <c r="E166" s="278" t="s">
        <v>28</v>
      </c>
      <c r="F166" s="279" t="s">
        <v>126</v>
      </c>
      <c r="G166" s="45"/>
      <c r="H166" s="48">
        <v>41964.44</v>
      </c>
      <c r="I166" s="48"/>
      <c r="J166" s="267"/>
      <c r="K166" s="48">
        <v>0</v>
      </c>
      <c r="L166" s="48"/>
      <c r="M166" s="48">
        <v>0</v>
      </c>
      <c r="N166" s="48"/>
      <c r="O166" s="48">
        <v>0</v>
      </c>
      <c r="P166" s="48"/>
      <c r="Q166" s="48">
        <v>458035.56</v>
      </c>
      <c r="R166" s="48">
        <f t="shared" si="8"/>
        <v>500000</v>
      </c>
      <c r="S166" s="276"/>
      <c r="T166" s="48">
        <v>500000</v>
      </c>
      <c r="U166" s="164">
        <f t="shared" si="9"/>
        <v>1</v>
      </c>
      <c r="V166" s="45" t="s">
        <v>314</v>
      </c>
      <c r="W166" s="45" t="s">
        <v>127</v>
      </c>
      <c r="X166" s="255" t="s">
        <v>906</v>
      </c>
      <c r="Y166" s="255" t="s">
        <v>906</v>
      </c>
      <c r="AA166" s="228"/>
      <c r="AB166" s="228"/>
    </row>
    <row r="167" spans="1:28" ht="30">
      <c r="A167" s="44">
        <f t="shared" si="7"/>
        <v>160</v>
      </c>
      <c r="B167" s="44" t="s">
        <v>30</v>
      </c>
      <c r="C167" s="44">
        <v>2018</v>
      </c>
      <c r="D167" s="45" t="s">
        <v>647</v>
      </c>
      <c r="E167" s="278" t="s">
        <v>8</v>
      </c>
      <c r="F167" s="279" t="s">
        <v>648</v>
      </c>
      <c r="G167" s="45"/>
      <c r="H167" s="48"/>
      <c r="I167" s="48"/>
      <c r="J167" s="267"/>
      <c r="K167" s="48">
        <v>0</v>
      </c>
      <c r="L167" s="48"/>
      <c r="M167" s="48">
        <v>0</v>
      </c>
      <c r="N167" s="48"/>
      <c r="O167" s="48">
        <v>0</v>
      </c>
      <c r="P167" s="48"/>
      <c r="Q167" s="48">
        <v>0</v>
      </c>
      <c r="R167" s="48">
        <f t="shared" si="8"/>
        <v>0</v>
      </c>
      <c r="S167" s="276"/>
      <c r="T167" s="48">
        <v>0</v>
      </c>
      <c r="U167" s="164" t="str">
        <f t="shared" si="9"/>
        <v/>
      </c>
      <c r="V167" s="45"/>
      <c r="W167" s="45"/>
      <c r="X167" s="45"/>
      <c r="Y167" s="45"/>
      <c r="AA167" s="228"/>
      <c r="AB167" s="228"/>
    </row>
    <row r="168" spans="1:28" ht="210">
      <c r="A168" s="44">
        <f t="shared" si="7"/>
        <v>161</v>
      </c>
      <c r="B168" s="44" t="s">
        <v>30</v>
      </c>
      <c r="C168" s="44">
        <v>2018</v>
      </c>
      <c r="D168" s="45" t="s">
        <v>647</v>
      </c>
      <c r="E168" s="278" t="s">
        <v>25</v>
      </c>
      <c r="F168" s="279" t="s">
        <v>473</v>
      </c>
      <c r="G168" s="45" t="s">
        <v>705</v>
      </c>
      <c r="H168" s="48">
        <v>84618.49</v>
      </c>
      <c r="I168" s="48"/>
      <c r="J168" s="267"/>
      <c r="K168" s="48">
        <v>0</v>
      </c>
      <c r="L168" s="48"/>
      <c r="M168" s="48">
        <v>0</v>
      </c>
      <c r="N168" s="48"/>
      <c r="O168" s="48">
        <v>0</v>
      </c>
      <c r="P168" s="48"/>
      <c r="Q168" s="48">
        <v>0</v>
      </c>
      <c r="R168" s="48">
        <f t="shared" si="8"/>
        <v>84618.49</v>
      </c>
      <c r="S168" s="276"/>
      <c r="T168" s="48">
        <v>0</v>
      </c>
      <c r="U168" s="164" t="str">
        <f t="shared" si="9"/>
        <v/>
      </c>
      <c r="V168" s="45" t="s">
        <v>474</v>
      </c>
      <c r="W168" s="45" t="s">
        <v>475</v>
      </c>
      <c r="X168" s="45" t="s">
        <v>907</v>
      </c>
      <c r="Y168" s="45" t="s">
        <v>907</v>
      </c>
      <c r="AA168" s="228"/>
      <c r="AB168" s="228"/>
    </row>
    <row r="169" spans="1:28" ht="195">
      <c r="A169" s="44">
        <f t="shared" si="7"/>
        <v>162</v>
      </c>
      <c r="B169" s="44" t="s">
        <v>30</v>
      </c>
      <c r="C169" s="44">
        <v>2018</v>
      </c>
      <c r="D169" s="45" t="s">
        <v>647</v>
      </c>
      <c r="E169" s="268" t="s">
        <v>28</v>
      </c>
      <c r="F169" s="50" t="s">
        <v>761</v>
      </c>
      <c r="G169" s="45" t="s">
        <v>255</v>
      </c>
      <c r="H169" s="48">
        <v>-33692.199999999997</v>
      </c>
      <c r="I169" s="48"/>
      <c r="J169" s="267"/>
      <c r="K169" s="48">
        <v>0</v>
      </c>
      <c r="L169" s="48"/>
      <c r="M169" s="48">
        <v>0</v>
      </c>
      <c r="N169" s="48">
        <v>349181.43</v>
      </c>
      <c r="O169" s="48">
        <v>349181.43</v>
      </c>
      <c r="P169" s="48"/>
      <c r="Q169" s="48">
        <v>0</v>
      </c>
      <c r="R169" s="48">
        <f t="shared" si="8"/>
        <v>315489.23</v>
      </c>
      <c r="S169" s="271">
        <f>349200-33700</f>
        <v>315500</v>
      </c>
      <c r="T169" s="48">
        <v>315500</v>
      </c>
      <c r="U169" s="164">
        <f t="shared" si="9"/>
        <v>0.99996586370839935</v>
      </c>
      <c r="V169" s="252" t="s">
        <v>762</v>
      </c>
      <c r="W169" s="252" t="s">
        <v>763</v>
      </c>
      <c r="X169" s="45" t="s">
        <v>818</v>
      </c>
      <c r="Y169" s="45" t="s">
        <v>908</v>
      </c>
      <c r="AA169" s="228"/>
      <c r="AB169" s="228"/>
    </row>
    <row r="170" spans="1:28" ht="30">
      <c r="A170" s="44">
        <f t="shared" si="7"/>
        <v>163</v>
      </c>
      <c r="B170" s="44" t="s">
        <v>30</v>
      </c>
      <c r="C170" s="44">
        <v>2018</v>
      </c>
      <c r="D170" s="45" t="s">
        <v>647</v>
      </c>
      <c r="E170" s="274" t="s">
        <v>8</v>
      </c>
      <c r="F170" s="281" t="s">
        <v>741</v>
      </c>
      <c r="G170" s="45"/>
      <c r="H170" s="48"/>
      <c r="I170" s="48"/>
      <c r="J170" s="267"/>
      <c r="K170" s="48">
        <v>0</v>
      </c>
      <c r="L170" s="48"/>
      <c r="M170" s="48">
        <v>0</v>
      </c>
      <c r="N170" s="48"/>
      <c r="O170" s="48">
        <v>0</v>
      </c>
      <c r="P170" s="48"/>
      <c r="Q170" s="48">
        <v>0</v>
      </c>
      <c r="R170" s="48">
        <f t="shared" si="8"/>
        <v>0</v>
      </c>
      <c r="S170" s="271"/>
      <c r="T170" s="48">
        <v>2787200</v>
      </c>
      <c r="U170" s="164">
        <f t="shared" si="9"/>
        <v>0</v>
      </c>
      <c r="V170" s="45"/>
      <c r="W170" s="45"/>
      <c r="X170" s="45"/>
      <c r="Y170" s="45"/>
      <c r="AA170" s="228"/>
      <c r="AB170" s="228"/>
    </row>
    <row r="171" spans="1:28" ht="60">
      <c r="A171" s="44">
        <f t="shared" si="7"/>
        <v>164</v>
      </c>
      <c r="B171" s="44" t="s">
        <v>30</v>
      </c>
      <c r="C171" s="44">
        <v>2018</v>
      </c>
      <c r="D171" s="45" t="s">
        <v>647</v>
      </c>
      <c r="E171" s="274" t="s">
        <v>8</v>
      </c>
      <c r="F171" s="250" t="s">
        <v>368</v>
      </c>
      <c r="G171" s="45"/>
      <c r="H171" s="48"/>
      <c r="I171" s="48"/>
      <c r="J171" s="48"/>
      <c r="K171" s="48">
        <v>0</v>
      </c>
      <c r="L171" s="48"/>
      <c r="M171" s="48">
        <v>0</v>
      </c>
      <c r="N171" s="48"/>
      <c r="O171" s="48">
        <v>206031.29</v>
      </c>
      <c r="P171" s="48"/>
      <c r="Q171" s="48">
        <v>0</v>
      </c>
      <c r="R171" s="48">
        <f t="shared" si="8"/>
        <v>206031.29</v>
      </c>
      <c r="S171" s="49"/>
      <c r="T171" s="48">
        <v>2600000</v>
      </c>
      <c r="U171" s="164">
        <f t="shared" si="9"/>
        <v>7.9242803846153856E-2</v>
      </c>
      <c r="V171" s="45" t="s">
        <v>779</v>
      </c>
      <c r="W171" s="45" t="s">
        <v>530</v>
      </c>
      <c r="X171" s="45"/>
      <c r="Y171" s="45"/>
      <c r="AA171" s="228"/>
      <c r="AB171" s="228"/>
    </row>
    <row r="172" spans="1:28" ht="105">
      <c r="A172" s="44">
        <f t="shared" si="7"/>
        <v>165</v>
      </c>
      <c r="B172" s="44" t="s">
        <v>30</v>
      </c>
      <c r="C172" s="44">
        <v>2018</v>
      </c>
      <c r="D172" s="45" t="s">
        <v>647</v>
      </c>
      <c r="E172" s="274" t="s">
        <v>7</v>
      </c>
      <c r="F172" s="281" t="s">
        <v>780</v>
      </c>
      <c r="G172" s="45"/>
      <c r="H172" s="48">
        <v>99987.32</v>
      </c>
      <c r="I172" s="48"/>
      <c r="J172" s="267"/>
      <c r="K172" s="48">
        <v>0</v>
      </c>
      <c r="L172" s="48"/>
      <c r="M172" s="48">
        <v>0</v>
      </c>
      <c r="N172" s="48"/>
      <c r="O172" s="48">
        <v>159.80000000000001</v>
      </c>
      <c r="P172" s="48"/>
      <c r="Q172" s="48">
        <v>0</v>
      </c>
      <c r="R172" s="48">
        <f t="shared" si="8"/>
        <v>100147.12000000001</v>
      </c>
      <c r="S172" s="271"/>
      <c r="T172" s="48">
        <v>900000</v>
      </c>
      <c r="U172" s="164">
        <f t="shared" si="9"/>
        <v>0.11127457777777779</v>
      </c>
      <c r="V172" s="45"/>
      <c r="W172" s="45"/>
      <c r="X172" s="45" t="s">
        <v>898</v>
      </c>
      <c r="Y172" s="45" t="s">
        <v>898</v>
      </c>
      <c r="AA172" s="228"/>
      <c r="AB172" s="228"/>
    </row>
    <row r="173" spans="1:28" ht="60">
      <c r="A173" s="44">
        <f t="shared" si="7"/>
        <v>166</v>
      </c>
      <c r="B173" s="44" t="s">
        <v>30</v>
      </c>
      <c r="C173" s="44">
        <v>2018</v>
      </c>
      <c r="D173" s="45" t="s">
        <v>647</v>
      </c>
      <c r="E173" s="274" t="s">
        <v>7</v>
      </c>
      <c r="F173" s="281" t="s">
        <v>118</v>
      </c>
      <c r="G173" s="45" t="s">
        <v>727</v>
      </c>
      <c r="H173" s="48">
        <v>12487.68</v>
      </c>
      <c r="I173" s="48"/>
      <c r="J173" s="267"/>
      <c r="K173" s="48">
        <v>0</v>
      </c>
      <c r="L173" s="48"/>
      <c r="M173" s="48">
        <v>0</v>
      </c>
      <c r="N173" s="48"/>
      <c r="O173" s="48">
        <v>0</v>
      </c>
      <c r="P173" s="48"/>
      <c r="Q173" s="48">
        <v>0</v>
      </c>
      <c r="R173" s="48">
        <f t="shared" si="8"/>
        <v>12487.68</v>
      </c>
      <c r="S173" s="271">
        <f>45300+33700</f>
        <v>79000</v>
      </c>
      <c r="T173" s="48">
        <v>79000</v>
      </c>
      <c r="U173" s="164">
        <f t="shared" si="9"/>
        <v>0.15807189873417721</v>
      </c>
      <c r="V173" s="45" t="s">
        <v>728</v>
      </c>
      <c r="W173" s="45"/>
      <c r="X173" s="45" t="s">
        <v>819</v>
      </c>
      <c r="Y173" s="265" t="s">
        <v>820</v>
      </c>
      <c r="AA173" s="228"/>
      <c r="AB173" s="228"/>
    </row>
    <row r="174" spans="1:28" ht="180">
      <c r="A174" s="44">
        <f t="shared" si="7"/>
        <v>167</v>
      </c>
      <c r="B174" s="44" t="s">
        <v>30</v>
      </c>
      <c r="C174" s="44">
        <v>2018</v>
      </c>
      <c r="D174" s="45" t="s">
        <v>647</v>
      </c>
      <c r="E174" s="282" t="s">
        <v>8</v>
      </c>
      <c r="F174" s="273" t="s">
        <v>345</v>
      </c>
      <c r="G174" s="45"/>
      <c r="H174" s="48"/>
      <c r="I174" s="48"/>
      <c r="J174" s="267"/>
      <c r="K174" s="48">
        <v>0</v>
      </c>
      <c r="L174" s="48"/>
      <c r="M174" s="48">
        <v>0</v>
      </c>
      <c r="N174" s="48"/>
      <c r="O174" s="48">
        <v>0</v>
      </c>
      <c r="P174" s="48"/>
      <c r="Q174" s="48">
        <v>0</v>
      </c>
      <c r="R174" s="48">
        <f t="shared" si="8"/>
        <v>0</v>
      </c>
      <c r="S174" s="283">
        <v>0</v>
      </c>
      <c r="T174" s="48">
        <v>0</v>
      </c>
      <c r="U174" s="164" t="str">
        <f t="shared" si="9"/>
        <v/>
      </c>
      <c r="V174" s="45" t="s">
        <v>347</v>
      </c>
      <c r="W174" s="45" t="s">
        <v>348</v>
      </c>
      <c r="X174" s="45" t="s">
        <v>909</v>
      </c>
      <c r="Y174" s="45" t="s">
        <v>910</v>
      </c>
      <c r="AA174" s="228"/>
      <c r="AB174" s="228"/>
    </row>
    <row r="175" spans="1:28" ht="180">
      <c r="A175" s="44">
        <f t="shared" si="7"/>
        <v>168</v>
      </c>
      <c r="B175" s="44" t="s">
        <v>30</v>
      </c>
      <c r="C175" s="44">
        <v>2018</v>
      </c>
      <c r="D175" s="45" t="s">
        <v>647</v>
      </c>
      <c r="E175" s="45" t="s">
        <v>28</v>
      </c>
      <c r="F175" s="50" t="s">
        <v>619</v>
      </c>
      <c r="G175" s="45" t="s">
        <v>620</v>
      </c>
      <c r="H175" s="48">
        <f>109488.84+90511.16</f>
        <v>200000</v>
      </c>
      <c r="I175" s="48"/>
      <c r="J175" s="48"/>
      <c r="K175" s="48">
        <v>0</v>
      </c>
      <c r="L175" s="48"/>
      <c r="M175" s="48">
        <v>0</v>
      </c>
      <c r="N175" s="48"/>
      <c r="O175" s="48">
        <v>0</v>
      </c>
      <c r="P175" s="48"/>
      <c r="Q175" s="48">
        <v>0</v>
      </c>
      <c r="R175" s="48">
        <f t="shared" si="8"/>
        <v>200000</v>
      </c>
      <c r="S175" s="49"/>
      <c r="T175" s="48">
        <v>200000</v>
      </c>
      <c r="U175" s="164">
        <f t="shared" si="9"/>
        <v>1</v>
      </c>
      <c r="V175" s="45" t="s">
        <v>624</v>
      </c>
      <c r="W175" s="45" t="s">
        <v>629</v>
      </c>
      <c r="X175" s="220" t="s">
        <v>911</v>
      </c>
      <c r="Y175" s="45" t="s">
        <v>912</v>
      </c>
      <c r="AA175" s="228"/>
      <c r="AB175" s="228"/>
    </row>
    <row r="176" spans="1:28" ht="180">
      <c r="A176" s="44">
        <f t="shared" si="7"/>
        <v>169</v>
      </c>
      <c r="B176" s="44" t="s">
        <v>30</v>
      </c>
      <c r="C176" s="44">
        <v>2019</v>
      </c>
      <c r="D176" s="45" t="s">
        <v>743</v>
      </c>
      <c r="E176" s="45" t="s">
        <v>28</v>
      </c>
      <c r="F176" s="50" t="s">
        <v>619</v>
      </c>
      <c r="G176" s="45" t="s">
        <v>620</v>
      </c>
      <c r="H176" s="48">
        <f>-P176</f>
        <v>-109488.84</v>
      </c>
      <c r="I176" s="48"/>
      <c r="J176" s="48"/>
      <c r="K176" s="48">
        <v>0</v>
      </c>
      <c r="L176" s="48"/>
      <c r="M176" s="48">
        <v>0</v>
      </c>
      <c r="N176" s="48"/>
      <c r="O176" s="48">
        <v>0</v>
      </c>
      <c r="P176" s="48">
        <v>109488.84</v>
      </c>
      <c r="Q176" s="48">
        <v>109488.84</v>
      </c>
      <c r="R176" s="48">
        <f t="shared" si="8"/>
        <v>0</v>
      </c>
      <c r="S176" s="49"/>
      <c r="T176" s="48">
        <v>0</v>
      </c>
      <c r="U176" s="164" t="str">
        <f t="shared" si="9"/>
        <v/>
      </c>
      <c r="V176" s="45" t="s">
        <v>624</v>
      </c>
      <c r="W176" s="45" t="s">
        <v>629</v>
      </c>
      <c r="X176" s="45"/>
      <c r="Y176" s="45" t="s">
        <v>865</v>
      </c>
      <c r="AA176" s="228"/>
      <c r="AB176" s="228"/>
    </row>
    <row r="177" spans="1:28" ht="240">
      <c r="A177" s="44">
        <f t="shared" si="7"/>
        <v>170</v>
      </c>
      <c r="B177" s="44" t="s">
        <v>30</v>
      </c>
      <c r="C177" s="44">
        <v>2018</v>
      </c>
      <c r="D177" s="45" t="s">
        <v>647</v>
      </c>
      <c r="E177" s="44" t="s">
        <v>28</v>
      </c>
      <c r="F177" s="50" t="s">
        <v>465</v>
      </c>
      <c r="G177" s="45" t="s">
        <v>466</v>
      </c>
      <c r="H177" s="48">
        <f>17868.07+26531.93</f>
        <v>44400</v>
      </c>
      <c r="I177" s="48"/>
      <c r="J177" s="48">
        <v>0</v>
      </c>
      <c r="K177" s="48">
        <v>0</v>
      </c>
      <c r="L177" s="48"/>
      <c r="M177" s="48">
        <v>0</v>
      </c>
      <c r="N177" s="48"/>
      <c r="O177" s="48">
        <v>0</v>
      </c>
      <c r="P177" s="48"/>
      <c r="Q177" s="48">
        <v>0</v>
      </c>
      <c r="R177" s="48">
        <f t="shared" si="8"/>
        <v>44400</v>
      </c>
      <c r="S177" s="218"/>
      <c r="T177" s="48">
        <v>44400</v>
      </c>
      <c r="U177" s="164">
        <f t="shared" si="9"/>
        <v>1</v>
      </c>
      <c r="V177" s="45" t="s">
        <v>467</v>
      </c>
      <c r="W177" s="45" t="s">
        <v>468</v>
      </c>
      <c r="X177" s="45"/>
      <c r="Y177" s="258" t="s">
        <v>578</v>
      </c>
      <c r="AA177" s="228"/>
      <c r="AB177" s="228"/>
    </row>
    <row r="178" spans="1:28" ht="30">
      <c r="A178" s="44">
        <f t="shared" si="7"/>
        <v>171</v>
      </c>
      <c r="B178" s="44" t="s">
        <v>30</v>
      </c>
      <c r="C178" s="44" t="s">
        <v>427</v>
      </c>
      <c r="D178" s="45" t="s">
        <v>19</v>
      </c>
      <c r="E178" s="44" t="s">
        <v>28</v>
      </c>
      <c r="F178" s="50" t="s">
        <v>499</v>
      </c>
      <c r="G178" s="45" t="s">
        <v>500</v>
      </c>
      <c r="H178" s="48"/>
      <c r="I178" s="48"/>
      <c r="J178" s="48">
        <v>29580.57</v>
      </c>
      <c r="K178" s="48">
        <v>29580.57</v>
      </c>
      <c r="L178" s="48"/>
      <c r="M178" s="48">
        <v>0</v>
      </c>
      <c r="N178" s="48"/>
      <c r="O178" s="48">
        <v>0</v>
      </c>
      <c r="P178" s="48"/>
      <c r="Q178" s="48">
        <v>0</v>
      </c>
      <c r="R178" s="48">
        <f t="shared" si="8"/>
        <v>29580.57</v>
      </c>
      <c r="S178" s="49"/>
      <c r="T178" s="48">
        <v>0</v>
      </c>
      <c r="U178" s="164" t="str">
        <f t="shared" si="9"/>
        <v/>
      </c>
      <c r="V178" s="45"/>
      <c r="W178" s="45"/>
      <c r="X178" s="45"/>
      <c r="Y178" s="45"/>
      <c r="AA178" s="228"/>
      <c r="AB178" s="228"/>
    </row>
    <row r="179" spans="1:28" ht="30">
      <c r="A179" s="44">
        <f t="shared" si="7"/>
        <v>172</v>
      </c>
      <c r="B179" s="284" t="s">
        <v>30</v>
      </c>
      <c r="C179" s="284" t="s">
        <v>427</v>
      </c>
      <c r="D179" s="252" t="s">
        <v>19</v>
      </c>
      <c r="E179" s="284" t="s">
        <v>28</v>
      </c>
      <c r="F179" s="285" t="s">
        <v>821</v>
      </c>
      <c r="G179" s="252" t="s">
        <v>255</v>
      </c>
      <c r="H179" s="286"/>
      <c r="I179" s="286">
        <v>2784299</v>
      </c>
      <c r="J179" s="286"/>
      <c r="K179" s="48">
        <v>0</v>
      </c>
      <c r="L179" s="286"/>
      <c r="M179" s="48">
        <v>5252328.2300000004</v>
      </c>
      <c r="N179" s="48">
        <f>110427.31-90016.69-20411</f>
        <v>-0.38000000000465661</v>
      </c>
      <c r="O179" s="48">
        <v>6577800.1299999999</v>
      </c>
      <c r="P179" s="48">
        <v>83917.35</v>
      </c>
      <c r="Q179" s="48">
        <v>5619486.2599999998</v>
      </c>
      <c r="R179" s="48">
        <f t="shared" si="8"/>
        <v>20233913.619999997</v>
      </c>
      <c r="S179" s="287"/>
      <c r="T179" s="48">
        <v>0</v>
      </c>
      <c r="U179" s="164" t="str">
        <f t="shared" si="9"/>
        <v/>
      </c>
      <c r="V179" s="45"/>
      <c r="W179" s="45"/>
      <c r="X179" s="45"/>
      <c r="Y179" s="45"/>
      <c r="AA179" s="228"/>
      <c r="AB179" s="228"/>
    </row>
    <row r="180" spans="1:28" ht="30">
      <c r="A180" s="44">
        <f t="shared" si="7"/>
        <v>173</v>
      </c>
      <c r="B180" s="44" t="s">
        <v>30</v>
      </c>
      <c r="C180" s="44">
        <v>2017</v>
      </c>
      <c r="D180" s="45" t="s">
        <v>19</v>
      </c>
      <c r="E180" s="44" t="s">
        <v>7</v>
      </c>
      <c r="F180" s="50" t="s">
        <v>118</v>
      </c>
      <c r="G180" s="45"/>
      <c r="H180" s="48"/>
      <c r="I180" s="48"/>
      <c r="J180" s="48"/>
      <c r="K180" s="48">
        <v>0</v>
      </c>
      <c r="L180" s="48">
        <v>0</v>
      </c>
      <c r="M180" s="48">
        <v>179700</v>
      </c>
      <c r="N180" s="48"/>
      <c r="O180" s="48">
        <v>0</v>
      </c>
      <c r="P180" s="48"/>
      <c r="Q180" s="48">
        <v>0</v>
      </c>
      <c r="R180" s="48">
        <f t="shared" si="8"/>
        <v>179700</v>
      </c>
      <c r="S180" s="49"/>
      <c r="T180" s="48">
        <v>0</v>
      </c>
      <c r="U180" s="164" t="str">
        <f t="shared" si="9"/>
        <v/>
      </c>
      <c r="V180" s="45"/>
      <c r="W180" s="45"/>
      <c r="X180" s="45"/>
      <c r="Y180" s="45"/>
      <c r="AA180" s="228"/>
      <c r="AB180" s="228"/>
    </row>
    <row r="181" spans="1:28" ht="45">
      <c r="A181" s="44">
        <f t="shared" si="7"/>
        <v>174</v>
      </c>
      <c r="B181" s="44" t="s">
        <v>30</v>
      </c>
      <c r="C181" s="44">
        <v>2017</v>
      </c>
      <c r="D181" s="45" t="s">
        <v>19</v>
      </c>
      <c r="E181" s="44" t="s">
        <v>25</v>
      </c>
      <c r="F181" s="50" t="s">
        <v>593</v>
      </c>
      <c r="G181" s="45" t="s">
        <v>263</v>
      </c>
      <c r="H181" s="48"/>
      <c r="I181" s="48"/>
      <c r="J181" s="267"/>
      <c r="K181" s="48">
        <v>0</v>
      </c>
      <c r="L181" s="48"/>
      <c r="M181" s="48">
        <v>0</v>
      </c>
      <c r="N181" s="48"/>
      <c r="O181" s="48">
        <v>0</v>
      </c>
      <c r="P181" s="48"/>
      <c r="Q181" s="48">
        <v>0</v>
      </c>
      <c r="R181" s="48">
        <f t="shared" si="8"/>
        <v>0</v>
      </c>
      <c r="S181" s="49"/>
      <c r="T181" s="48">
        <v>0</v>
      </c>
      <c r="U181" s="164" t="str">
        <f t="shared" si="9"/>
        <v/>
      </c>
      <c r="V181" s="45"/>
      <c r="W181" s="45"/>
      <c r="X181" s="45"/>
      <c r="Y181" s="45"/>
      <c r="AA181" s="228"/>
      <c r="AB181" s="228"/>
    </row>
    <row r="182" spans="1:28" ht="210">
      <c r="A182" s="44">
        <f t="shared" si="7"/>
        <v>175</v>
      </c>
      <c r="B182" s="44" t="s">
        <v>30</v>
      </c>
      <c r="C182" s="44" t="s">
        <v>427</v>
      </c>
      <c r="D182" s="45" t="s">
        <v>19</v>
      </c>
      <c r="E182" s="44" t="s">
        <v>28</v>
      </c>
      <c r="F182" s="50" t="s">
        <v>349</v>
      </c>
      <c r="G182" s="45" t="s">
        <v>255</v>
      </c>
      <c r="H182" s="48"/>
      <c r="I182" s="48"/>
      <c r="J182" s="48">
        <v>31511</v>
      </c>
      <c r="K182" s="48">
        <v>31511</v>
      </c>
      <c r="L182" s="48">
        <v>274706</v>
      </c>
      <c r="M182" s="48">
        <v>274706</v>
      </c>
      <c r="N182" s="48">
        <v>289090</v>
      </c>
      <c r="O182" s="48">
        <v>289090</v>
      </c>
      <c r="P182" s="48"/>
      <c r="Q182" s="48">
        <v>0</v>
      </c>
      <c r="R182" s="48">
        <f t="shared" si="8"/>
        <v>595307</v>
      </c>
      <c r="S182" s="49">
        <v>4470600</v>
      </c>
      <c r="T182" s="48">
        <v>4470600</v>
      </c>
      <c r="U182" s="164">
        <f t="shared" si="9"/>
        <v>0.13316042589361607</v>
      </c>
      <c r="V182" s="45" t="s">
        <v>350</v>
      </c>
      <c r="W182" s="45" t="s">
        <v>355</v>
      </c>
      <c r="X182" s="45"/>
      <c r="Y182" s="45" t="s">
        <v>537</v>
      </c>
      <c r="AA182" s="228"/>
      <c r="AB182" s="228"/>
    </row>
    <row r="183" spans="1:28" ht="30">
      <c r="A183" s="44">
        <f t="shared" si="7"/>
        <v>176</v>
      </c>
      <c r="B183" s="44" t="s">
        <v>30</v>
      </c>
      <c r="C183" s="44" t="s">
        <v>427</v>
      </c>
      <c r="D183" s="45" t="s">
        <v>19</v>
      </c>
      <c r="E183" s="44" t="s">
        <v>28</v>
      </c>
      <c r="F183" s="50" t="s">
        <v>496</v>
      </c>
      <c r="G183" s="45"/>
      <c r="H183" s="48"/>
      <c r="I183" s="48"/>
      <c r="J183" s="48">
        <v>471745.07</v>
      </c>
      <c r="K183" s="48">
        <v>1886980.24</v>
      </c>
      <c r="L183" s="48"/>
      <c r="M183" s="48">
        <v>0</v>
      </c>
      <c r="N183" s="48"/>
      <c r="O183" s="48">
        <v>0</v>
      </c>
      <c r="P183" s="48"/>
      <c r="Q183" s="48">
        <v>0</v>
      </c>
      <c r="R183" s="48">
        <f t="shared" si="8"/>
        <v>1886980.24</v>
      </c>
      <c r="S183" s="49"/>
      <c r="T183" s="48">
        <v>0</v>
      </c>
      <c r="U183" s="164" t="str">
        <f t="shared" si="9"/>
        <v/>
      </c>
      <c r="V183" s="45"/>
      <c r="W183" s="45"/>
      <c r="X183" s="45"/>
      <c r="Y183" s="45"/>
      <c r="AA183" s="228"/>
      <c r="AB183" s="228"/>
    </row>
    <row r="184" spans="1:28" ht="30">
      <c r="A184" s="44">
        <f t="shared" si="7"/>
        <v>177</v>
      </c>
      <c r="B184" s="44" t="s">
        <v>30</v>
      </c>
      <c r="C184" s="44" t="s">
        <v>427</v>
      </c>
      <c r="D184" s="45" t="s">
        <v>19</v>
      </c>
      <c r="E184" s="44" t="s">
        <v>25</v>
      </c>
      <c r="F184" s="50" t="s">
        <v>497</v>
      </c>
      <c r="G184" s="45" t="s">
        <v>498</v>
      </c>
      <c r="H184" s="48"/>
      <c r="I184" s="48"/>
      <c r="J184" s="48"/>
      <c r="K184" s="48">
        <v>85000</v>
      </c>
      <c r="L184" s="48"/>
      <c r="M184" s="48">
        <v>252283.42</v>
      </c>
      <c r="N184" s="48"/>
      <c r="O184" s="48">
        <v>0</v>
      </c>
      <c r="P184" s="48"/>
      <c r="Q184" s="48">
        <v>0</v>
      </c>
      <c r="R184" s="48">
        <f t="shared" si="8"/>
        <v>337283.42000000004</v>
      </c>
      <c r="S184" s="49"/>
      <c r="T184" s="48">
        <v>0</v>
      </c>
      <c r="U184" s="164" t="str">
        <f t="shared" si="9"/>
        <v/>
      </c>
      <c r="V184" s="45"/>
      <c r="W184" s="45"/>
      <c r="X184" s="45"/>
      <c r="Y184" s="45"/>
      <c r="AA184" s="228"/>
      <c r="AB184" s="228"/>
    </row>
    <row r="185" spans="1:28" ht="30">
      <c r="A185" s="44">
        <f t="shared" si="7"/>
        <v>178</v>
      </c>
      <c r="B185" s="44" t="s">
        <v>30</v>
      </c>
      <c r="C185" s="44" t="s">
        <v>427</v>
      </c>
      <c r="D185" s="45" t="s">
        <v>19</v>
      </c>
      <c r="E185" s="44" t="s">
        <v>7</v>
      </c>
      <c r="F185" s="50" t="s">
        <v>351</v>
      </c>
      <c r="G185" s="45"/>
      <c r="H185" s="48"/>
      <c r="I185" s="48"/>
      <c r="J185" s="48">
        <v>796498.38</v>
      </c>
      <c r="K185" s="48">
        <v>796498.38</v>
      </c>
      <c r="L185" s="48"/>
      <c r="M185" s="48">
        <v>0</v>
      </c>
      <c r="N185" s="48"/>
      <c r="O185" s="48">
        <v>0</v>
      </c>
      <c r="P185" s="48"/>
      <c r="Q185" s="48">
        <v>0</v>
      </c>
      <c r="R185" s="48">
        <f t="shared" si="8"/>
        <v>796498.38</v>
      </c>
      <c r="S185" s="49"/>
      <c r="T185" s="48">
        <v>0</v>
      </c>
      <c r="U185" s="164" t="str">
        <f t="shared" si="9"/>
        <v/>
      </c>
      <c r="V185" s="45"/>
      <c r="W185" s="45"/>
      <c r="X185" s="45"/>
      <c r="Y185" s="45"/>
      <c r="AA185" s="228"/>
      <c r="AB185" s="228"/>
    </row>
    <row r="186" spans="1:28" s="101" customFormat="1" ht="90">
      <c r="A186" s="44">
        <f t="shared" si="7"/>
        <v>179</v>
      </c>
      <c r="B186" s="44" t="s">
        <v>30</v>
      </c>
      <c r="C186" s="44" t="s">
        <v>427</v>
      </c>
      <c r="D186" s="45" t="s">
        <v>19</v>
      </c>
      <c r="E186" s="44" t="s">
        <v>25</v>
      </c>
      <c r="F186" s="50" t="s">
        <v>454</v>
      </c>
      <c r="G186" s="45" t="s">
        <v>455</v>
      </c>
      <c r="H186" s="48"/>
      <c r="I186" s="48"/>
      <c r="J186" s="48">
        <v>321000</v>
      </c>
      <c r="K186" s="48">
        <v>321000</v>
      </c>
      <c r="L186" s="48"/>
      <c r="M186" s="48">
        <v>0</v>
      </c>
      <c r="N186" s="48"/>
      <c r="O186" s="48">
        <v>0</v>
      </c>
      <c r="P186" s="48"/>
      <c r="Q186" s="48">
        <v>0</v>
      </c>
      <c r="R186" s="48">
        <f t="shared" si="8"/>
        <v>321000</v>
      </c>
      <c r="S186" s="49"/>
      <c r="T186" s="48">
        <v>0</v>
      </c>
      <c r="U186" s="164" t="str">
        <f t="shared" si="9"/>
        <v/>
      </c>
      <c r="V186" s="45" t="s">
        <v>456</v>
      </c>
      <c r="W186" s="45"/>
      <c r="X186" s="45"/>
      <c r="Y186" s="45" t="s">
        <v>457</v>
      </c>
      <c r="AA186" s="243"/>
      <c r="AB186" s="243"/>
    </row>
    <row r="187" spans="1:28" ht="45">
      <c r="A187" s="44">
        <f t="shared" si="7"/>
        <v>180</v>
      </c>
      <c r="B187" s="44" t="s">
        <v>30</v>
      </c>
      <c r="C187" s="44" t="s">
        <v>427</v>
      </c>
      <c r="D187" s="45" t="s">
        <v>19</v>
      </c>
      <c r="E187" s="44" t="s">
        <v>25</v>
      </c>
      <c r="F187" s="50" t="s">
        <v>458</v>
      </c>
      <c r="G187" s="45" t="s">
        <v>459</v>
      </c>
      <c r="H187" s="48"/>
      <c r="I187" s="48"/>
      <c r="J187" s="48">
        <v>5000</v>
      </c>
      <c r="K187" s="48">
        <v>10000</v>
      </c>
      <c r="L187" s="48"/>
      <c r="M187" s="48">
        <v>0</v>
      </c>
      <c r="N187" s="48"/>
      <c r="O187" s="48">
        <v>0</v>
      </c>
      <c r="P187" s="48"/>
      <c r="Q187" s="48">
        <v>0</v>
      </c>
      <c r="R187" s="48">
        <f t="shared" si="8"/>
        <v>10000</v>
      </c>
      <c r="S187" s="49"/>
      <c r="T187" s="48">
        <v>0</v>
      </c>
      <c r="U187" s="164" t="str">
        <f t="shared" si="9"/>
        <v/>
      </c>
      <c r="V187" s="45"/>
      <c r="W187" s="45"/>
      <c r="X187" s="45"/>
      <c r="Y187" s="45"/>
      <c r="AA187" s="228"/>
      <c r="AB187" s="228"/>
    </row>
    <row r="188" spans="1:28" ht="45">
      <c r="A188" s="44">
        <f t="shared" si="7"/>
        <v>181</v>
      </c>
      <c r="B188" s="44" t="s">
        <v>30</v>
      </c>
      <c r="C188" s="44" t="s">
        <v>427</v>
      </c>
      <c r="D188" s="45" t="s">
        <v>19</v>
      </c>
      <c r="E188" s="44" t="s">
        <v>7</v>
      </c>
      <c r="F188" s="50" t="s">
        <v>49</v>
      </c>
      <c r="G188" s="45" t="s">
        <v>255</v>
      </c>
      <c r="H188" s="48"/>
      <c r="I188" s="48"/>
      <c r="J188" s="48">
        <f>32623.66-29580.57+800.66+321.57+14118.59+39.6+2032.98</f>
        <v>20356.489999999998</v>
      </c>
      <c r="K188" s="48">
        <v>23039.87</v>
      </c>
      <c r="L188" s="48">
        <f>209.8+38.88</f>
        <v>248.68</v>
      </c>
      <c r="M188" s="48">
        <v>342.49</v>
      </c>
      <c r="N188" s="48"/>
      <c r="O188" s="48">
        <v>745.65</v>
      </c>
      <c r="P188" s="48">
        <f>135.48</f>
        <v>135.47999999999999</v>
      </c>
      <c r="Q188" s="48">
        <v>480.09000000000003</v>
      </c>
      <c r="R188" s="48">
        <f t="shared" si="8"/>
        <v>24608.100000000002</v>
      </c>
      <c r="S188" s="49"/>
      <c r="T188" s="48">
        <v>0</v>
      </c>
      <c r="U188" s="164" t="str">
        <f t="shared" si="9"/>
        <v/>
      </c>
      <c r="V188" s="45" t="s">
        <v>50</v>
      </c>
      <c r="W188" s="45" t="s">
        <v>51</v>
      </c>
      <c r="X188" s="45"/>
      <c r="Y188" s="45" t="s">
        <v>580</v>
      </c>
      <c r="AA188" s="228"/>
      <c r="AB188" s="228"/>
    </row>
    <row r="189" spans="1:28" ht="60">
      <c r="A189" s="44">
        <f t="shared" si="7"/>
        <v>182</v>
      </c>
      <c r="B189" s="44" t="s">
        <v>30</v>
      </c>
      <c r="C189" s="44" t="s">
        <v>427</v>
      </c>
      <c r="D189" s="45" t="s">
        <v>19</v>
      </c>
      <c r="E189" s="44" t="s">
        <v>25</v>
      </c>
      <c r="F189" s="50" t="s">
        <v>315</v>
      </c>
      <c r="G189" s="45" t="s">
        <v>316</v>
      </c>
      <c r="H189" s="48"/>
      <c r="I189" s="48"/>
      <c r="J189" s="48">
        <v>3591</v>
      </c>
      <c r="K189" s="48">
        <v>8550</v>
      </c>
      <c r="L189" s="48"/>
      <c r="M189" s="48">
        <v>0</v>
      </c>
      <c r="N189" s="48"/>
      <c r="O189" s="48">
        <v>0</v>
      </c>
      <c r="P189" s="48"/>
      <c r="Q189" s="48">
        <v>0</v>
      </c>
      <c r="R189" s="48">
        <f t="shared" si="8"/>
        <v>8550</v>
      </c>
      <c r="S189" s="49"/>
      <c r="T189" s="48">
        <v>0</v>
      </c>
      <c r="U189" s="164" t="str">
        <f t="shared" si="9"/>
        <v/>
      </c>
      <c r="V189" s="45" t="s">
        <v>50</v>
      </c>
      <c r="W189" s="45" t="s">
        <v>51</v>
      </c>
      <c r="X189" s="45"/>
      <c r="Y189" s="45" t="s">
        <v>580</v>
      </c>
      <c r="AA189" s="228"/>
      <c r="AB189" s="228"/>
    </row>
    <row r="190" spans="1:28" ht="90">
      <c r="A190" s="44">
        <f t="shared" si="7"/>
        <v>183</v>
      </c>
      <c r="B190" s="44" t="s">
        <v>30</v>
      </c>
      <c r="C190" s="44" t="s">
        <v>427</v>
      </c>
      <c r="D190" s="45" t="s">
        <v>19</v>
      </c>
      <c r="E190" s="44" t="s">
        <v>8</v>
      </c>
      <c r="F190" s="50" t="s">
        <v>268</v>
      </c>
      <c r="G190" s="45" t="s">
        <v>269</v>
      </c>
      <c r="H190" s="48"/>
      <c r="I190" s="48"/>
      <c r="J190" s="48">
        <v>55000</v>
      </c>
      <c r="K190" s="48">
        <v>55000</v>
      </c>
      <c r="L190" s="48"/>
      <c r="M190" s="48">
        <v>0</v>
      </c>
      <c r="N190" s="48"/>
      <c r="O190" s="48">
        <v>0</v>
      </c>
      <c r="P190" s="48"/>
      <c r="Q190" s="48">
        <v>0</v>
      </c>
      <c r="R190" s="48">
        <f t="shared" si="8"/>
        <v>55000</v>
      </c>
      <c r="S190" s="49"/>
      <c r="T190" s="48">
        <v>0</v>
      </c>
      <c r="U190" s="164" t="str">
        <f t="shared" si="9"/>
        <v/>
      </c>
      <c r="V190" s="45" t="s">
        <v>317</v>
      </c>
      <c r="W190" s="45" t="s">
        <v>125</v>
      </c>
      <c r="X190" s="45"/>
      <c r="Y190" s="45" t="s">
        <v>913</v>
      </c>
      <c r="AA190" s="228"/>
      <c r="AB190" s="228"/>
    </row>
    <row r="191" spans="1:28" ht="60">
      <c r="A191" s="44">
        <f t="shared" si="7"/>
        <v>184</v>
      </c>
      <c r="B191" s="44" t="s">
        <v>30</v>
      </c>
      <c r="C191" s="44" t="s">
        <v>427</v>
      </c>
      <c r="D191" s="45" t="s">
        <v>19</v>
      </c>
      <c r="E191" s="44" t="s">
        <v>7</v>
      </c>
      <c r="F191" s="50" t="s">
        <v>270</v>
      </c>
      <c r="G191" s="45"/>
      <c r="H191" s="48"/>
      <c r="I191" s="48">
        <v>0</v>
      </c>
      <c r="J191" s="48"/>
      <c r="K191" s="48">
        <v>0</v>
      </c>
      <c r="L191" s="48"/>
      <c r="M191" s="48">
        <v>0</v>
      </c>
      <c r="N191" s="48"/>
      <c r="O191" s="48">
        <v>0</v>
      </c>
      <c r="P191" s="48"/>
      <c r="Q191" s="48">
        <v>0</v>
      </c>
      <c r="R191" s="48">
        <f t="shared" si="8"/>
        <v>0</v>
      </c>
      <c r="S191" s="49"/>
      <c r="T191" s="48">
        <v>0</v>
      </c>
      <c r="U191" s="164" t="str">
        <f t="shared" si="9"/>
        <v/>
      </c>
      <c r="V191" s="45" t="s">
        <v>318</v>
      </c>
      <c r="W191" s="45" t="s">
        <v>319</v>
      </c>
      <c r="X191" s="45"/>
      <c r="Y191" s="45" t="s">
        <v>320</v>
      </c>
      <c r="AA191" s="228"/>
      <c r="AB191" s="228"/>
    </row>
    <row r="192" spans="1:28" ht="45">
      <c r="A192" s="44">
        <f t="shared" si="7"/>
        <v>185</v>
      </c>
      <c r="B192" s="44" t="s">
        <v>30</v>
      </c>
      <c r="C192" s="44" t="s">
        <v>427</v>
      </c>
      <c r="D192" s="45" t="s">
        <v>19</v>
      </c>
      <c r="E192" s="44" t="s">
        <v>25</v>
      </c>
      <c r="F192" s="50" t="s">
        <v>479</v>
      </c>
      <c r="G192" s="45" t="s">
        <v>469</v>
      </c>
      <c r="H192" s="48"/>
      <c r="I192" s="48"/>
      <c r="J192" s="49">
        <f>(85181.56/2)</f>
        <v>42590.78</v>
      </c>
      <c r="K192" s="48">
        <v>189981.65</v>
      </c>
      <c r="L192" s="48">
        <f>262500/2</f>
        <v>131250</v>
      </c>
      <c r="M192" s="48">
        <v>254751.54</v>
      </c>
      <c r="N192" s="48">
        <f>239569.95+191819.58</f>
        <v>431389.53</v>
      </c>
      <c r="O192" s="48">
        <v>862769.17</v>
      </c>
      <c r="P192" s="48"/>
      <c r="Q192" s="48">
        <v>0</v>
      </c>
      <c r="R192" s="48">
        <f t="shared" si="8"/>
        <v>1307502.3600000001</v>
      </c>
      <c r="S192" s="49"/>
      <c r="T192" s="48">
        <v>0</v>
      </c>
      <c r="U192" s="164" t="str">
        <f t="shared" si="9"/>
        <v/>
      </c>
      <c r="V192" s="45"/>
      <c r="W192" s="45"/>
      <c r="X192" s="45"/>
      <c r="Y192" s="45"/>
      <c r="AA192" s="228"/>
      <c r="AB192" s="228"/>
    </row>
    <row r="193" spans="1:28" ht="45">
      <c r="A193" s="44">
        <f t="shared" si="7"/>
        <v>186</v>
      </c>
      <c r="B193" s="44" t="s">
        <v>30</v>
      </c>
      <c r="C193" s="44" t="s">
        <v>427</v>
      </c>
      <c r="D193" s="45" t="s">
        <v>19</v>
      </c>
      <c r="E193" s="44" t="s">
        <v>25</v>
      </c>
      <c r="F193" s="50" t="s">
        <v>479</v>
      </c>
      <c r="G193" s="45" t="s">
        <v>687</v>
      </c>
      <c r="H193" s="48"/>
      <c r="I193" s="48"/>
      <c r="J193" s="49"/>
      <c r="K193" s="48">
        <v>0</v>
      </c>
      <c r="L193" s="48"/>
      <c r="M193" s="48">
        <v>500000</v>
      </c>
      <c r="N193" s="48"/>
      <c r="O193" s="48">
        <v>0</v>
      </c>
      <c r="P193" s="48"/>
      <c r="Q193" s="48">
        <v>0</v>
      </c>
      <c r="R193" s="48">
        <f t="shared" si="8"/>
        <v>500000</v>
      </c>
      <c r="S193" s="49"/>
      <c r="T193" s="48">
        <v>0</v>
      </c>
      <c r="U193" s="164" t="str">
        <f t="shared" si="9"/>
        <v/>
      </c>
      <c r="V193" s="45"/>
      <c r="W193" s="45"/>
      <c r="X193" s="45"/>
      <c r="Y193" s="45"/>
      <c r="AA193" s="228"/>
      <c r="AB193" s="228"/>
    </row>
    <row r="194" spans="1:28" ht="105">
      <c r="A194" s="44">
        <f t="shared" si="7"/>
        <v>187</v>
      </c>
      <c r="B194" s="44" t="s">
        <v>30</v>
      </c>
      <c r="C194" s="44" t="s">
        <v>427</v>
      </c>
      <c r="D194" s="45" t="s">
        <v>19</v>
      </c>
      <c r="E194" s="44" t="s">
        <v>28</v>
      </c>
      <c r="F194" s="50" t="s">
        <v>480</v>
      </c>
      <c r="G194" s="45" t="s">
        <v>470</v>
      </c>
      <c r="H194" s="48"/>
      <c r="I194" s="48"/>
      <c r="J194" s="48"/>
      <c r="K194" s="48">
        <v>23190.79</v>
      </c>
      <c r="L194" s="48"/>
      <c r="M194" s="48">
        <v>142089.32</v>
      </c>
      <c r="N194" s="48"/>
      <c r="O194" s="48">
        <v>0</v>
      </c>
      <c r="P194" s="48"/>
      <c r="Q194" s="48">
        <v>0</v>
      </c>
      <c r="R194" s="48">
        <f t="shared" si="8"/>
        <v>165280.11000000002</v>
      </c>
      <c r="S194" s="49"/>
      <c r="T194" s="48">
        <v>0</v>
      </c>
      <c r="U194" s="164" t="str">
        <f t="shared" si="9"/>
        <v/>
      </c>
      <c r="V194" s="45" t="s">
        <v>581</v>
      </c>
      <c r="W194" s="45" t="s">
        <v>582</v>
      </c>
      <c r="X194" s="45" t="s">
        <v>583</v>
      </c>
      <c r="Y194" s="45" t="s">
        <v>661</v>
      </c>
      <c r="AA194" s="228"/>
      <c r="AB194" s="228"/>
    </row>
    <row r="195" spans="1:28" ht="30">
      <c r="A195" s="44">
        <f t="shared" si="7"/>
        <v>188</v>
      </c>
      <c r="B195" s="44" t="s">
        <v>30</v>
      </c>
      <c r="C195" s="44" t="s">
        <v>427</v>
      </c>
      <c r="D195" s="45" t="s">
        <v>19</v>
      </c>
      <c r="E195" s="44" t="s">
        <v>25</v>
      </c>
      <c r="F195" s="50" t="s">
        <v>524</v>
      </c>
      <c r="G195" s="45"/>
      <c r="H195" s="48"/>
      <c r="I195" s="48"/>
      <c r="J195" s="48"/>
      <c r="K195" s="48">
        <v>500000</v>
      </c>
      <c r="L195" s="48"/>
      <c r="M195" s="48">
        <v>400000</v>
      </c>
      <c r="N195" s="48"/>
      <c r="O195" s="48">
        <v>656789.86</v>
      </c>
      <c r="P195" s="48"/>
      <c r="Q195" s="48">
        <v>0</v>
      </c>
      <c r="R195" s="48">
        <f t="shared" si="8"/>
        <v>1556789.8599999999</v>
      </c>
      <c r="S195" s="49"/>
      <c r="T195" s="48">
        <v>0</v>
      </c>
      <c r="U195" s="164" t="str">
        <f t="shared" si="9"/>
        <v/>
      </c>
      <c r="V195" s="45"/>
      <c r="W195" s="45"/>
      <c r="X195" s="45"/>
      <c r="Y195" s="45"/>
      <c r="AA195" s="228"/>
      <c r="AB195" s="228"/>
    </row>
    <row r="196" spans="1:28">
      <c r="A196" s="44">
        <f t="shared" si="7"/>
        <v>189</v>
      </c>
      <c r="B196" s="44" t="s">
        <v>30</v>
      </c>
      <c r="C196" s="44">
        <v>2016</v>
      </c>
      <c r="D196" s="45" t="s">
        <v>353</v>
      </c>
      <c r="E196" s="44" t="s">
        <v>7</v>
      </c>
      <c r="F196" s="50" t="s">
        <v>354</v>
      </c>
      <c r="G196" s="45"/>
      <c r="H196" s="48"/>
      <c r="I196" s="48"/>
      <c r="J196" s="48"/>
      <c r="K196" s="48">
        <v>-2487746.83</v>
      </c>
      <c r="L196" s="48"/>
      <c r="M196" s="48">
        <v>0</v>
      </c>
      <c r="N196" s="48"/>
      <c r="O196" s="48">
        <v>0</v>
      </c>
      <c r="P196" s="48"/>
      <c r="Q196" s="48">
        <v>0</v>
      </c>
      <c r="R196" s="48">
        <f t="shared" si="8"/>
        <v>-2487746.83</v>
      </c>
      <c r="S196" s="49"/>
      <c r="T196" s="48">
        <v>0</v>
      </c>
      <c r="U196" s="164" t="str">
        <f t="shared" si="9"/>
        <v/>
      </c>
      <c r="V196" s="45"/>
      <c r="W196" s="45"/>
      <c r="X196" s="45"/>
      <c r="Y196" s="45"/>
      <c r="AA196" s="228"/>
      <c r="AB196" s="228"/>
    </row>
    <row r="197" spans="1:28" ht="30">
      <c r="A197" s="44">
        <f t="shared" si="7"/>
        <v>190</v>
      </c>
      <c r="B197" s="44" t="s">
        <v>30</v>
      </c>
      <c r="C197" s="44">
        <v>2019</v>
      </c>
      <c r="D197" s="45" t="s">
        <v>743</v>
      </c>
      <c r="E197" s="44" t="s">
        <v>7</v>
      </c>
      <c r="F197" s="50" t="s">
        <v>744</v>
      </c>
      <c r="G197" s="45"/>
      <c r="H197" s="47"/>
      <c r="I197" s="47"/>
      <c r="J197" s="48"/>
      <c r="K197" s="48">
        <v>0</v>
      </c>
      <c r="L197" s="48"/>
      <c r="M197" s="48">
        <v>0</v>
      </c>
      <c r="N197" s="48"/>
      <c r="O197" s="48">
        <v>0</v>
      </c>
      <c r="P197" s="48"/>
      <c r="Q197" s="48">
        <v>0</v>
      </c>
      <c r="R197" s="48">
        <f t="shared" si="8"/>
        <v>0</v>
      </c>
      <c r="S197" s="49"/>
      <c r="T197" s="48">
        <v>100</v>
      </c>
      <c r="U197" s="164">
        <f t="shared" si="9"/>
        <v>0</v>
      </c>
      <c r="V197" s="45"/>
      <c r="W197" s="45"/>
      <c r="X197" s="44"/>
      <c r="Y197" s="45"/>
      <c r="AA197" s="228"/>
      <c r="AB197" s="228"/>
    </row>
    <row r="198" spans="1:28" ht="90">
      <c r="A198" s="44">
        <f t="shared" si="7"/>
        <v>191</v>
      </c>
      <c r="B198" s="45" t="s">
        <v>30</v>
      </c>
      <c r="C198" s="44">
        <v>2019</v>
      </c>
      <c r="D198" s="45" t="s">
        <v>743</v>
      </c>
      <c r="E198" s="44" t="s">
        <v>28</v>
      </c>
      <c r="F198" s="50" t="s">
        <v>105</v>
      </c>
      <c r="G198" s="45"/>
      <c r="H198" s="48">
        <f>-P198</f>
        <v>-32969.58</v>
      </c>
      <c r="I198" s="47"/>
      <c r="J198" s="48"/>
      <c r="K198" s="48">
        <v>0</v>
      </c>
      <c r="L198" s="48"/>
      <c r="M198" s="48">
        <v>0</v>
      </c>
      <c r="N198" s="48"/>
      <c r="O198" s="48">
        <v>0</v>
      </c>
      <c r="P198" s="48">
        <f>7049.54+25920.04</f>
        <v>32969.58</v>
      </c>
      <c r="Q198" s="48">
        <v>32969.58</v>
      </c>
      <c r="R198" s="48">
        <f t="shared" si="8"/>
        <v>0</v>
      </c>
      <c r="S198" s="49"/>
      <c r="T198" s="48">
        <v>375000</v>
      </c>
      <c r="U198" s="164">
        <f t="shared" si="9"/>
        <v>0</v>
      </c>
      <c r="V198" s="45" t="s">
        <v>106</v>
      </c>
      <c r="W198" s="45" t="s">
        <v>311</v>
      </c>
      <c r="X198" s="45" t="s">
        <v>914</v>
      </c>
      <c r="Y198" s="45" t="s">
        <v>915</v>
      </c>
      <c r="AA198" s="228"/>
      <c r="AB198" s="228"/>
    </row>
    <row r="199" spans="1:28" ht="30">
      <c r="A199" s="44">
        <f t="shared" si="7"/>
        <v>192</v>
      </c>
      <c r="B199" s="45" t="s">
        <v>30</v>
      </c>
      <c r="C199" s="44">
        <v>2019</v>
      </c>
      <c r="D199" s="45" t="s">
        <v>743</v>
      </c>
      <c r="E199" s="44" t="s">
        <v>28</v>
      </c>
      <c r="F199" s="50" t="s">
        <v>745</v>
      </c>
      <c r="G199" s="45"/>
      <c r="H199" s="47"/>
      <c r="I199" s="47"/>
      <c r="J199" s="48"/>
      <c r="K199" s="48">
        <v>0</v>
      </c>
      <c r="L199" s="48"/>
      <c r="M199" s="48">
        <v>0</v>
      </c>
      <c r="N199" s="48"/>
      <c r="O199" s="48">
        <v>0</v>
      </c>
      <c r="P199" s="48"/>
      <c r="Q199" s="48">
        <v>0</v>
      </c>
      <c r="R199" s="48">
        <f t="shared" si="8"/>
        <v>0</v>
      </c>
      <c r="S199" s="49"/>
      <c r="T199" s="48">
        <v>0</v>
      </c>
      <c r="U199" s="164" t="str">
        <f t="shared" si="9"/>
        <v/>
      </c>
      <c r="V199" s="45"/>
      <c r="W199" s="45"/>
      <c r="X199" s="44"/>
      <c r="Y199" s="45"/>
      <c r="AA199" s="228"/>
      <c r="AB199" s="228"/>
    </row>
    <row r="200" spans="1:28" ht="30">
      <c r="A200" s="44">
        <f t="shared" si="7"/>
        <v>193</v>
      </c>
      <c r="B200" s="45" t="s">
        <v>30</v>
      </c>
      <c r="C200" s="44">
        <v>2019</v>
      </c>
      <c r="D200" s="45" t="s">
        <v>743</v>
      </c>
      <c r="E200" s="44" t="s">
        <v>8</v>
      </c>
      <c r="F200" s="50" t="s">
        <v>345</v>
      </c>
      <c r="G200" s="45"/>
      <c r="H200" s="47">
        <v>300000</v>
      </c>
      <c r="I200" s="47"/>
      <c r="J200" s="48"/>
      <c r="K200" s="48">
        <v>0</v>
      </c>
      <c r="L200" s="48"/>
      <c r="M200" s="48">
        <v>0</v>
      </c>
      <c r="N200" s="48"/>
      <c r="O200" s="48">
        <v>0</v>
      </c>
      <c r="P200" s="48"/>
      <c r="Q200" s="48">
        <v>0</v>
      </c>
      <c r="R200" s="48">
        <f t="shared" si="8"/>
        <v>300000</v>
      </c>
      <c r="S200" s="49">
        <v>300000</v>
      </c>
      <c r="T200" s="48">
        <v>300000</v>
      </c>
      <c r="U200" s="164">
        <f t="shared" si="9"/>
        <v>1</v>
      </c>
      <c r="V200" s="45"/>
      <c r="W200" s="45"/>
      <c r="X200" s="44"/>
      <c r="Y200" s="45"/>
      <c r="AA200" s="228"/>
      <c r="AB200" s="228"/>
    </row>
    <row r="201" spans="1:28" ht="30">
      <c r="A201" s="44">
        <f t="shared" si="7"/>
        <v>194</v>
      </c>
      <c r="B201" s="45" t="s">
        <v>30</v>
      </c>
      <c r="C201" s="44">
        <v>2019</v>
      </c>
      <c r="D201" s="45" t="s">
        <v>743</v>
      </c>
      <c r="E201" s="44" t="s">
        <v>28</v>
      </c>
      <c r="F201" s="50" t="s">
        <v>864</v>
      </c>
      <c r="G201" s="45"/>
      <c r="H201" s="48">
        <f>-P201</f>
        <v>-431037.5</v>
      </c>
      <c r="I201" s="47">
        <v>7095.79</v>
      </c>
      <c r="J201" s="48"/>
      <c r="K201" s="48">
        <v>0</v>
      </c>
      <c r="L201" s="48"/>
      <c r="M201" s="48">
        <v>0</v>
      </c>
      <c r="N201" s="48"/>
      <c r="O201" s="48">
        <v>0</v>
      </c>
      <c r="P201" s="48">
        <f>264955.55+17868.07+148213.88</f>
        <v>431037.5</v>
      </c>
      <c r="Q201" s="48">
        <v>431037.5</v>
      </c>
      <c r="R201" s="48">
        <f t="shared" si="8"/>
        <v>7095.789999999979</v>
      </c>
      <c r="S201" s="49">
        <f>1627000-65100</f>
        <v>1561900</v>
      </c>
      <c r="T201" s="48">
        <v>1561900</v>
      </c>
      <c r="U201" s="164">
        <f t="shared" si="9"/>
        <v>4.5430501312503872E-3</v>
      </c>
      <c r="V201" s="45"/>
      <c r="W201" s="45"/>
      <c r="X201" s="44"/>
      <c r="Y201" s="45"/>
      <c r="AA201" s="228"/>
      <c r="AB201" s="228"/>
    </row>
    <row r="202" spans="1:28" ht="90">
      <c r="A202" s="44">
        <f t="shared" ref="A202:A265" si="10">+A201+1</f>
        <v>195</v>
      </c>
      <c r="B202" s="45" t="s">
        <v>30</v>
      </c>
      <c r="C202" s="44">
        <v>2019</v>
      </c>
      <c r="D202" s="45" t="s">
        <v>743</v>
      </c>
      <c r="E202" s="44" t="s">
        <v>28</v>
      </c>
      <c r="F202" s="50" t="s">
        <v>107</v>
      </c>
      <c r="G202" s="45"/>
      <c r="H202" s="47">
        <v>650000</v>
      </c>
      <c r="I202" s="47"/>
      <c r="J202" s="48"/>
      <c r="K202" s="48">
        <v>0</v>
      </c>
      <c r="L202" s="48"/>
      <c r="M202" s="48">
        <v>0</v>
      </c>
      <c r="N202" s="48"/>
      <c r="O202" s="48">
        <v>0</v>
      </c>
      <c r="P202" s="48"/>
      <c r="Q202" s="48">
        <v>0</v>
      </c>
      <c r="R202" s="48">
        <f t="shared" si="8"/>
        <v>650000</v>
      </c>
      <c r="S202" s="49">
        <v>648400</v>
      </c>
      <c r="T202" s="48">
        <v>650000</v>
      </c>
      <c r="U202" s="164">
        <f t="shared" si="9"/>
        <v>1</v>
      </c>
      <c r="V202" s="45" t="s">
        <v>576</v>
      </c>
      <c r="W202" s="45" t="s">
        <v>577</v>
      </c>
      <c r="X202" s="44"/>
      <c r="Y202" s="45"/>
      <c r="AA202" s="228"/>
      <c r="AB202" s="228"/>
    </row>
    <row r="203" spans="1:28" ht="30">
      <c r="A203" s="44">
        <f t="shared" si="10"/>
        <v>196</v>
      </c>
      <c r="B203" s="45" t="s">
        <v>30</v>
      </c>
      <c r="C203" s="44">
        <v>2019</v>
      </c>
      <c r="D203" s="45" t="s">
        <v>743</v>
      </c>
      <c r="E203" s="44" t="s">
        <v>25</v>
      </c>
      <c r="F203" s="50" t="s">
        <v>369</v>
      </c>
      <c r="G203" s="45"/>
      <c r="H203" s="47"/>
      <c r="I203" s="47"/>
      <c r="J203" s="48"/>
      <c r="K203" s="48">
        <v>0</v>
      </c>
      <c r="L203" s="48"/>
      <c r="M203" s="48">
        <v>0</v>
      </c>
      <c r="N203" s="48"/>
      <c r="O203" s="48">
        <v>0</v>
      </c>
      <c r="P203" s="48"/>
      <c r="Q203" s="48">
        <v>0</v>
      </c>
      <c r="R203" s="48">
        <f t="shared" si="8"/>
        <v>0</v>
      </c>
      <c r="S203" s="49">
        <v>200000</v>
      </c>
      <c r="T203" s="48">
        <v>200000</v>
      </c>
      <c r="U203" s="164">
        <f t="shared" si="9"/>
        <v>0</v>
      </c>
      <c r="V203" s="45"/>
      <c r="W203" s="45"/>
      <c r="X203" s="44"/>
      <c r="Y203" s="45"/>
      <c r="AA203" s="228"/>
      <c r="AB203" s="228"/>
    </row>
    <row r="204" spans="1:28" ht="30">
      <c r="A204" s="44">
        <f t="shared" si="10"/>
        <v>197</v>
      </c>
      <c r="B204" s="45" t="s">
        <v>30</v>
      </c>
      <c r="C204" s="44">
        <v>2019</v>
      </c>
      <c r="D204" s="45" t="s">
        <v>743</v>
      </c>
      <c r="E204" s="44" t="s">
        <v>28</v>
      </c>
      <c r="F204" s="50" t="s">
        <v>126</v>
      </c>
      <c r="G204" s="45"/>
      <c r="H204" s="47"/>
      <c r="I204" s="47"/>
      <c r="J204" s="48"/>
      <c r="K204" s="48">
        <v>0</v>
      </c>
      <c r="L204" s="48"/>
      <c r="M204" s="48">
        <v>0</v>
      </c>
      <c r="N204" s="48"/>
      <c r="O204" s="48">
        <v>0</v>
      </c>
      <c r="P204" s="48"/>
      <c r="Q204" s="48">
        <v>0</v>
      </c>
      <c r="R204" s="48">
        <f t="shared" si="8"/>
        <v>0</v>
      </c>
      <c r="S204" s="49">
        <v>500000</v>
      </c>
      <c r="T204" s="48">
        <v>500000</v>
      </c>
      <c r="U204" s="164">
        <f t="shared" si="9"/>
        <v>0</v>
      </c>
      <c r="V204" s="45"/>
      <c r="W204" s="45"/>
      <c r="X204" s="44"/>
      <c r="Y204" s="45"/>
      <c r="AA204" s="228"/>
      <c r="AB204" s="228"/>
    </row>
    <row r="205" spans="1:28" ht="210">
      <c r="A205" s="44">
        <f t="shared" si="10"/>
        <v>198</v>
      </c>
      <c r="B205" s="45" t="s">
        <v>30</v>
      </c>
      <c r="C205" s="44">
        <v>2019</v>
      </c>
      <c r="D205" s="45" t="s">
        <v>743</v>
      </c>
      <c r="E205" s="44" t="s">
        <v>25</v>
      </c>
      <c r="F205" s="50" t="s">
        <v>473</v>
      </c>
      <c r="G205" s="45"/>
      <c r="H205" s="47"/>
      <c r="I205" s="47"/>
      <c r="J205" s="48"/>
      <c r="K205" s="48">
        <v>0</v>
      </c>
      <c r="L205" s="48"/>
      <c r="M205" s="48">
        <v>0</v>
      </c>
      <c r="N205" s="48"/>
      <c r="O205" s="48">
        <v>0</v>
      </c>
      <c r="P205" s="48"/>
      <c r="Q205" s="48">
        <v>0</v>
      </c>
      <c r="R205" s="48">
        <f t="shared" si="8"/>
        <v>0</v>
      </c>
      <c r="S205" s="49">
        <v>260000</v>
      </c>
      <c r="T205" s="48">
        <v>260000</v>
      </c>
      <c r="U205" s="164">
        <f t="shared" si="9"/>
        <v>0</v>
      </c>
      <c r="V205" s="45" t="s">
        <v>474</v>
      </c>
      <c r="W205" s="45" t="s">
        <v>475</v>
      </c>
      <c r="X205" s="45" t="s">
        <v>906</v>
      </c>
      <c r="Y205" s="45" t="s">
        <v>906</v>
      </c>
      <c r="AA205" s="228"/>
      <c r="AB205" s="228"/>
    </row>
    <row r="206" spans="1:28" ht="330">
      <c r="A206" s="44">
        <f t="shared" si="10"/>
        <v>199</v>
      </c>
      <c r="B206" s="44" t="s">
        <v>46</v>
      </c>
      <c r="C206" s="44" t="s">
        <v>427</v>
      </c>
      <c r="D206" s="45" t="s">
        <v>19</v>
      </c>
      <c r="E206" s="44" t="s">
        <v>25</v>
      </c>
      <c r="F206" s="50" t="s">
        <v>49</v>
      </c>
      <c r="G206" s="45"/>
      <c r="H206" s="47"/>
      <c r="I206" s="47"/>
      <c r="J206" s="48"/>
      <c r="K206" s="48">
        <v>5658.5694375000003</v>
      </c>
      <c r="L206" s="48"/>
      <c r="M206" s="48">
        <v>0</v>
      </c>
      <c r="N206" s="48"/>
      <c r="O206" s="48">
        <v>0</v>
      </c>
      <c r="P206" s="48"/>
      <c r="Q206" s="48">
        <v>0</v>
      </c>
      <c r="R206" s="48">
        <f t="shared" si="8"/>
        <v>5658.5694375000003</v>
      </c>
      <c r="S206" s="49"/>
      <c r="T206" s="48">
        <v>0</v>
      </c>
      <c r="U206" s="164" t="str">
        <f t="shared" si="9"/>
        <v/>
      </c>
      <c r="V206" s="45" t="s">
        <v>306</v>
      </c>
      <c r="W206" s="45" t="s">
        <v>307</v>
      </c>
      <c r="X206" s="45" t="s">
        <v>444</v>
      </c>
      <c r="Y206" s="45" t="s">
        <v>445</v>
      </c>
      <c r="AA206" s="228"/>
      <c r="AB206" s="228"/>
    </row>
    <row r="207" spans="1:28" s="53" customFormat="1" ht="357">
      <c r="A207" s="44">
        <f t="shared" si="10"/>
        <v>200</v>
      </c>
      <c r="B207" s="230" t="s">
        <v>32</v>
      </c>
      <c r="C207" s="230">
        <v>2016</v>
      </c>
      <c r="D207" s="231" t="s">
        <v>42</v>
      </c>
      <c r="E207" s="230" t="s">
        <v>7</v>
      </c>
      <c r="F207" s="222" t="s">
        <v>128</v>
      </c>
      <c r="G207" s="229"/>
      <c r="H207" s="232"/>
      <c r="I207" s="232"/>
      <c r="J207" s="233"/>
      <c r="K207" s="48">
        <v>199606.32</v>
      </c>
      <c r="L207" s="233"/>
      <c r="M207" s="48">
        <v>0</v>
      </c>
      <c r="N207" s="233"/>
      <c r="O207" s="48">
        <v>0</v>
      </c>
      <c r="P207" s="233"/>
      <c r="Q207" s="48">
        <v>0</v>
      </c>
      <c r="R207" s="48">
        <f t="shared" si="8"/>
        <v>199606.32</v>
      </c>
      <c r="S207" s="234"/>
      <c r="T207" s="48">
        <v>200000</v>
      </c>
      <c r="U207" s="164">
        <f t="shared" si="9"/>
        <v>0.99803160000000002</v>
      </c>
      <c r="V207" s="231" t="s">
        <v>129</v>
      </c>
      <c r="W207" s="235" t="s">
        <v>356</v>
      </c>
      <c r="X207" s="236" t="s">
        <v>588</v>
      </c>
      <c r="Y207" s="231" t="s">
        <v>357</v>
      </c>
      <c r="AA207" s="228"/>
      <c r="AB207" s="228"/>
    </row>
    <row r="208" spans="1:28" s="53" customFormat="1">
      <c r="A208" s="44">
        <f t="shared" si="10"/>
        <v>201</v>
      </c>
      <c r="B208" s="230" t="s">
        <v>32</v>
      </c>
      <c r="C208" s="230">
        <v>2016</v>
      </c>
      <c r="D208" s="231" t="s">
        <v>353</v>
      </c>
      <c r="E208" s="230" t="s">
        <v>7</v>
      </c>
      <c r="F208" s="222" t="s">
        <v>354</v>
      </c>
      <c r="G208" s="235"/>
      <c r="H208" s="232"/>
      <c r="I208" s="234"/>
      <c r="J208" s="233">
        <v>-23584.38</v>
      </c>
      <c r="K208" s="48">
        <v>-23584.38</v>
      </c>
      <c r="L208" s="233"/>
      <c r="M208" s="48">
        <v>0</v>
      </c>
      <c r="N208" s="233"/>
      <c r="O208" s="48">
        <v>0</v>
      </c>
      <c r="P208" s="233"/>
      <c r="Q208" s="48">
        <v>0</v>
      </c>
      <c r="R208" s="48">
        <f t="shared" si="8"/>
        <v>-23584.38</v>
      </c>
      <c r="S208" s="234"/>
      <c r="T208" s="48">
        <v>0</v>
      </c>
      <c r="U208" s="164" t="str">
        <f t="shared" si="9"/>
        <v/>
      </c>
      <c r="V208" s="231"/>
      <c r="W208" s="231"/>
      <c r="X208" s="231"/>
      <c r="Y208" s="231"/>
      <c r="AA208" s="228"/>
      <c r="AB208" s="228"/>
    </row>
    <row r="209" spans="1:28" s="53" customFormat="1" ht="270">
      <c r="A209" s="44">
        <f t="shared" si="10"/>
        <v>202</v>
      </c>
      <c r="B209" s="231" t="s">
        <v>32</v>
      </c>
      <c r="C209" s="231">
        <v>2016</v>
      </c>
      <c r="D209" s="231" t="s">
        <v>43</v>
      </c>
      <c r="E209" s="231" t="s">
        <v>7</v>
      </c>
      <c r="F209" s="222" t="s">
        <v>509</v>
      </c>
      <c r="G209" s="231" t="s">
        <v>271</v>
      </c>
      <c r="H209" s="237"/>
      <c r="I209" s="232"/>
      <c r="J209" s="232">
        <f>1418048.46-300214</f>
        <v>1117834.46</v>
      </c>
      <c r="K209" s="48">
        <v>1117834.46</v>
      </c>
      <c r="L209" s="233">
        <v>449717</v>
      </c>
      <c r="M209" s="48">
        <v>449717</v>
      </c>
      <c r="N209" s="233">
        <v>92448</v>
      </c>
      <c r="O209" s="48">
        <v>92448</v>
      </c>
      <c r="P209" s="233"/>
      <c r="Q209" s="48">
        <v>0</v>
      </c>
      <c r="R209" s="48">
        <f t="shared" si="8"/>
        <v>1659999.46</v>
      </c>
      <c r="S209" s="232">
        <f>2000000-340000</f>
        <v>1660000</v>
      </c>
      <c r="T209" s="48">
        <v>1660000</v>
      </c>
      <c r="U209" s="164">
        <f t="shared" si="9"/>
        <v>0.99999967469879514</v>
      </c>
      <c r="V209" s="231" t="s">
        <v>130</v>
      </c>
      <c r="W209" s="231" t="s">
        <v>645</v>
      </c>
      <c r="X209" s="231" t="s">
        <v>628</v>
      </c>
      <c r="Y209" s="231" t="s">
        <v>333</v>
      </c>
      <c r="AA209" s="228"/>
      <c r="AB209" s="228"/>
    </row>
    <row r="210" spans="1:28" s="40" customFormat="1" ht="75">
      <c r="A210" s="44">
        <f t="shared" si="10"/>
        <v>203</v>
      </c>
      <c r="B210" s="44" t="s">
        <v>33</v>
      </c>
      <c r="C210" s="44">
        <v>2016</v>
      </c>
      <c r="D210" s="45" t="s">
        <v>43</v>
      </c>
      <c r="E210" s="44" t="s">
        <v>7</v>
      </c>
      <c r="F210" s="50" t="s">
        <v>69</v>
      </c>
      <c r="G210" s="45" t="s">
        <v>272</v>
      </c>
      <c r="H210" s="47">
        <v>0</v>
      </c>
      <c r="I210" s="47">
        <v>0</v>
      </c>
      <c r="J210" s="48">
        <v>2000000</v>
      </c>
      <c r="K210" s="48">
        <v>2000000</v>
      </c>
      <c r="L210" s="48"/>
      <c r="M210" s="48">
        <v>0</v>
      </c>
      <c r="N210" s="48"/>
      <c r="O210" s="48">
        <v>0</v>
      </c>
      <c r="P210" s="48"/>
      <c r="Q210" s="48">
        <v>0</v>
      </c>
      <c r="R210" s="48">
        <f t="shared" si="8"/>
        <v>2000000</v>
      </c>
      <c r="S210" s="48">
        <v>2000000</v>
      </c>
      <c r="T210" s="48">
        <v>2000000</v>
      </c>
      <c r="U210" s="164">
        <f t="shared" si="9"/>
        <v>1</v>
      </c>
      <c r="V210" s="45" t="s">
        <v>131</v>
      </c>
      <c r="W210" s="45" t="s">
        <v>132</v>
      </c>
      <c r="X210" s="45" t="s">
        <v>341</v>
      </c>
      <c r="Y210" s="45" t="s">
        <v>133</v>
      </c>
      <c r="AA210" s="228"/>
      <c r="AB210" s="228"/>
    </row>
    <row r="211" spans="1:28" s="40" customFormat="1" ht="45">
      <c r="A211" s="44">
        <f t="shared" si="10"/>
        <v>204</v>
      </c>
      <c r="B211" s="44" t="s">
        <v>33</v>
      </c>
      <c r="C211" s="44" t="s">
        <v>427</v>
      </c>
      <c r="D211" s="45" t="s">
        <v>19</v>
      </c>
      <c r="E211" s="44" t="s">
        <v>7</v>
      </c>
      <c r="F211" s="50" t="s">
        <v>391</v>
      </c>
      <c r="G211" s="45" t="s">
        <v>272</v>
      </c>
      <c r="H211" s="47">
        <v>0</v>
      </c>
      <c r="I211" s="47">
        <v>0</v>
      </c>
      <c r="J211" s="48">
        <v>65111.17</v>
      </c>
      <c r="K211" s="48">
        <v>65111.17</v>
      </c>
      <c r="L211" s="48">
        <v>225684.83</v>
      </c>
      <c r="M211" s="48">
        <v>225684.83</v>
      </c>
      <c r="N211" s="48">
        <v>40384.9</v>
      </c>
      <c r="O211" s="48">
        <v>40384.9</v>
      </c>
      <c r="P211" s="48"/>
      <c r="Q211" s="48">
        <v>0</v>
      </c>
      <c r="R211" s="48">
        <f t="shared" si="8"/>
        <v>331180.90000000002</v>
      </c>
      <c r="S211" s="48">
        <v>0</v>
      </c>
      <c r="T211" s="48">
        <v>0</v>
      </c>
      <c r="U211" s="164" t="str">
        <f t="shared" si="9"/>
        <v/>
      </c>
      <c r="V211" s="45" t="s">
        <v>321</v>
      </c>
      <c r="W211" s="45" t="s">
        <v>51</v>
      </c>
      <c r="X211" s="45" t="s">
        <v>483</v>
      </c>
      <c r="Y211" s="45" t="s">
        <v>322</v>
      </c>
      <c r="AA211" s="228"/>
      <c r="AB211" s="228"/>
    </row>
    <row r="212" spans="1:28" s="40" customFormat="1" ht="30">
      <c r="A212" s="44">
        <f t="shared" si="10"/>
        <v>205</v>
      </c>
      <c r="B212" s="44" t="s">
        <v>33</v>
      </c>
      <c r="C212" s="44">
        <v>2018</v>
      </c>
      <c r="D212" s="45" t="s">
        <v>19</v>
      </c>
      <c r="E212" s="44" t="s">
        <v>7</v>
      </c>
      <c r="F212" s="50" t="s">
        <v>694</v>
      </c>
      <c r="G212" s="45"/>
      <c r="H212" s="47">
        <v>0</v>
      </c>
      <c r="I212" s="47">
        <v>0</v>
      </c>
      <c r="J212" s="48">
        <v>0</v>
      </c>
      <c r="K212" s="48">
        <v>0</v>
      </c>
      <c r="L212" s="48">
        <v>0</v>
      </c>
      <c r="M212" s="48">
        <v>0</v>
      </c>
      <c r="N212" s="48">
        <f>-N211</f>
        <v>-40384.9</v>
      </c>
      <c r="O212" s="48">
        <v>-40384.9</v>
      </c>
      <c r="P212" s="48">
        <v>0</v>
      </c>
      <c r="Q212" s="48">
        <v>0</v>
      </c>
      <c r="R212" s="48">
        <f t="shared" si="8"/>
        <v>-40384.9</v>
      </c>
      <c r="S212" s="48">
        <v>0</v>
      </c>
      <c r="T212" s="48">
        <v>0</v>
      </c>
      <c r="U212" s="164" t="str">
        <f t="shared" si="9"/>
        <v/>
      </c>
      <c r="V212" s="45"/>
      <c r="W212" s="45"/>
      <c r="X212" s="45"/>
      <c r="Y212" s="45"/>
      <c r="AA212" s="228"/>
      <c r="AB212" s="228"/>
    </row>
    <row r="213" spans="1:28" s="40" customFormat="1" ht="30">
      <c r="A213" s="44">
        <f t="shared" si="10"/>
        <v>206</v>
      </c>
      <c r="B213" s="44" t="s">
        <v>33</v>
      </c>
      <c r="C213" s="44">
        <v>2017</v>
      </c>
      <c r="D213" s="45" t="s">
        <v>19</v>
      </c>
      <c r="E213" s="44" t="s">
        <v>7</v>
      </c>
      <c r="F213" s="50" t="s">
        <v>694</v>
      </c>
      <c r="G213" s="45"/>
      <c r="H213" s="47"/>
      <c r="I213" s="47"/>
      <c r="J213" s="48"/>
      <c r="K213" s="48">
        <v>0</v>
      </c>
      <c r="L213" s="48">
        <v>-225684.83</v>
      </c>
      <c r="M213" s="48">
        <v>-225684.83</v>
      </c>
      <c r="N213" s="48">
        <v>0</v>
      </c>
      <c r="O213" s="48">
        <v>0</v>
      </c>
      <c r="P213" s="48"/>
      <c r="Q213" s="48">
        <v>0</v>
      </c>
      <c r="R213" s="48">
        <f t="shared" si="8"/>
        <v>-225684.83</v>
      </c>
      <c r="S213" s="48"/>
      <c r="T213" s="48">
        <v>0</v>
      </c>
      <c r="U213" s="164" t="str">
        <f t="shared" si="9"/>
        <v/>
      </c>
      <c r="V213" s="45" t="s">
        <v>321</v>
      </c>
      <c r="W213" s="45"/>
      <c r="X213" s="45"/>
      <c r="Y213" s="45"/>
      <c r="AA213" s="228"/>
      <c r="AB213" s="228"/>
    </row>
    <row r="214" spans="1:28" s="40" customFormat="1" ht="75">
      <c r="A214" s="44">
        <f t="shared" si="10"/>
        <v>207</v>
      </c>
      <c r="B214" s="44" t="s">
        <v>33</v>
      </c>
      <c r="C214" s="44">
        <v>2016</v>
      </c>
      <c r="D214" s="45" t="s">
        <v>506</v>
      </c>
      <c r="E214" s="44" t="s">
        <v>7</v>
      </c>
      <c r="F214" s="50" t="s">
        <v>836</v>
      </c>
      <c r="G214" s="45"/>
      <c r="H214" s="47"/>
      <c r="I214" s="47"/>
      <c r="J214" s="48"/>
      <c r="K214" s="48">
        <v>476834</v>
      </c>
      <c r="L214" s="48"/>
      <c r="M214" s="48">
        <v>0</v>
      </c>
      <c r="N214" s="48">
        <v>0</v>
      </c>
      <c r="O214" s="48">
        <v>0</v>
      </c>
      <c r="P214" s="48"/>
      <c r="Q214" s="48">
        <v>0</v>
      </c>
      <c r="R214" s="48">
        <f t="shared" si="8"/>
        <v>476834</v>
      </c>
      <c r="S214" s="48"/>
      <c r="T214" s="48">
        <v>500000</v>
      </c>
      <c r="U214" s="164">
        <f t="shared" si="9"/>
        <v>0.95366799999999996</v>
      </c>
      <c r="V214" s="45" t="s">
        <v>131</v>
      </c>
      <c r="W214" s="45" t="s">
        <v>132</v>
      </c>
      <c r="X214" s="45"/>
      <c r="Y214" s="45"/>
      <c r="AA214" s="228"/>
      <c r="AB214" s="228"/>
    </row>
    <row r="215" spans="1:28" ht="75">
      <c r="A215" s="44">
        <f t="shared" si="10"/>
        <v>208</v>
      </c>
      <c r="B215" s="44" t="s">
        <v>34</v>
      </c>
      <c r="C215" s="44" t="s">
        <v>427</v>
      </c>
      <c r="D215" s="45" t="s">
        <v>19</v>
      </c>
      <c r="E215" s="44" t="s">
        <v>7</v>
      </c>
      <c r="F215" s="50" t="s">
        <v>134</v>
      </c>
      <c r="G215" s="45" t="s">
        <v>255</v>
      </c>
      <c r="H215" s="47"/>
      <c r="I215" s="47"/>
      <c r="J215" s="48">
        <v>3.23</v>
      </c>
      <c r="K215" s="48">
        <v>19.120000000572311</v>
      </c>
      <c r="L215" s="48">
        <v>1165.3700000000003</v>
      </c>
      <c r="M215" s="48">
        <v>3370.3700000000003</v>
      </c>
      <c r="N215" s="48"/>
      <c r="O215" s="48">
        <v>0</v>
      </c>
      <c r="P215" s="48"/>
      <c r="Q215" s="48">
        <v>0</v>
      </c>
      <c r="R215" s="48">
        <f t="shared" ref="R215:R278" si="11">+K215+I215+H215+M215+O215+Q215</f>
        <v>3389.4900000005728</v>
      </c>
      <c r="S215" s="49"/>
      <c r="T215" s="48">
        <v>0</v>
      </c>
      <c r="U215" s="164" t="str">
        <f t="shared" ref="U215:U244" si="12">IF(T215=0,"",(R215)/T215)</f>
        <v/>
      </c>
      <c r="V215" s="45" t="s">
        <v>135</v>
      </c>
      <c r="W215" s="45" t="s">
        <v>51</v>
      </c>
      <c r="X215" s="45" t="s">
        <v>477</v>
      </c>
      <c r="Y215" s="45" t="s">
        <v>60</v>
      </c>
      <c r="AA215" s="228"/>
      <c r="AB215" s="228"/>
    </row>
    <row r="216" spans="1:28" ht="60">
      <c r="A216" s="44">
        <f t="shared" si="10"/>
        <v>209</v>
      </c>
      <c r="B216" s="44" t="s">
        <v>34</v>
      </c>
      <c r="C216" s="44">
        <v>2016</v>
      </c>
      <c r="D216" s="45" t="s">
        <v>362</v>
      </c>
      <c r="E216" s="44" t="s">
        <v>7</v>
      </c>
      <c r="F216" s="50" t="s">
        <v>392</v>
      </c>
      <c r="G216" s="45" t="s">
        <v>393</v>
      </c>
      <c r="H216" s="48"/>
      <c r="I216" s="48"/>
      <c r="J216" s="48">
        <v>249999.98</v>
      </c>
      <c r="K216" s="48">
        <v>249999.98</v>
      </c>
      <c r="L216" s="48"/>
      <c r="M216" s="48">
        <v>0</v>
      </c>
      <c r="N216" s="48"/>
      <c r="O216" s="48">
        <v>0</v>
      </c>
      <c r="P216" s="48"/>
      <c r="Q216" s="48">
        <v>0</v>
      </c>
      <c r="R216" s="48">
        <f t="shared" si="11"/>
        <v>249999.98</v>
      </c>
      <c r="S216" s="49">
        <v>250000</v>
      </c>
      <c r="T216" s="48">
        <v>250000</v>
      </c>
      <c r="U216" s="164">
        <f t="shared" si="12"/>
        <v>0.99999992000000004</v>
      </c>
      <c r="V216" s="45" t="s">
        <v>394</v>
      </c>
      <c r="W216" s="45" t="s">
        <v>51</v>
      </c>
      <c r="X216" s="45" t="s">
        <v>481</v>
      </c>
      <c r="Y216" s="45" t="s">
        <v>481</v>
      </c>
      <c r="AA216" s="228"/>
      <c r="AB216" s="228"/>
    </row>
    <row r="217" spans="1:28" ht="75">
      <c r="A217" s="44">
        <f t="shared" si="10"/>
        <v>210</v>
      </c>
      <c r="B217" s="45" t="s">
        <v>395</v>
      </c>
      <c r="C217" s="44">
        <v>2016</v>
      </c>
      <c r="D217" s="45" t="s">
        <v>396</v>
      </c>
      <c r="E217" s="44" t="s">
        <v>25</v>
      </c>
      <c r="F217" s="50" t="s">
        <v>397</v>
      </c>
      <c r="G217" s="45" t="s">
        <v>589</v>
      </c>
      <c r="H217" s="48">
        <v>0</v>
      </c>
      <c r="I217" s="48">
        <v>0</v>
      </c>
      <c r="J217" s="48">
        <v>0</v>
      </c>
      <c r="K217" s="48">
        <v>0</v>
      </c>
      <c r="L217" s="48">
        <v>9200000</v>
      </c>
      <c r="M217" s="48">
        <v>9200000</v>
      </c>
      <c r="N217" s="48"/>
      <c r="O217" s="48">
        <v>0</v>
      </c>
      <c r="P217" s="48"/>
      <c r="Q217" s="48">
        <v>0</v>
      </c>
      <c r="R217" s="48">
        <f t="shared" si="11"/>
        <v>9200000</v>
      </c>
      <c r="S217" s="49">
        <v>9200000</v>
      </c>
      <c r="T217" s="48">
        <v>9200000</v>
      </c>
      <c r="U217" s="164">
        <f t="shared" si="12"/>
        <v>1</v>
      </c>
      <c r="V217" s="45" t="s">
        <v>440</v>
      </c>
      <c r="W217" s="45" t="s">
        <v>440</v>
      </c>
      <c r="X217" s="45" t="s">
        <v>440</v>
      </c>
      <c r="Y217" s="45" t="s">
        <v>440</v>
      </c>
      <c r="AA217" s="228"/>
      <c r="AB217" s="228"/>
    </row>
    <row r="218" spans="1:28" ht="60">
      <c r="A218" s="44">
        <f t="shared" si="10"/>
        <v>211</v>
      </c>
      <c r="B218" s="45" t="s">
        <v>395</v>
      </c>
      <c r="C218" s="44">
        <v>2017</v>
      </c>
      <c r="D218" s="45" t="s">
        <v>396</v>
      </c>
      <c r="E218" s="44" t="s">
        <v>8</v>
      </c>
      <c r="F218" s="50" t="s">
        <v>398</v>
      </c>
      <c r="G218" s="45" t="s">
        <v>440</v>
      </c>
      <c r="H218" s="48">
        <v>0</v>
      </c>
      <c r="I218" s="48">
        <v>0</v>
      </c>
      <c r="J218" s="48">
        <v>0</v>
      </c>
      <c r="K218" s="48">
        <v>0</v>
      </c>
      <c r="L218" s="48">
        <v>382500</v>
      </c>
      <c r="M218" s="48">
        <v>382500</v>
      </c>
      <c r="N218" s="48"/>
      <c r="O218" s="48">
        <v>0</v>
      </c>
      <c r="P218" s="48"/>
      <c r="Q218" s="48">
        <v>0</v>
      </c>
      <c r="R218" s="48">
        <f t="shared" si="11"/>
        <v>382500</v>
      </c>
      <c r="S218" s="49">
        <v>382500</v>
      </c>
      <c r="T218" s="48">
        <v>382500</v>
      </c>
      <c r="U218" s="164">
        <f t="shared" si="12"/>
        <v>1</v>
      </c>
      <c r="V218" s="45" t="s">
        <v>440</v>
      </c>
      <c r="W218" s="45" t="s">
        <v>440</v>
      </c>
      <c r="X218" s="45" t="s">
        <v>440</v>
      </c>
      <c r="Y218" s="45" t="s">
        <v>440</v>
      </c>
      <c r="AA218" s="228"/>
      <c r="AB218" s="228"/>
    </row>
    <row r="219" spans="1:28" ht="60">
      <c r="A219" s="44">
        <f t="shared" si="10"/>
        <v>212</v>
      </c>
      <c r="B219" s="45" t="s">
        <v>395</v>
      </c>
      <c r="C219" s="44">
        <v>2017</v>
      </c>
      <c r="D219" s="45" t="s">
        <v>396</v>
      </c>
      <c r="E219" s="44" t="s">
        <v>28</v>
      </c>
      <c r="F219" s="50" t="s">
        <v>399</v>
      </c>
      <c r="G219" s="45" t="s">
        <v>590</v>
      </c>
      <c r="H219" s="48">
        <v>0</v>
      </c>
      <c r="I219" s="48">
        <v>0</v>
      </c>
      <c r="J219" s="48">
        <v>0</v>
      </c>
      <c r="K219" s="48">
        <v>0</v>
      </c>
      <c r="L219" s="48">
        <v>317500</v>
      </c>
      <c r="M219" s="48">
        <v>317500</v>
      </c>
      <c r="N219" s="48"/>
      <c r="O219" s="48">
        <v>0</v>
      </c>
      <c r="P219" s="48"/>
      <c r="Q219" s="48">
        <v>0</v>
      </c>
      <c r="R219" s="48">
        <f t="shared" si="11"/>
        <v>317500</v>
      </c>
      <c r="S219" s="49">
        <v>317500</v>
      </c>
      <c r="T219" s="48">
        <v>317500</v>
      </c>
      <c r="U219" s="164">
        <f t="shared" si="12"/>
        <v>1</v>
      </c>
      <c r="V219" s="45" t="s">
        <v>440</v>
      </c>
      <c r="W219" s="45" t="s">
        <v>440</v>
      </c>
      <c r="X219" s="45" t="s">
        <v>440</v>
      </c>
      <c r="Y219" s="45" t="s">
        <v>440</v>
      </c>
      <c r="AA219" s="228"/>
      <c r="AB219" s="228"/>
    </row>
    <row r="220" spans="1:28" ht="60">
      <c r="A220" s="44">
        <f t="shared" si="10"/>
        <v>213</v>
      </c>
      <c r="B220" s="45" t="s">
        <v>395</v>
      </c>
      <c r="C220" s="44">
        <v>2017</v>
      </c>
      <c r="D220" s="45" t="s">
        <v>396</v>
      </c>
      <c r="E220" s="44" t="s">
        <v>25</v>
      </c>
      <c r="F220" s="50" t="s">
        <v>400</v>
      </c>
      <c r="G220" s="45" t="s">
        <v>589</v>
      </c>
      <c r="H220" s="48">
        <v>0</v>
      </c>
      <c r="I220" s="48">
        <v>0</v>
      </c>
      <c r="J220" s="48">
        <v>0</v>
      </c>
      <c r="K220" s="48">
        <v>0</v>
      </c>
      <c r="L220" s="48">
        <v>6155000</v>
      </c>
      <c r="M220" s="48">
        <v>6155000</v>
      </c>
      <c r="N220" s="48"/>
      <c r="O220" s="48">
        <v>0</v>
      </c>
      <c r="P220" s="48"/>
      <c r="Q220" s="48">
        <v>0</v>
      </c>
      <c r="R220" s="48">
        <f t="shared" si="11"/>
        <v>6155000</v>
      </c>
      <c r="S220" s="49">
        <v>6155000</v>
      </c>
      <c r="T220" s="48">
        <v>6155100</v>
      </c>
      <c r="U220" s="164">
        <f t="shared" si="12"/>
        <v>0.99998375331026301</v>
      </c>
      <c r="V220" s="45" t="s">
        <v>440</v>
      </c>
      <c r="W220" s="45" t="s">
        <v>440</v>
      </c>
      <c r="X220" s="45" t="s">
        <v>440</v>
      </c>
      <c r="Y220" s="45" t="s">
        <v>440</v>
      </c>
      <c r="AA220" s="228"/>
      <c r="AB220" s="228"/>
    </row>
    <row r="221" spans="1:28" ht="90">
      <c r="A221" s="44">
        <f t="shared" si="10"/>
        <v>214</v>
      </c>
      <c r="B221" s="45" t="s">
        <v>395</v>
      </c>
      <c r="C221" s="44">
        <v>2017</v>
      </c>
      <c r="D221" s="45" t="s">
        <v>396</v>
      </c>
      <c r="E221" s="44" t="s">
        <v>25</v>
      </c>
      <c r="F221" s="50" t="s">
        <v>401</v>
      </c>
      <c r="G221" s="45" t="s">
        <v>589</v>
      </c>
      <c r="H221" s="48">
        <v>0</v>
      </c>
      <c r="I221" s="48">
        <v>0</v>
      </c>
      <c r="J221" s="48">
        <v>0</v>
      </c>
      <c r="K221" s="48">
        <v>0</v>
      </c>
      <c r="L221" s="48">
        <v>812500</v>
      </c>
      <c r="M221" s="48">
        <v>812500</v>
      </c>
      <c r="N221" s="48"/>
      <c r="O221" s="48">
        <v>0</v>
      </c>
      <c r="P221" s="48"/>
      <c r="Q221" s="48">
        <v>0</v>
      </c>
      <c r="R221" s="48">
        <f t="shared" si="11"/>
        <v>812500</v>
      </c>
      <c r="S221" s="49">
        <v>812500</v>
      </c>
      <c r="T221" s="48">
        <v>812500</v>
      </c>
      <c r="U221" s="164">
        <f t="shared" si="12"/>
        <v>1</v>
      </c>
      <c r="V221" s="45" t="s">
        <v>440</v>
      </c>
      <c r="W221" s="45" t="s">
        <v>440</v>
      </c>
      <c r="X221" s="45" t="s">
        <v>440</v>
      </c>
      <c r="Y221" s="45" t="s">
        <v>440</v>
      </c>
      <c r="AA221" s="228"/>
      <c r="AB221" s="228"/>
    </row>
    <row r="222" spans="1:28" ht="60">
      <c r="A222" s="44">
        <f t="shared" si="10"/>
        <v>215</v>
      </c>
      <c r="B222" s="45" t="s">
        <v>395</v>
      </c>
      <c r="C222" s="44">
        <v>2017</v>
      </c>
      <c r="D222" s="45" t="s">
        <v>396</v>
      </c>
      <c r="E222" s="44" t="s">
        <v>25</v>
      </c>
      <c r="F222" s="50" t="s">
        <v>402</v>
      </c>
      <c r="G222" s="45" t="s">
        <v>590</v>
      </c>
      <c r="H222" s="48">
        <v>0</v>
      </c>
      <c r="I222" s="48">
        <v>0</v>
      </c>
      <c r="J222" s="48">
        <v>0</v>
      </c>
      <c r="K222" s="48">
        <v>0</v>
      </c>
      <c r="L222" s="48">
        <f>265883+88627.5+88627.5+88627.5+88627.5+88627.5+88627.5+88627+88725</f>
        <v>975000</v>
      </c>
      <c r="M222" s="48">
        <v>975000</v>
      </c>
      <c r="N222" s="48"/>
      <c r="O222" s="48">
        <v>0</v>
      </c>
      <c r="P222" s="48"/>
      <c r="Q222" s="48">
        <v>0</v>
      </c>
      <c r="R222" s="48">
        <f t="shared" si="11"/>
        <v>975000</v>
      </c>
      <c r="S222" s="49">
        <v>975000</v>
      </c>
      <c r="T222" s="48">
        <v>975000</v>
      </c>
      <c r="U222" s="164">
        <f t="shared" si="12"/>
        <v>1</v>
      </c>
      <c r="V222" s="45" t="s">
        <v>440</v>
      </c>
      <c r="W222" s="45" t="s">
        <v>440</v>
      </c>
      <c r="X222" s="45" t="s">
        <v>440</v>
      </c>
      <c r="Y222" s="45" t="s">
        <v>440</v>
      </c>
      <c r="AA222" s="228"/>
      <c r="AB222" s="228"/>
    </row>
    <row r="223" spans="1:28" ht="60">
      <c r="A223" s="44">
        <f t="shared" si="10"/>
        <v>216</v>
      </c>
      <c r="B223" s="45" t="s">
        <v>395</v>
      </c>
      <c r="C223" s="44">
        <v>2017</v>
      </c>
      <c r="D223" s="45" t="s">
        <v>396</v>
      </c>
      <c r="E223" s="44" t="s">
        <v>25</v>
      </c>
      <c r="F223" s="50" t="s">
        <v>403</v>
      </c>
      <c r="G223" s="45" t="s">
        <v>440</v>
      </c>
      <c r="H223" s="48">
        <v>0</v>
      </c>
      <c r="I223" s="48">
        <v>0</v>
      </c>
      <c r="J223" s="48">
        <v>0</v>
      </c>
      <c r="K223" s="48">
        <v>0</v>
      </c>
      <c r="L223" s="48">
        <v>652500</v>
      </c>
      <c r="M223" s="48">
        <v>652500</v>
      </c>
      <c r="N223" s="48"/>
      <c r="O223" s="48">
        <v>0</v>
      </c>
      <c r="P223" s="48">
        <v>847500</v>
      </c>
      <c r="Q223" s="48">
        <v>847500</v>
      </c>
      <c r="R223" s="48">
        <f t="shared" si="11"/>
        <v>1500000</v>
      </c>
      <c r="S223" s="49">
        <v>1500000</v>
      </c>
      <c r="T223" s="48">
        <v>1500000</v>
      </c>
      <c r="U223" s="164">
        <f t="shared" si="12"/>
        <v>1</v>
      </c>
      <c r="V223" s="45" t="s">
        <v>440</v>
      </c>
      <c r="W223" s="45" t="s">
        <v>440</v>
      </c>
      <c r="X223" s="45" t="s">
        <v>440</v>
      </c>
      <c r="Y223" s="45" t="s">
        <v>440</v>
      </c>
      <c r="AA223" s="228"/>
      <c r="AB223" s="228"/>
    </row>
    <row r="224" spans="1:28" ht="30">
      <c r="A224" s="44">
        <f t="shared" si="10"/>
        <v>217</v>
      </c>
      <c r="B224" s="45" t="s">
        <v>395</v>
      </c>
      <c r="C224" s="44">
        <v>2017</v>
      </c>
      <c r="D224" s="45" t="s">
        <v>396</v>
      </c>
      <c r="E224" s="44" t="s">
        <v>28</v>
      </c>
      <c r="F224" s="50" t="s">
        <v>837</v>
      </c>
      <c r="G224" s="45"/>
      <c r="H224" s="48"/>
      <c r="I224" s="48"/>
      <c r="J224" s="48"/>
      <c r="K224" s="48">
        <v>0</v>
      </c>
      <c r="L224" s="48"/>
      <c r="M224" s="48">
        <v>975000</v>
      </c>
      <c r="N224" s="48"/>
      <c r="O224" s="48">
        <v>0</v>
      </c>
      <c r="P224" s="48"/>
      <c r="Q224" s="48">
        <v>316800</v>
      </c>
      <c r="R224" s="48">
        <f t="shared" si="11"/>
        <v>1291800</v>
      </c>
      <c r="S224" s="49"/>
      <c r="T224" s="48">
        <v>1292500</v>
      </c>
      <c r="U224" s="164">
        <f t="shared" si="12"/>
        <v>0.99945841392649903</v>
      </c>
      <c r="V224" s="45"/>
      <c r="W224" s="45"/>
      <c r="X224" s="45"/>
      <c r="Y224" s="45"/>
      <c r="AA224" s="228"/>
      <c r="AB224" s="228"/>
    </row>
    <row r="225" spans="1:28" ht="45">
      <c r="A225" s="44">
        <f t="shared" si="10"/>
        <v>218</v>
      </c>
      <c r="B225" s="45" t="s">
        <v>395</v>
      </c>
      <c r="C225" s="44">
        <v>2017</v>
      </c>
      <c r="D225" s="45" t="s">
        <v>396</v>
      </c>
      <c r="E225" s="44" t="s">
        <v>25</v>
      </c>
      <c r="F225" s="50" t="s">
        <v>838</v>
      </c>
      <c r="G225" s="45"/>
      <c r="H225" s="48"/>
      <c r="I225" s="48"/>
      <c r="J225" s="48"/>
      <c r="K225" s="48">
        <v>0</v>
      </c>
      <c r="L225" s="48"/>
      <c r="M225" s="48">
        <v>382500</v>
      </c>
      <c r="N225" s="48"/>
      <c r="O225" s="48">
        <v>812500</v>
      </c>
      <c r="P225" s="48"/>
      <c r="Q225" s="48">
        <v>0</v>
      </c>
      <c r="R225" s="48">
        <f t="shared" si="11"/>
        <v>1195000</v>
      </c>
      <c r="S225" s="49"/>
      <c r="T225" s="48">
        <v>1195000</v>
      </c>
      <c r="U225" s="164">
        <f t="shared" si="12"/>
        <v>1</v>
      </c>
      <c r="V225" s="45"/>
      <c r="W225" s="45"/>
      <c r="X225" s="45"/>
      <c r="Y225" s="45"/>
      <c r="AA225" s="228"/>
      <c r="AB225" s="228"/>
    </row>
    <row r="226" spans="1:28" ht="30">
      <c r="A226" s="44">
        <f t="shared" si="10"/>
        <v>219</v>
      </c>
      <c r="B226" s="45" t="s">
        <v>395</v>
      </c>
      <c r="C226" s="44">
        <v>2018</v>
      </c>
      <c r="D226" s="45" t="s">
        <v>649</v>
      </c>
      <c r="E226" s="44" t="s">
        <v>25</v>
      </c>
      <c r="F226" s="50" t="s">
        <v>650</v>
      </c>
      <c r="G226" s="45"/>
      <c r="H226" s="48"/>
      <c r="I226" s="48"/>
      <c r="J226" s="48"/>
      <c r="K226" s="48">
        <v>0</v>
      </c>
      <c r="L226" s="48"/>
      <c r="M226" s="48">
        <v>0</v>
      </c>
      <c r="N226" s="48">
        <v>1079892</v>
      </c>
      <c r="O226" s="48">
        <v>1079892</v>
      </c>
      <c r="P226" s="48">
        <v>1545108</v>
      </c>
      <c r="Q226" s="48">
        <v>1545108</v>
      </c>
      <c r="R226" s="48">
        <f t="shared" si="11"/>
        <v>2625000</v>
      </c>
      <c r="S226" s="49">
        <f>645000+1980000</f>
        <v>2625000</v>
      </c>
      <c r="T226" s="48">
        <v>2625000</v>
      </c>
      <c r="U226" s="164">
        <f t="shared" si="12"/>
        <v>1</v>
      </c>
      <c r="V226" s="45"/>
      <c r="W226" s="45"/>
      <c r="X226" s="45"/>
      <c r="Y226" s="45"/>
      <c r="AA226" s="228"/>
      <c r="AB226" s="228"/>
    </row>
    <row r="227" spans="1:28" ht="30">
      <c r="A227" s="44">
        <f t="shared" si="10"/>
        <v>220</v>
      </c>
      <c r="B227" s="45" t="s">
        <v>395</v>
      </c>
      <c r="C227" s="44">
        <v>2018</v>
      </c>
      <c r="D227" s="45" t="s">
        <v>649</v>
      </c>
      <c r="E227" s="44" t="s">
        <v>25</v>
      </c>
      <c r="F227" s="50" t="s">
        <v>651</v>
      </c>
      <c r="G227" s="45"/>
      <c r="H227" s="48"/>
      <c r="I227" s="48"/>
      <c r="J227" s="48"/>
      <c r="K227" s="48">
        <v>0</v>
      </c>
      <c r="L227" s="48"/>
      <c r="M227" s="48">
        <v>0</v>
      </c>
      <c r="N227" s="48">
        <v>1720000</v>
      </c>
      <c r="O227" s="48">
        <v>1720000</v>
      </c>
      <c r="P227" s="48"/>
      <c r="Q227" s="48">
        <v>0</v>
      </c>
      <c r="R227" s="48">
        <f t="shared" si="11"/>
        <v>1720000</v>
      </c>
      <c r="S227" s="49">
        <f>800000+350000+570000</f>
        <v>1720000</v>
      </c>
      <c r="T227" s="48">
        <v>1720000</v>
      </c>
      <c r="U227" s="164">
        <f t="shared" si="12"/>
        <v>1</v>
      </c>
      <c r="V227" s="45"/>
      <c r="W227" s="45"/>
      <c r="X227" s="45"/>
      <c r="Y227" s="45"/>
      <c r="AA227" s="228"/>
      <c r="AB227" s="228"/>
    </row>
    <row r="228" spans="1:28" ht="30">
      <c r="A228" s="44">
        <f t="shared" si="10"/>
        <v>221</v>
      </c>
      <c r="B228" s="45" t="s">
        <v>395</v>
      </c>
      <c r="C228" s="44">
        <v>2018</v>
      </c>
      <c r="D228" s="45" t="s">
        <v>649</v>
      </c>
      <c r="E228" s="44" t="s">
        <v>8</v>
      </c>
      <c r="F228" s="50" t="s">
        <v>652</v>
      </c>
      <c r="G228" s="45"/>
      <c r="H228" s="48"/>
      <c r="I228" s="48"/>
      <c r="J228" s="48"/>
      <c r="K228" s="48">
        <v>0</v>
      </c>
      <c r="L228" s="48"/>
      <c r="M228" s="48">
        <v>0</v>
      </c>
      <c r="N228" s="48">
        <v>780000</v>
      </c>
      <c r="O228" s="48">
        <v>780000</v>
      </c>
      <c r="P228" s="48"/>
      <c r="Q228" s="48">
        <v>0</v>
      </c>
      <c r="R228" s="48">
        <f t="shared" si="11"/>
        <v>780000</v>
      </c>
      <c r="S228" s="49">
        <v>780000</v>
      </c>
      <c r="T228" s="48">
        <v>780000</v>
      </c>
      <c r="U228" s="164">
        <f t="shared" si="12"/>
        <v>1</v>
      </c>
      <c r="V228" s="45"/>
      <c r="W228" s="45"/>
      <c r="X228" s="45"/>
      <c r="Y228" s="45"/>
      <c r="AA228" s="228"/>
      <c r="AB228" s="228"/>
    </row>
    <row r="229" spans="1:28" ht="30">
      <c r="A229" s="44">
        <f t="shared" si="10"/>
        <v>222</v>
      </c>
      <c r="B229" s="45" t="s">
        <v>395</v>
      </c>
      <c r="C229" s="44">
        <v>2018</v>
      </c>
      <c r="D229" s="45" t="s">
        <v>649</v>
      </c>
      <c r="E229" s="44" t="s">
        <v>25</v>
      </c>
      <c r="F229" s="50" t="s">
        <v>653</v>
      </c>
      <c r="G229" s="45"/>
      <c r="H229" s="48"/>
      <c r="I229" s="48"/>
      <c r="J229" s="48"/>
      <c r="K229" s="48">
        <v>0</v>
      </c>
      <c r="L229" s="48"/>
      <c r="M229" s="48">
        <v>0</v>
      </c>
      <c r="N229" s="48">
        <v>2387360</v>
      </c>
      <c r="O229" s="48">
        <v>2387360</v>
      </c>
      <c r="P229" s="48">
        <v>612640</v>
      </c>
      <c r="Q229" s="48">
        <v>612640</v>
      </c>
      <c r="R229" s="48">
        <f t="shared" si="11"/>
        <v>3000000</v>
      </c>
      <c r="S229" s="49">
        <v>3000000</v>
      </c>
      <c r="T229" s="48">
        <v>3000100</v>
      </c>
      <c r="U229" s="164">
        <f t="shared" si="12"/>
        <v>0.99996666777774079</v>
      </c>
      <c r="V229" s="45"/>
      <c r="W229" s="45"/>
      <c r="X229" s="45"/>
      <c r="Y229" s="45"/>
      <c r="AA229" s="228"/>
      <c r="AB229" s="228"/>
    </row>
    <row r="230" spans="1:28" ht="45">
      <c r="A230" s="44">
        <f t="shared" si="10"/>
        <v>223</v>
      </c>
      <c r="B230" s="45" t="s">
        <v>395</v>
      </c>
      <c r="C230" s="44">
        <v>2018</v>
      </c>
      <c r="D230" s="45" t="s">
        <v>649</v>
      </c>
      <c r="E230" s="44" t="s">
        <v>8</v>
      </c>
      <c r="F230" s="50" t="s">
        <v>654</v>
      </c>
      <c r="G230" s="45"/>
      <c r="H230" s="48"/>
      <c r="I230" s="48"/>
      <c r="J230" s="48"/>
      <c r="K230" s="48">
        <v>0</v>
      </c>
      <c r="L230" s="48"/>
      <c r="M230" s="48">
        <v>0</v>
      </c>
      <c r="N230" s="48">
        <v>65200</v>
      </c>
      <c r="O230" s="48">
        <v>65200</v>
      </c>
      <c r="P230" s="48">
        <v>539800</v>
      </c>
      <c r="Q230" s="48">
        <v>539800</v>
      </c>
      <c r="R230" s="48">
        <f t="shared" si="11"/>
        <v>605000</v>
      </c>
      <c r="S230" s="49">
        <f>455000+150000</f>
        <v>605000</v>
      </c>
      <c r="T230" s="48">
        <v>605000</v>
      </c>
      <c r="U230" s="164">
        <f t="shared" si="12"/>
        <v>1</v>
      </c>
      <c r="V230" s="45"/>
      <c r="W230" s="45"/>
      <c r="X230" s="45"/>
      <c r="Y230" s="45"/>
      <c r="AA230" s="228"/>
      <c r="AB230" s="228"/>
    </row>
    <row r="231" spans="1:28" ht="30">
      <c r="A231" s="44">
        <f t="shared" si="10"/>
        <v>224</v>
      </c>
      <c r="B231" s="45" t="s">
        <v>395</v>
      </c>
      <c r="C231" s="44">
        <v>2018</v>
      </c>
      <c r="D231" s="45" t="s">
        <v>866</v>
      </c>
      <c r="E231" s="44" t="s">
        <v>28</v>
      </c>
      <c r="F231" s="50" t="s">
        <v>750</v>
      </c>
      <c r="G231" s="45"/>
      <c r="H231" s="47"/>
      <c r="I231" s="47"/>
      <c r="J231" s="48"/>
      <c r="K231" s="48">
        <v>0</v>
      </c>
      <c r="L231" s="48"/>
      <c r="M231" s="48">
        <v>0</v>
      </c>
      <c r="N231" s="48"/>
      <c r="O231" s="48">
        <v>0</v>
      </c>
      <c r="P231" s="48">
        <v>4139600</v>
      </c>
      <c r="Q231" s="48">
        <v>4139600</v>
      </c>
      <c r="R231" s="48">
        <f t="shared" si="11"/>
        <v>4139600</v>
      </c>
      <c r="S231" s="49">
        <v>4139600</v>
      </c>
      <c r="T231" s="48">
        <v>4139600</v>
      </c>
      <c r="U231" s="164">
        <f t="shared" si="12"/>
        <v>1</v>
      </c>
      <c r="V231" s="45"/>
      <c r="W231" s="45"/>
      <c r="X231" s="44"/>
      <c r="Y231" s="45"/>
      <c r="AA231" s="228"/>
      <c r="AB231" s="228"/>
    </row>
    <row r="232" spans="1:28" ht="30">
      <c r="A232" s="44">
        <f t="shared" si="10"/>
        <v>225</v>
      </c>
      <c r="B232" s="45" t="s">
        <v>395</v>
      </c>
      <c r="C232" s="44">
        <v>2019</v>
      </c>
      <c r="D232" s="45" t="s">
        <v>866</v>
      </c>
      <c r="E232" s="44" t="s">
        <v>7</v>
      </c>
      <c r="F232" s="50" t="s">
        <v>744</v>
      </c>
      <c r="G232" s="45"/>
      <c r="H232" s="47"/>
      <c r="I232" s="47"/>
      <c r="J232" s="48"/>
      <c r="K232" s="48">
        <v>0</v>
      </c>
      <c r="L232" s="48"/>
      <c r="M232" s="48">
        <v>0</v>
      </c>
      <c r="N232" s="48"/>
      <c r="O232" s="48">
        <v>0</v>
      </c>
      <c r="P232" s="48"/>
      <c r="Q232" s="48">
        <v>0</v>
      </c>
      <c r="R232" s="48">
        <f t="shared" si="11"/>
        <v>0</v>
      </c>
      <c r="S232" s="49"/>
      <c r="T232" s="48">
        <v>100</v>
      </c>
      <c r="U232" s="164">
        <f t="shared" si="12"/>
        <v>0</v>
      </c>
      <c r="V232" s="45"/>
      <c r="W232" s="45"/>
      <c r="X232" s="44"/>
      <c r="Y232" s="45"/>
      <c r="AA232" s="228"/>
      <c r="AB232" s="228"/>
    </row>
    <row r="233" spans="1:28" ht="30">
      <c r="A233" s="44">
        <f t="shared" si="10"/>
        <v>226</v>
      </c>
      <c r="B233" s="45" t="s">
        <v>395</v>
      </c>
      <c r="C233" s="44">
        <v>2019</v>
      </c>
      <c r="D233" s="45" t="s">
        <v>866</v>
      </c>
      <c r="E233" s="44" t="s">
        <v>28</v>
      </c>
      <c r="F233" s="50" t="s">
        <v>746</v>
      </c>
      <c r="G233" s="45"/>
      <c r="H233" s="47"/>
      <c r="I233" s="47"/>
      <c r="J233" s="48"/>
      <c r="K233" s="48">
        <v>0</v>
      </c>
      <c r="L233" s="48"/>
      <c r="M233" s="48">
        <v>0</v>
      </c>
      <c r="N233" s="48"/>
      <c r="O233" s="48">
        <v>0</v>
      </c>
      <c r="P233" s="48">
        <v>647166</v>
      </c>
      <c r="Q233" s="48">
        <v>647166</v>
      </c>
      <c r="R233" s="48">
        <f t="shared" si="11"/>
        <v>647166</v>
      </c>
      <c r="S233" s="49">
        <v>675000</v>
      </c>
      <c r="T233" s="48">
        <v>675000</v>
      </c>
      <c r="U233" s="164">
        <f t="shared" si="12"/>
        <v>0.95876444444444442</v>
      </c>
      <c r="V233" s="45"/>
      <c r="W233" s="45"/>
      <c r="X233" s="44"/>
      <c r="Y233" s="45"/>
      <c r="AA233" s="228"/>
      <c r="AB233" s="228"/>
    </row>
    <row r="234" spans="1:28" ht="30">
      <c r="A234" s="44">
        <f t="shared" si="10"/>
        <v>227</v>
      </c>
      <c r="B234" s="45" t="s">
        <v>395</v>
      </c>
      <c r="C234" s="44">
        <v>2019</v>
      </c>
      <c r="D234" s="45" t="s">
        <v>866</v>
      </c>
      <c r="E234" s="44" t="s">
        <v>25</v>
      </c>
      <c r="F234" s="50" t="s">
        <v>747</v>
      </c>
      <c r="G234" s="45"/>
      <c r="H234" s="47"/>
      <c r="I234" s="47"/>
      <c r="J234" s="48"/>
      <c r="K234" s="48">
        <v>0</v>
      </c>
      <c r="L234" s="48"/>
      <c r="M234" s="48">
        <v>0</v>
      </c>
      <c r="N234" s="48"/>
      <c r="O234" s="48">
        <v>0</v>
      </c>
      <c r="P234" s="48">
        <v>1574736</v>
      </c>
      <c r="Q234" s="48">
        <v>1574736</v>
      </c>
      <c r="R234" s="48">
        <f t="shared" si="11"/>
        <v>1574736</v>
      </c>
      <c r="S234" s="49">
        <v>1750000</v>
      </c>
      <c r="T234" s="48">
        <v>1750000</v>
      </c>
      <c r="U234" s="164">
        <f t="shared" si="12"/>
        <v>0.8998491428571429</v>
      </c>
      <c r="V234" s="45"/>
      <c r="W234" s="45"/>
      <c r="X234" s="44"/>
      <c r="Y234" s="45"/>
      <c r="AA234" s="228"/>
      <c r="AB234" s="228"/>
    </row>
    <row r="235" spans="1:28" ht="30">
      <c r="A235" s="44">
        <f t="shared" si="10"/>
        <v>228</v>
      </c>
      <c r="B235" s="45" t="s">
        <v>395</v>
      </c>
      <c r="C235" s="44">
        <v>2019</v>
      </c>
      <c r="D235" s="45" t="s">
        <v>866</v>
      </c>
      <c r="E235" s="44" t="s">
        <v>25</v>
      </c>
      <c r="F235" s="50" t="s">
        <v>875</v>
      </c>
      <c r="G235" s="45"/>
      <c r="H235" s="47"/>
      <c r="I235" s="47"/>
      <c r="J235" s="48"/>
      <c r="K235" s="48">
        <v>0</v>
      </c>
      <c r="L235" s="48"/>
      <c r="M235" s="48">
        <v>0</v>
      </c>
      <c r="N235" s="48"/>
      <c r="O235" s="48">
        <v>0</v>
      </c>
      <c r="P235" s="48">
        <v>88797</v>
      </c>
      <c r="Q235" s="48">
        <v>88797</v>
      </c>
      <c r="R235" s="48">
        <f t="shared" si="11"/>
        <v>88797</v>
      </c>
      <c r="S235" s="49">
        <v>705000</v>
      </c>
      <c r="T235" s="48">
        <v>705000</v>
      </c>
      <c r="U235" s="164">
        <f t="shared" si="12"/>
        <v>0.12595319148936171</v>
      </c>
      <c r="V235" s="45"/>
      <c r="W235" s="45"/>
      <c r="X235" s="44"/>
      <c r="Y235" s="45"/>
      <c r="AA235" s="228"/>
      <c r="AB235" s="228"/>
    </row>
    <row r="236" spans="1:28" ht="30">
      <c r="A236" s="44">
        <f t="shared" si="10"/>
        <v>229</v>
      </c>
      <c r="B236" s="45" t="s">
        <v>395</v>
      </c>
      <c r="C236" s="44">
        <v>2019</v>
      </c>
      <c r="D236" s="45" t="s">
        <v>866</v>
      </c>
      <c r="E236" s="44" t="s">
        <v>25</v>
      </c>
      <c r="F236" s="50" t="s">
        <v>748</v>
      </c>
      <c r="G236" s="45"/>
      <c r="H236" s="47"/>
      <c r="I236" s="47"/>
      <c r="J236" s="48"/>
      <c r="K236" s="48">
        <v>0</v>
      </c>
      <c r="L236" s="48"/>
      <c r="M236" s="48">
        <v>0</v>
      </c>
      <c r="N236" s="48"/>
      <c r="O236" s="48">
        <v>0</v>
      </c>
      <c r="P236" s="48"/>
      <c r="Q236" s="48">
        <v>0</v>
      </c>
      <c r="R236" s="48">
        <f t="shared" si="11"/>
        <v>0</v>
      </c>
      <c r="S236" s="49">
        <v>50000</v>
      </c>
      <c r="T236" s="48">
        <v>50000</v>
      </c>
      <c r="U236" s="164">
        <f t="shared" si="12"/>
        <v>0</v>
      </c>
      <c r="V236" s="45"/>
      <c r="W236" s="45"/>
      <c r="X236" s="44"/>
      <c r="Y236" s="45"/>
      <c r="AA236" s="228"/>
      <c r="AB236" s="228"/>
    </row>
    <row r="237" spans="1:28" ht="30">
      <c r="A237" s="44">
        <f t="shared" si="10"/>
        <v>230</v>
      </c>
      <c r="B237" s="45" t="s">
        <v>395</v>
      </c>
      <c r="C237" s="44">
        <v>2019</v>
      </c>
      <c r="D237" s="45" t="s">
        <v>866</v>
      </c>
      <c r="E237" s="44" t="s">
        <v>25</v>
      </c>
      <c r="F237" s="50" t="s">
        <v>749</v>
      </c>
      <c r="G237" s="45"/>
      <c r="H237" s="47"/>
      <c r="I237" s="47"/>
      <c r="J237" s="48"/>
      <c r="K237" s="48">
        <v>0</v>
      </c>
      <c r="L237" s="48"/>
      <c r="M237" s="48">
        <v>0</v>
      </c>
      <c r="N237" s="48"/>
      <c r="O237" s="48">
        <v>0</v>
      </c>
      <c r="P237" s="48"/>
      <c r="Q237" s="48">
        <v>0</v>
      </c>
      <c r="R237" s="48">
        <f t="shared" si="11"/>
        <v>0</v>
      </c>
      <c r="S237" s="49">
        <v>50000</v>
      </c>
      <c r="T237" s="48">
        <v>50000</v>
      </c>
      <c r="U237" s="164">
        <f t="shared" si="12"/>
        <v>0</v>
      </c>
      <c r="V237" s="45"/>
      <c r="W237" s="45"/>
      <c r="X237" s="44"/>
      <c r="Y237" s="45"/>
      <c r="AA237" s="228"/>
      <c r="AB237" s="228"/>
    </row>
    <row r="238" spans="1:28" ht="75">
      <c r="A238" s="44">
        <f t="shared" si="10"/>
        <v>231</v>
      </c>
      <c r="B238" s="44" t="s">
        <v>35</v>
      </c>
      <c r="C238" s="44" t="s">
        <v>427</v>
      </c>
      <c r="D238" s="45" t="s">
        <v>19</v>
      </c>
      <c r="E238" s="44" t="s">
        <v>7</v>
      </c>
      <c r="F238" s="50" t="s">
        <v>136</v>
      </c>
      <c r="G238" s="45"/>
      <c r="H238" s="47"/>
      <c r="I238" s="47"/>
      <c r="J238" s="48" t="s">
        <v>137</v>
      </c>
      <c r="K238" s="48">
        <v>3131</v>
      </c>
      <c r="L238" s="48"/>
      <c r="M238" s="48">
        <v>0</v>
      </c>
      <c r="N238" s="48"/>
      <c r="O238" s="48">
        <v>0</v>
      </c>
      <c r="P238" s="48"/>
      <c r="Q238" s="48">
        <v>0</v>
      </c>
      <c r="R238" s="48">
        <f t="shared" si="11"/>
        <v>3131</v>
      </c>
      <c r="S238" s="49"/>
      <c r="T238" s="48">
        <v>0</v>
      </c>
      <c r="U238" s="164" t="str">
        <f t="shared" si="12"/>
        <v/>
      </c>
      <c r="V238" s="45" t="s">
        <v>138</v>
      </c>
      <c r="W238" s="45" t="s">
        <v>51</v>
      </c>
      <c r="X238" s="45" t="s">
        <v>139</v>
      </c>
      <c r="Y238" s="45" t="s">
        <v>60</v>
      </c>
      <c r="AA238" s="228"/>
      <c r="AB238" s="228"/>
    </row>
    <row r="239" spans="1:28" ht="105">
      <c r="A239" s="44">
        <f t="shared" si="10"/>
        <v>232</v>
      </c>
      <c r="B239" s="44" t="s">
        <v>36</v>
      </c>
      <c r="C239" s="44">
        <v>2016</v>
      </c>
      <c r="D239" s="45" t="s">
        <v>43</v>
      </c>
      <c r="E239" s="44" t="s">
        <v>7</v>
      </c>
      <c r="F239" s="50" t="s">
        <v>140</v>
      </c>
      <c r="G239" s="45"/>
      <c r="H239" s="47"/>
      <c r="I239" s="47"/>
      <c r="J239" s="48">
        <v>7042.7</v>
      </c>
      <c r="K239" s="48">
        <v>7042.7</v>
      </c>
      <c r="L239" s="48">
        <v>2000.73</v>
      </c>
      <c r="M239" s="48">
        <v>2000.73</v>
      </c>
      <c r="N239" s="48"/>
      <c r="O239" s="48">
        <v>0</v>
      </c>
      <c r="P239" s="48"/>
      <c r="Q239" s="48">
        <v>0</v>
      </c>
      <c r="R239" s="48">
        <f t="shared" si="11"/>
        <v>9043.43</v>
      </c>
      <c r="S239" s="49">
        <v>100000</v>
      </c>
      <c r="T239" s="48">
        <v>100000</v>
      </c>
      <c r="U239" s="164">
        <f t="shared" si="12"/>
        <v>9.0434300000000009E-2</v>
      </c>
      <c r="V239" s="45" t="s">
        <v>141</v>
      </c>
      <c r="W239" s="45" t="s">
        <v>234</v>
      </c>
      <c r="X239" s="45" t="s">
        <v>217</v>
      </c>
      <c r="Y239" s="45"/>
      <c r="AA239" s="228"/>
      <c r="AB239" s="228"/>
    </row>
    <row r="240" spans="1:28" ht="105">
      <c r="A240" s="44">
        <f t="shared" si="10"/>
        <v>233</v>
      </c>
      <c r="B240" s="44" t="s">
        <v>36</v>
      </c>
      <c r="C240" s="44">
        <v>2016</v>
      </c>
      <c r="D240" s="45" t="s">
        <v>353</v>
      </c>
      <c r="E240" s="44" t="s">
        <v>7</v>
      </c>
      <c r="F240" s="50" t="s">
        <v>352</v>
      </c>
      <c r="G240" s="45"/>
      <c r="H240" s="47"/>
      <c r="I240" s="47"/>
      <c r="J240" s="48"/>
      <c r="K240" s="48">
        <v>964330.98</v>
      </c>
      <c r="L240" s="48"/>
      <c r="M240" s="48">
        <v>0</v>
      </c>
      <c r="N240" s="48"/>
      <c r="O240" s="48">
        <v>0</v>
      </c>
      <c r="P240" s="48"/>
      <c r="Q240" s="48">
        <v>0</v>
      </c>
      <c r="R240" s="48">
        <f t="shared" si="11"/>
        <v>964330.98</v>
      </c>
      <c r="S240" s="49"/>
      <c r="T240" s="48">
        <v>0</v>
      </c>
      <c r="U240" s="164" t="str">
        <f t="shared" si="12"/>
        <v/>
      </c>
      <c r="V240" s="45" t="s">
        <v>142</v>
      </c>
      <c r="W240" s="45" t="s">
        <v>51</v>
      </c>
      <c r="X240" s="45" t="s">
        <v>546</v>
      </c>
      <c r="Y240" s="45" t="s">
        <v>230</v>
      </c>
      <c r="AA240" s="228"/>
      <c r="AB240" s="228"/>
    </row>
    <row r="241" spans="1:28" ht="105">
      <c r="A241" s="44">
        <f t="shared" si="10"/>
        <v>234</v>
      </c>
      <c r="B241" s="44" t="s">
        <v>36</v>
      </c>
      <c r="C241" s="44">
        <v>2017</v>
      </c>
      <c r="D241" s="45" t="s">
        <v>353</v>
      </c>
      <c r="E241" s="44" t="s">
        <v>7</v>
      </c>
      <c r="F241" s="50" t="s">
        <v>352</v>
      </c>
      <c r="G241" s="45"/>
      <c r="H241" s="47"/>
      <c r="I241" s="47"/>
      <c r="J241" s="48"/>
      <c r="K241" s="48">
        <v>0</v>
      </c>
      <c r="L241" s="48"/>
      <c r="M241" s="48">
        <v>51023.31</v>
      </c>
      <c r="N241" s="48"/>
      <c r="O241" s="48">
        <v>0</v>
      </c>
      <c r="P241" s="48"/>
      <c r="Q241" s="48">
        <v>0</v>
      </c>
      <c r="R241" s="48">
        <f t="shared" si="11"/>
        <v>51023.31</v>
      </c>
      <c r="S241" s="49"/>
      <c r="T241" s="48">
        <v>0</v>
      </c>
      <c r="U241" s="164" t="str">
        <f t="shared" si="12"/>
        <v/>
      </c>
      <c r="V241" s="45" t="s">
        <v>142</v>
      </c>
      <c r="W241" s="45" t="s">
        <v>51</v>
      </c>
      <c r="X241" s="45" t="s">
        <v>640</v>
      </c>
      <c r="Y241" s="45" t="s">
        <v>230</v>
      </c>
      <c r="AA241" s="228"/>
      <c r="AB241" s="228"/>
    </row>
    <row r="242" spans="1:28" ht="75">
      <c r="A242" s="44">
        <f t="shared" si="10"/>
        <v>235</v>
      </c>
      <c r="B242" s="44" t="s">
        <v>36</v>
      </c>
      <c r="C242" s="44">
        <v>2016</v>
      </c>
      <c r="D242" s="45" t="s">
        <v>353</v>
      </c>
      <c r="E242" s="44" t="s">
        <v>7</v>
      </c>
      <c r="F242" s="50" t="s">
        <v>216</v>
      </c>
      <c r="G242" s="45" t="s">
        <v>273</v>
      </c>
      <c r="H242" s="47"/>
      <c r="I242" s="47"/>
      <c r="J242" s="48"/>
      <c r="K242" s="48">
        <v>725140.95</v>
      </c>
      <c r="L242" s="48"/>
      <c r="M242" s="48">
        <v>0</v>
      </c>
      <c r="N242" s="48"/>
      <c r="O242" s="48">
        <v>0</v>
      </c>
      <c r="P242" s="48"/>
      <c r="Q242" s="48">
        <v>0</v>
      </c>
      <c r="R242" s="48">
        <f t="shared" si="11"/>
        <v>725140.95</v>
      </c>
      <c r="S242" s="49"/>
      <c r="T242" s="48">
        <v>0</v>
      </c>
      <c r="U242" s="164" t="str">
        <f t="shared" si="12"/>
        <v/>
      </c>
      <c r="V242" s="45" t="s">
        <v>218</v>
      </c>
      <c r="W242" s="45" t="s">
        <v>51</v>
      </c>
      <c r="X242" s="45" t="s">
        <v>219</v>
      </c>
      <c r="Y242" s="45" t="s">
        <v>231</v>
      </c>
      <c r="AA242" s="228"/>
      <c r="AB242" s="228"/>
    </row>
    <row r="243" spans="1:28" ht="75">
      <c r="A243" s="44">
        <f t="shared" si="10"/>
        <v>236</v>
      </c>
      <c r="B243" s="44" t="s">
        <v>36</v>
      </c>
      <c r="C243" s="44">
        <v>2017</v>
      </c>
      <c r="D243" s="45" t="s">
        <v>353</v>
      </c>
      <c r="E243" s="44" t="s">
        <v>7</v>
      </c>
      <c r="F243" s="50" t="s">
        <v>216</v>
      </c>
      <c r="G243" s="45" t="s">
        <v>273</v>
      </c>
      <c r="H243" s="47"/>
      <c r="I243" s="47">
        <v>0</v>
      </c>
      <c r="J243" s="48"/>
      <c r="K243" s="48">
        <v>0</v>
      </c>
      <c r="L243" s="48"/>
      <c r="M243" s="48">
        <v>667709.65999999992</v>
      </c>
      <c r="N243" s="48"/>
      <c r="O243" s="48">
        <v>0</v>
      </c>
      <c r="P243" s="48"/>
      <c r="Q243" s="48">
        <v>0</v>
      </c>
      <c r="R243" s="48">
        <f t="shared" si="11"/>
        <v>667709.65999999992</v>
      </c>
      <c r="S243" s="49"/>
      <c r="T243" s="48">
        <v>0</v>
      </c>
      <c r="U243" s="164" t="str">
        <f t="shared" si="12"/>
        <v/>
      </c>
      <c r="V243" s="45" t="s">
        <v>218</v>
      </c>
      <c r="W243" s="45" t="s">
        <v>51</v>
      </c>
      <c r="X243" s="45" t="s">
        <v>219</v>
      </c>
      <c r="Y243" s="45" t="s">
        <v>231</v>
      </c>
      <c r="AA243" s="228"/>
      <c r="AB243" s="228"/>
    </row>
    <row r="244" spans="1:28" ht="75">
      <c r="A244" s="44">
        <f t="shared" si="10"/>
        <v>237</v>
      </c>
      <c r="B244" s="44" t="s">
        <v>36</v>
      </c>
      <c r="C244" s="44">
        <v>2018</v>
      </c>
      <c r="D244" s="45" t="s">
        <v>353</v>
      </c>
      <c r="E244" s="44" t="s">
        <v>7</v>
      </c>
      <c r="F244" s="50" t="s">
        <v>216</v>
      </c>
      <c r="G244" s="45"/>
      <c r="H244" s="47"/>
      <c r="I244" s="47">
        <v>0</v>
      </c>
      <c r="J244" s="48"/>
      <c r="K244" s="48">
        <v>0</v>
      </c>
      <c r="L244" s="48"/>
      <c r="M244" s="48">
        <v>0</v>
      </c>
      <c r="N244" s="48"/>
      <c r="O244" s="48">
        <v>21789.49</v>
      </c>
      <c r="P244" s="48"/>
      <c r="Q244" s="48">
        <v>0</v>
      </c>
      <c r="R244" s="48">
        <f t="shared" si="11"/>
        <v>21789.49</v>
      </c>
      <c r="S244" s="49"/>
      <c r="T244" s="48">
        <v>0</v>
      </c>
      <c r="U244" s="164" t="str">
        <f t="shared" si="12"/>
        <v/>
      </c>
      <c r="V244" s="45" t="s">
        <v>218</v>
      </c>
      <c r="W244" s="45" t="s">
        <v>51</v>
      </c>
      <c r="X244" s="45" t="s">
        <v>219</v>
      </c>
      <c r="Y244" s="45" t="s">
        <v>231</v>
      </c>
      <c r="AA244" s="228"/>
      <c r="AB244" s="228"/>
    </row>
    <row r="245" spans="1:28" ht="75">
      <c r="A245" s="44">
        <f t="shared" si="10"/>
        <v>238</v>
      </c>
      <c r="B245" s="44" t="s">
        <v>36</v>
      </c>
      <c r="C245" s="44">
        <v>2019</v>
      </c>
      <c r="D245" s="45" t="s">
        <v>353</v>
      </c>
      <c r="E245" s="44" t="s">
        <v>7</v>
      </c>
      <c r="F245" s="50" t="s">
        <v>216</v>
      </c>
      <c r="G245" s="45"/>
      <c r="H245" s="47"/>
      <c r="I245" s="47"/>
      <c r="J245" s="48"/>
      <c r="K245" s="48">
        <v>0</v>
      </c>
      <c r="L245" s="48"/>
      <c r="M245" s="48">
        <v>0</v>
      </c>
      <c r="N245" s="48"/>
      <c r="O245" s="48">
        <v>0</v>
      </c>
      <c r="P245" s="48"/>
      <c r="Q245" s="48">
        <v>65005.33</v>
      </c>
      <c r="R245" s="48">
        <f t="shared" si="11"/>
        <v>65005.33</v>
      </c>
      <c r="S245" s="49"/>
      <c r="T245" s="48">
        <v>0</v>
      </c>
      <c r="U245" s="164"/>
      <c r="V245" s="288" t="s">
        <v>218</v>
      </c>
      <c r="W245" s="45" t="s">
        <v>51</v>
      </c>
      <c r="X245" s="45" t="s">
        <v>219</v>
      </c>
      <c r="Y245" s="45" t="s">
        <v>231</v>
      </c>
      <c r="AA245" s="228"/>
      <c r="AB245" s="228"/>
    </row>
    <row r="246" spans="1:28" ht="45">
      <c r="A246" s="44">
        <f t="shared" si="10"/>
        <v>239</v>
      </c>
      <c r="B246" s="44" t="s">
        <v>36</v>
      </c>
      <c r="C246" s="44">
        <v>2017</v>
      </c>
      <c r="D246" s="45" t="s">
        <v>353</v>
      </c>
      <c r="E246" s="44" t="s">
        <v>7</v>
      </c>
      <c r="F246" s="50" t="s">
        <v>731</v>
      </c>
      <c r="G246" s="45"/>
      <c r="H246" s="47"/>
      <c r="I246" s="47">
        <v>0</v>
      </c>
      <c r="J246" s="48"/>
      <c r="K246" s="48">
        <v>0</v>
      </c>
      <c r="L246" s="48"/>
      <c r="M246" s="48">
        <v>346536.72</v>
      </c>
      <c r="N246" s="48"/>
      <c r="O246" s="48">
        <v>0</v>
      </c>
      <c r="P246" s="48"/>
      <c r="Q246" s="48">
        <v>0</v>
      </c>
      <c r="R246" s="48">
        <f t="shared" si="11"/>
        <v>346536.72</v>
      </c>
      <c r="S246" s="49"/>
      <c r="T246" s="48">
        <v>0</v>
      </c>
      <c r="U246" s="164" t="str">
        <f t="shared" ref="U246:U277" si="13">IF(T246=0,"",(R246)/T246)</f>
        <v/>
      </c>
      <c r="V246" s="288" t="s">
        <v>637</v>
      </c>
      <c r="W246" s="45" t="s">
        <v>446</v>
      </c>
      <c r="X246" s="45"/>
      <c r="Y246" s="45"/>
      <c r="AA246" s="228"/>
      <c r="AB246" s="228"/>
    </row>
    <row r="247" spans="1:28" ht="45">
      <c r="A247" s="44">
        <f t="shared" si="10"/>
        <v>240</v>
      </c>
      <c r="B247" s="44" t="s">
        <v>36</v>
      </c>
      <c r="C247" s="44">
        <v>2016</v>
      </c>
      <c r="D247" s="45" t="s">
        <v>362</v>
      </c>
      <c r="E247" s="44" t="s">
        <v>7</v>
      </c>
      <c r="F247" s="50" t="s">
        <v>731</v>
      </c>
      <c r="G247" s="45"/>
      <c r="H247" s="47"/>
      <c r="I247" s="47">
        <v>0</v>
      </c>
      <c r="J247" s="48">
        <v>2292069.36</v>
      </c>
      <c r="K247" s="48">
        <v>2292069.36</v>
      </c>
      <c r="L247" s="48">
        <v>3707930.64</v>
      </c>
      <c r="M247" s="48">
        <v>3707930.64</v>
      </c>
      <c r="N247" s="48"/>
      <c r="O247" s="48">
        <v>0</v>
      </c>
      <c r="P247" s="48"/>
      <c r="Q247" s="48">
        <v>0</v>
      </c>
      <c r="R247" s="48">
        <f t="shared" si="11"/>
        <v>6000000</v>
      </c>
      <c r="S247" s="49">
        <v>6000000</v>
      </c>
      <c r="T247" s="48">
        <v>6000000</v>
      </c>
      <c r="U247" s="164">
        <f t="shared" si="13"/>
        <v>1</v>
      </c>
      <c r="V247" s="288" t="s">
        <v>637</v>
      </c>
      <c r="W247" s="45" t="s">
        <v>446</v>
      </c>
      <c r="X247" s="45"/>
      <c r="Y247" s="45"/>
      <c r="AA247" s="228"/>
      <c r="AB247" s="228"/>
    </row>
    <row r="248" spans="1:28">
      <c r="A248" s="44">
        <f t="shared" si="10"/>
        <v>241</v>
      </c>
      <c r="B248" s="44" t="s">
        <v>36</v>
      </c>
      <c r="C248" s="44">
        <v>2016</v>
      </c>
      <c r="D248" s="45" t="s">
        <v>353</v>
      </c>
      <c r="E248" s="44" t="s">
        <v>8</v>
      </c>
      <c r="F248" s="50" t="s">
        <v>547</v>
      </c>
      <c r="G248" s="45"/>
      <c r="H248" s="47"/>
      <c r="I248" s="47"/>
      <c r="J248" s="48"/>
      <c r="K248" s="48">
        <v>8463.5</v>
      </c>
      <c r="L248" s="48"/>
      <c r="M248" s="48">
        <v>0</v>
      </c>
      <c r="N248" s="48"/>
      <c r="O248" s="48">
        <v>0</v>
      </c>
      <c r="P248" s="48"/>
      <c r="Q248" s="48">
        <v>0</v>
      </c>
      <c r="R248" s="48">
        <f t="shared" si="11"/>
        <v>8463.5</v>
      </c>
      <c r="S248" s="49"/>
      <c r="T248" s="48">
        <v>0</v>
      </c>
      <c r="U248" s="164" t="str">
        <f t="shared" si="13"/>
        <v/>
      </c>
      <c r="V248" s="45"/>
      <c r="W248" s="45"/>
      <c r="X248" s="45"/>
      <c r="Y248" s="45"/>
      <c r="AA248" s="228"/>
      <c r="AB248" s="228"/>
    </row>
    <row r="249" spans="1:28">
      <c r="A249" s="44">
        <f t="shared" si="10"/>
        <v>242</v>
      </c>
      <c r="B249" s="44" t="s">
        <v>36</v>
      </c>
      <c r="C249" s="44">
        <v>2016</v>
      </c>
      <c r="D249" s="45" t="s">
        <v>353</v>
      </c>
      <c r="E249" s="44" t="s">
        <v>7</v>
      </c>
      <c r="F249" s="50" t="s">
        <v>548</v>
      </c>
      <c r="G249" s="45"/>
      <c r="H249" s="47"/>
      <c r="I249" s="47"/>
      <c r="J249" s="48"/>
      <c r="K249" s="48">
        <v>792870.40999999992</v>
      </c>
      <c r="L249" s="48"/>
      <c r="M249" s="48">
        <v>0</v>
      </c>
      <c r="N249" s="48"/>
      <c r="O249" s="48">
        <v>0</v>
      </c>
      <c r="P249" s="48"/>
      <c r="Q249" s="48">
        <v>0</v>
      </c>
      <c r="R249" s="48">
        <f t="shared" si="11"/>
        <v>792870.40999999992</v>
      </c>
      <c r="S249" s="49"/>
      <c r="T249" s="48">
        <v>0</v>
      </c>
      <c r="U249" s="164" t="str">
        <f t="shared" si="13"/>
        <v/>
      </c>
      <c r="V249" s="45"/>
      <c r="W249" s="45"/>
      <c r="X249" s="45"/>
      <c r="Y249" s="45"/>
      <c r="AA249" s="228"/>
      <c r="AB249" s="228"/>
    </row>
    <row r="250" spans="1:28">
      <c r="A250" s="44">
        <f t="shared" si="10"/>
        <v>243</v>
      </c>
      <c r="B250" s="44" t="s">
        <v>36</v>
      </c>
      <c r="C250" s="44">
        <v>2016</v>
      </c>
      <c r="D250" s="45" t="s">
        <v>353</v>
      </c>
      <c r="E250" s="44" t="s">
        <v>7</v>
      </c>
      <c r="F250" s="50" t="s">
        <v>549</v>
      </c>
      <c r="G250" s="45"/>
      <c r="H250" s="47"/>
      <c r="I250" s="47"/>
      <c r="J250" s="48"/>
      <c r="K250" s="48">
        <v>2487746.83</v>
      </c>
      <c r="L250" s="48"/>
      <c r="M250" s="48">
        <v>0</v>
      </c>
      <c r="N250" s="48"/>
      <c r="O250" s="48">
        <v>0</v>
      </c>
      <c r="P250" s="48"/>
      <c r="Q250" s="48">
        <v>0</v>
      </c>
      <c r="R250" s="48">
        <f t="shared" si="11"/>
        <v>2487746.83</v>
      </c>
      <c r="S250" s="49"/>
      <c r="T250" s="48">
        <v>0</v>
      </c>
      <c r="U250" s="164" t="str">
        <f t="shared" si="13"/>
        <v/>
      </c>
      <c r="V250" s="45"/>
      <c r="W250" s="45"/>
      <c r="X250" s="45"/>
      <c r="Y250" s="45"/>
      <c r="AA250" s="228"/>
      <c r="AB250" s="228"/>
    </row>
    <row r="251" spans="1:28">
      <c r="A251" s="44">
        <f t="shared" si="10"/>
        <v>244</v>
      </c>
      <c r="B251" s="44" t="s">
        <v>36</v>
      </c>
      <c r="C251" s="44">
        <v>2016</v>
      </c>
      <c r="D251" s="45" t="s">
        <v>353</v>
      </c>
      <c r="E251" s="44" t="s">
        <v>7</v>
      </c>
      <c r="F251" s="50" t="s">
        <v>550</v>
      </c>
      <c r="G251" s="45"/>
      <c r="H251" s="47"/>
      <c r="I251" s="47"/>
      <c r="J251" s="48"/>
      <c r="K251" s="48">
        <v>755148.73</v>
      </c>
      <c r="L251" s="48"/>
      <c r="M251" s="48">
        <v>0</v>
      </c>
      <c r="N251" s="48"/>
      <c r="O251" s="48">
        <v>0</v>
      </c>
      <c r="P251" s="48"/>
      <c r="Q251" s="48">
        <v>0</v>
      </c>
      <c r="R251" s="48">
        <f t="shared" si="11"/>
        <v>755148.73</v>
      </c>
      <c r="S251" s="49"/>
      <c r="T251" s="48">
        <v>0</v>
      </c>
      <c r="U251" s="164" t="str">
        <f t="shared" si="13"/>
        <v/>
      </c>
      <c r="V251" s="45"/>
      <c r="W251" s="45"/>
      <c r="X251" s="45"/>
      <c r="Y251" s="45"/>
      <c r="AA251" s="228"/>
      <c r="AB251" s="228"/>
    </row>
    <row r="252" spans="1:28">
      <c r="A252" s="44">
        <f t="shared" si="10"/>
        <v>245</v>
      </c>
      <c r="B252" s="44" t="s">
        <v>36</v>
      </c>
      <c r="C252" s="44">
        <v>2016</v>
      </c>
      <c r="D252" s="45" t="s">
        <v>353</v>
      </c>
      <c r="E252" s="44" t="s">
        <v>7</v>
      </c>
      <c r="F252" s="50" t="s">
        <v>551</v>
      </c>
      <c r="G252" s="45"/>
      <c r="H252" s="47"/>
      <c r="I252" s="47"/>
      <c r="J252" s="48"/>
      <c r="K252" s="48">
        <v>694095.99</v>
      </c>
      <c r="L252" s="48"/>
      <c r="M252" s="48">
        <v>0</v>
      </c>
      <c r="N252" s="48"/>
      <c r="O252" s="48">
        <v>0</v>
      </c>
      <c r="P252" s="48"/>
      <c r="Q252" s="48">
        <v>0</v>
      </c>
      <c r="R252" s="48">
        <f t="shared" si="11"/>
        <v>694095.99</v>
      </c>
      <c r="S252" s="49"/>
      <c r="T252" s="48">
        <v>0</v>
      </c>
      <c r="U252" s="164" t="str">
        <f t="shared" si="13"/>
        <v/>
      </c>
      <c r="V252" s="45"/>
      <c r="W252" s="45"/>
      <c r="X252" s="45"/>
      <c r="Y252" s="45"/>
      <c r="AA252" s="228"/>
      <c r="AB252" s="228"/>
    </row>
    <row r="253" spans="1:28">
      <c r="A253" s="44">
        <f t="shared" si="10"/>
        <v>246</v>
      </c>
      <c r="B253" s="44" t="s">
        <v>36</v>
      </c>
      <c r="C253" s="44">
        <v>2016</v>
      </c>
      <c r="D253" s="45" t="s">
        <v>353</v>
      </c>
      <c r="E253" s="44" t="s">
        <v>7</v>
      </c>
      <c r="F253" s="50" t="s">
        <v>552</v>
      </c>
      <c r="G253" s="45"/>
      <c r="H253" s="47"/>
      <c r="I253" s="47"/>
      <c r="J253" s="48"/>
      <c r="K253" s="48">
        <v>3049302.81</v>
      </c>
      <c r="L253" s="48"/>
      <c r="M253" s="48">
        <v>511473.18</v>
      </c>
      <c r="N253" s="48"/>
      <c r="O253" s="48">
        <v>0</v>
      </c>
      <c r="P253" s="48"/>
      <c r="Q253" s="48">
        <v>0</v>
      </c>
      <c r="R253" s="48">
        <f t="shared" si="11"/>
        <v>3560775.99</v>
      </c>
      <c r="S253" s="49"/>
      <c r="T253" s="48">
        <v>0</v>
      </c>
      <c r="U253" s="164" t="str">
        <f t="shared" si="13"/>
        <v/>
      </c>
      <c r="V253" s="45"/>
      <c r="W253" s="45"/>
      <c r="X253" s="45"/>
      <c r="Y253" s="45"/>
      <c r="AA253" s="228"/>
      <c r="AB253" s="228"/>
    </row>
    <row r="254" spans="1:28">
      <c r="A254" s="44">
        <f t="shared" si="10"/>
        <v>247</v>
      </c>
      <c r="B254" s="44" t="s">
        <v>36</v>
      </c>
      <c r="C254" s="44">
        <v>2016</v>
      </c>
      <c r="D254" s="45" t="s">
        <v>353</v>
      </c>
      <c r="E254" s="44" t="s">
        <v>7</v>
      </c>
      <c r="F254" s="50" t="s">
        <v>553</v>
      </c>
      <c r="G254" s="45"/>
      <c r="H254" s="47"/>
      <c r="I254" s="47"/>
      <c r="J254" s="48"/>
      <c r="K254" s="48">
        <v>23584.38</v>
      </c>
      <c r="L254" s="48"/>
      <c r="M254" s="48">
        <v>0</v>
      </c>
      <c r="N254" s="48"/>
      <c r="O254" s="48">
        <v>0</v>
      </c>
      <c r="P254" s="48"/>
      <c r="Q254" s="48">
        <v>0</v>
      </c>
      <c r="R254" s="48">
        <f t="shared" si="11"/>
        <v>23584.38</v>
      </c>
      <c r="S254" s="49"/>
      <c r="T254" s="48">
        <v>0</v>
      </c>
      <c r="U254" s="164" t="str">
        <f t="shared" si="13"/>
        <v/>
      </c>
      <c r="V254" s="45"/>
      <c r="W254" s="45"/>
      <c r="X254" s="45"/>
      <c r="Y254" s="45"/>
      <c r="AA254" s="228"/>
      <c r="AB254" s="228"/>
    </row>
    <row r="255" spans="1:28">
      <c r="A255" s="44">
        <f t="shared" si="10"/>
        <v>248</v>
      </c>
      <c r="B255" s="44" t="s">
        <v>36</v>
      </c>
      <c r="C255" s="44">
        <v>2016</v>
      </c>
      <c r="D255" s="45" t="s">
        <v>353</v>
      </c>
      <c r="E255" s="44" t="s">
        <v>7</v>
      </c>
      <c r="F255" s="50" t="s">
        <v>554</v>
      </c>
      <c r="G255" s="45"/>
      <c r="H255" s="47"/>
      <c r="I255" s="47"/>
      <c r="J255" s="48"/>
      <c r="K255" s="48">
        <v>100000</v>
      </c>
      <c r="L255" s="48"/>
      <c r="M255" s="48">
        <v>0</v>
      </c>
      <c r="N255" s="48"/>
      <c r="O255" s="48">
        <v>0</v>
      </c>
      <c r="P255" s="48"/>
      <c r="Q255" s="48">
        <v>0</v>
      </c>
      <c r="R255" s="48">
        <f t="shared" si="11"/>
        <v>100000</v>
      </c>
      <c r="S255" s="49"/>
      <c r="T255" s="48">
        <v>0</v>
      </c>
      <c r="U255" s="164" t="str">
        <f t="shared" si="13"/>
        <v/>
      </c>
      <c r="V255" s="45"/>
      <c r="W255" s="45"/>
      <c r="X255" s="45"/>
      <c r="Y255" s="45"/>
      <c r="AA255" s="228"/>
      <c r="AB255" s="228"/>
    </row>
    <row r="256" spans="1:28">
      <c r="A256" s="44">
        <f t="shared" si="10"/>
        <v>249</v>
      </c>
      <c r="B256" s="44" t="s">
        <v>36</v>
      </c>
      <c r="C256" s="44">
        <v>2016</v>
      </c>
      <c r="D256" s="45" t="s">
        <v>353</v>
      </c>
      <c r="E256" s="44" t="s">
        <v>7</v>
      </c>
      <c r="F256" s="50" t="s">
        <v>555</v>
      </c>
      <c r="G256" s="45"/>
      <c r="H256" s="47"/>
      <c r="I256" s="47"/>
      <c r="J256" s="48"/>
      <c r="K256" s="48">
        <v>17159.43</v>
      </c>
      <c r="L256" s="48"/>
      <c r="M256" s="48">
        <v>0</v>
      </c>
      <c r="N256" s="48"/>
      <c r="O256" s="48">
        <v>0</v>
      </c>
      <c r="P256" s="48"/>
      <c r="Q256" s="48">
        <v>0</v>
      </c>
      <c r="R256" s="48">
        <f t="shared" si="11"/>
        <v>17159.43</v>
      </c>
      <c r="S256" s="49"/>
      <c r="T256" s="48">
        <v>0</v>
      </c>
      <c r="U256" s="164" t="str">
        <f t="shared" si="13"/>
        <v/>
      </c>
      <c r="V256" s="45"/>
      <c r="W256" s="45"/>
      <c r="X256" s="45"/>
      <c r="Y256" s="45"/>
      <c r="AA256" s="228"/>
      <c r="AB256" s="228"/>
    </row>
    <row r="257" spans="1:28" ht="30">
      <c r="A257" s="44">
        <f t="shared" si="10"/>
        <v>250</v>
      </c>
      <c r="B257" s="44" t="s">
        <v>36</v>
      </c>
      <c r="C257" s="44">
        <v>2016</v>
      </c>
      <c r="D257" s="45" t="s">
        <v>353</v>
      </c>
      <c r="E257" s="44" t="s">
        <v>7</v>
      </c>
      <c r="F257" s="50" t="s">
        <v>556</v>
      </c>
      <c r="G257" s="45"/>
      <c r="H257" s="47"/>
      <c r="I257" s="47"/>
      <c r="J257" s="48"/>
      <c r="K257" s="48">
        <v>100000</v>
      </c>
      <c r="L257" s="48"/>
      <c r="M257" s="48">
        <v>0</v>
      </c>
      <c r="N257" s="48"/>
      <c r="O257" s="48">
        <v>0</v>
      </c>
      <c r="P257" s="48"/>
      <c r="Q257" s="48">
        <v>0</v>
      </c>
      <c r="R257" s="48">
        <f t="shared" si="11"/>
        <v>100000</v>
      </c>
      <c r="S257" s="49"/>
      <c r="T257" s="48">
        <v>0</v>
      </c>
      <c r="U257" s="164" t="str">
        <f t="shared" si="13"/>
        <v/>
      </c>
      <c r="V257" s="289"/>
      <c r="W257" s="289"/>
      <c r="X257" s="289"/>
      <c r="Y257" s="289"/>
      <c r="AA257" s="228"/>
      <c r="AB257" s="228"/>
    </row>
    <row r="258" spans="1:28">
      <c r="A258" s="44">
        <f t="shared" si="10"/>
        <v>251</v>
      </c>
      <c r="B258" s="44" t="s">
        <v>36</v>
      </c>
      <c r="C258" s="44">
        <v>2017</v>
      </c>
      <c r="D258" s="45" t="s">
        <v>353</v>
      </c>
      <c r="E258" s="44" t="s">
        <v>7</v>
      </c>
      <c r="F258" s="50" t="s">
        <v>552</v>
      </c>
      <c r="G258" s="45"/>
      <c r="H258" s="47"/>
      <c r="I258" s="47"/>
      <c r="J258" s="48"/>
      <c r="K258" s="48">
        <v>0</v>
      </c>
      <c r="L258" s="48"/>
      <c r="M258" s="48">
        <v>0</v>
      </c>
      <c r="N258" s="48"/>
      <c r="O258" s="48">
        <v>0</v>
      </c>
      <c r="P258" s="48"/>
      <c r="Q258" s="48">
        <v>0</v>
      </c>
      <c r="R258" s="48">
        <f t="shared" si="11"/>
        <v>0</v>
      </c>
      <c r="S258" s="49"/>
      <c r="T258" s="48">
        <v>0</v>
      </c>
      <c r="U258" s="164" t="str">
        <f t="shared" si="13"/>
        <v/>
      </c>
      <c r="V258" s="289"/>
      <c r="W258" s="289"/>
      <c r="X258" s="289"/>
      <c r="Y258" s="289"/>
      <c r="AA258" s="228"/>
      <c r="AB258" s="228"/>
    </row>
    <row r="259" spans="1:28" ht="30">
      <c r="A259" s="44">
        <f t="shared" si="10"/>
        <v>252</v>
      </c>
      <c r="B259" s="44" t="s">
        <v>36</v>
      </c>
      <c r="C259" s="44">
        <v>2017</v>
      </c>
      <c r="D259" s="45" t="s">
        <v>647</v>
      </c>
      <c r="E259" s="44" t="s">
        <v>7</v>
      </c>
      <c r="F259" s="50" t="s">
        <v>839</v>
      </c>
      <c r="G259" s="45"/>
      <c r="H259" s="47"/>
      <c r="I259" s="47"/>
      <c r="J259" s="48"/>
      <c r="K259" s="48">
        <v>0</v>
      </c>
      <c r="L259" s="48"/>
      <c r="M259" s="48">
        <v>2508100</v>
      </c>
      <c r="N259" s="48"/>
      <c r="O259" s="48">
        <v>0</v>
      </c>
      <c r="P259" s="48"/>
      <c r="Q259" s="48">
        <v>0</v>
      </c>
      <c r="R259" s="48">
        <f t="shared" si="11"/>
        <v>2508100</v>
      </c>
      <c r="S259" s="49"/>
      <c r="T259" s="48">
        <v>3908100</v>
      </c>
      <c r="U259" s="164">
        <f t="shared" si="13"/>
        <v>0.64176965789002327</v>
      </c>
      <c r="V259" s="289"/>
      <c r="W259" s="289"/>
      <c r="X259" s="289"/>
      <c r="Y259" s="289"/>
      <c r="AA259" s="228"/>
      <c r="AB259" s="228"/>
    </row>
    <row r="260" spans="1:28" ht="30">
      <c r="A260" s="44">
        <f t="shared" si="10"/>
        <v>253</v>
      </c>
      <c r="B260" s="45" t="s">
        <v>143</v>
      </c>
      <c r="C260" s="44">
        <v>2019</v>
      </c>
      <c r="D260" s="45" t="s">
        <v>743</v>
      </c>
      <c r="E260" s="44" t="s">
        <v>7</v>
      </c>
      <c r="F260" s="50" t="s">
        <v>744</v>
      </c>
      <c r="G260" s="45"/>
      <c r="H260" s="47"/>
      <c r="I260" s="47"/>
      <c r="J260" s="48"/>
      <c r="K260" s="48">
        <v>0</v>
      </c>
      <c r="L260" s="48"/>
      <c r="M260" s="48">
        <v>0</v>
      </c>
      <c r="N260" s="48"/>
      <c r="O260" s="48">
        <v>0</v>
      </c>
      <c r="P260" s="48"/>
      <c r="Q260" s="48">
        <v>0</v>
      </c>
      <c r="R260" s="48">
        <f t="shared" si="11"/>
        <v>0</v>
      </c>
      <c r="S260" s="49"/>
      <c r="T260" s="48">
        <v>100</v>
      </c>
      <c r="U260" s="164">
        <f t="shared" si="13"/>
        <v>0</v>
      </c>
      <c r="V260" s="45"/>
      <c r="W260" s="45"/>
      <c r="X260" s="44"/>
      <c r="Y260" s="45"/>
      <c r="AA260" s="228"/>
      <c r="AB260" s="228"/>
    </row>
    <row r="261" spans="1:28" ht="60">
      <c r="A261" s="44">
        <f t="shared" si="10"/>
        <v>254</v>
      </c>
      <c r="B261" s="44" t="s">
        <v>143</v>
      </c>
      <c r="C261" s="44" t="s">
        <v>427</v>
      </c>
      <c r="D261" s="45" t="s">
        <v>19</v>
      </c>
      <c r="E261" s="45" t="s">
        <v>173</v>
      </c>
      <c r="F261" s="50" t="s">
        <v>144</v>
      </c>
      <c r="G261" s="253"/>
      <c r="H261" s="47"/>
      <c r="I261" s="47"/>
      <c r="J261" s="48">
        <v>127543.56</v>
      </c>
      <c r="K261" s="48">
        <v>127543.56</v>
      </c>
      <c r="L261" s="48"/>
      <c r="M261" s="48">
        <v>0</v>
      </c>
      <c r="N261" s="48"/>
      <c r="O261" s="48">
        <v>0</v>
      </c>
      <c r="P261" s="48"/>
      <c r="Q261" s="48">
        <v>0</v>
      </c>
      <c r="R261" s="48">
        <f t="shared" si="11"/>
        <v>127543.56</v>
      </c>
      <c r="S261" s="49"/>
      <c r="T261" s="48">
        <v>0</v>
      </c>
      <c r="U261" s="164" t="str">
        <f t="shared" si="13"/>
        <v/>
      </c>
      <c r="V261" s="45" t="s">
        <v>225</v>
      </c>
      <c r="W261" s="45" t="s">
        <v>225</v>
      </c>
      <c r="X261" s="45" t="s">
        <v>226</v>
      </c>
      <c r="Y261" s="45" t="s">
        <v>226</v>
      </c>
      <c r="AA261" s="228"/>
      <c r="AB261" s="228"/>
    </row>
    <row r="262" spans="1:28" ht="409.5">
      <c r="A262" s="44">
        <f t="shared" si="10"/>
        <v>255</v>
      </c>
      <c r="B262" s="44" t="s">
        <v>143</v>
      </c>
      <c r="C262" s="44" t="s">
        <v>427</v>
      </c>
      <c r="D262" s="278" t="s">
        <v>19</v>
      </c>
      <c r="E262" s="45" t="s">
        <v>173</v>
      </c>
      <c r="F262" s="50" t="s">
        <v>222</v>
      </c>
      <c r="G262" s="290" t="s">
        <v>331</v>
      </c>
      <c r="H262" s="47">
        <v>0</v>
      </c>
      <c r="I262" s="49"/>
      <c r="J262" s="48"/>
      <c r="K262" s="48">
        <v>2046382.46</v>
      </c>
      <c r="L262" s="48"/>
      <c r="M262" s="48">
        <v>13709309.01</v>
      </c>
      <c r="N262" s="48">
        <v>2591406</v>
      </c>
      <c r="O262" s="48">
        <v>3989715</v>
      </c>
      <c r="P262" s="48">
        <v>19154</v>
      </c>
      <c r="Q262" s="48">
        <v>19154</v>
      </c>
      <c r="R262" s="48">
        <f t="shared" si="11"/>
        <v>19764560.469999999</v>
      </c>
      <c r="S262" s="49"/>
      <c r="T262" s="48">
        <v>0</v>
      </c>
      <c r="U262" s="164" t="str">
        <f t="shared" si="13"/>
        <v/>
      </c>
      <c r="V262" s="45" t="s">
        <v>145</v>
      </c>
      <c r="W262" s="45" t="s">
        <v>224</v>
      </c>
      <c r="X262" s="290" t="s">
        <v>867</v>
      </c>
      <c r="Y262" s="45" t="s">
        <v>274</v>
      </c>
      <c r="AA262" s="228"/>
      <c r="AB262" s="228"/>
    </row>
    <row r="263" spans="1:28" ht="45">
      <c r="A263" s="44">
        <f t="shared" si="10"/>
        <v>256</v>
      </c>
      <c r="B263" s="44" t="s">
        <v>275</v>
      </c>
      <c r="C263" s="44" t="s">
        <v>427</v>
      </c>
      <c r="D263" s="278" t="s">
        <v>19</v>
      </c>
      <c r="E263" s="45" t="s">
        <v>173</v>
      </c>
      <c r="F263" s="50" t="s">
        <v>276</v>
      </c>
      <c r="G263" s="290"/>
      <c r="H263" s="47"/>
      <c r="I263" s="49"/>
      <c r="J263" s="48">
        <v>5500000</v>
      </c>
      <c r="K263" s="48">
        <v>5500000</v>
      </c>
      <c r="L263" s="48"/>
      <c r="M263" s="48">
        <v>0</v>
      </c>
      <c r="N263" s="48"/>
      <c r="O263" s="48">
        <v>0</v>
      </c>
      <c r="P263" s="48"/>
      <c r="Q263" s="48">
        <v>0</v>
      </c>
      <c r="R263" s="48">
        <f t="shared" si="11"/>
        <v>5500000</v>
      </c>
      <c r="S263" s="49"/>
      <c r="T263" s="48">
        <v>0</v>
      </c>
      <c r="U263" s="164" t="str">
        <f t="shared" si="13"/>
        <v/>
      </c>
      <c r="V263" s="45" t="s">
        <v>277</v>
      </c>
      <c r="W263" s="45" t="s">
        <v>278</v>
      </c>
      <c r="X263" s="45"/>
      <c r="Y263" s="45" t="s">
        <v>279</v>
      </c>
      <c r="AA263" s="228"/>
      <c r="AB263" s="228"/>
    </row>
    <row r="264" spans="1:28" ht="120">
      <c r="A264" s="44">
        <f t="shared" si="10"/>
        <v>257</v>
      </c>
      <c r="B264" s="44" t="s">
        <v>171</v>
      </c>
      <c r="C264" s="44" t="s">
        <v>427</v>
      </c>
      <c r="D264" s="278" t="s">
        <v>174</v>
      </c>
      <c r="E264" s="45" t="s">
        <v>173</v>
      </c>
      <c r="F264" s="50" t="s">
        <v>460</v>
      </c>
      <c r="G264" s="290" t="s">
        <v>280</v>
      </c>
      <c r="H264" s="47"/>
      <c r="I264" s="49"/>
      <c r="J264" s="48"/>
      <c r="K264" s="48">
        <v>70000</v>
      </c>
      <c r="L264" s="48"/>
      <c r="M264" s="48">
        <v>0</v>
      </c>
      <c r="N264" s="48"/>
      <c r="O264" s="48">
        <v>0</v>
      </c>
      <c r="P264" s="48"/>
      <c r="Q264" s="48">
        <v>0</v>
      </c>
      <c r="R264" s="48">
        <f t="shared" si="11"/>
        <v>70000</v>
      </c>
      <c r="S264" s="49"/>
      <c r="T264" s="48">
        <v>0</v>
      </c>
      <c r="U264" s="164" t="str">
        <f t="shared" si="13"/>
        <v/>
      </c>
      <c r="V264" s="45" t="s">
        <v>461</v>
      </c>
      <c r="W264" s="45" t="s">
        <v>223</v>
      </c>
      <c r="X264" s="45" t="s">
        <v>240</v>
      </c>
      <c r="Y264" s="45"/>
      <c r="AA264" s="228"/>
      <c r="AB264" s="228"/>
    </row>
    <row r="265" spans="1:28" ht="75">
      <c r="A265" s="44">
        <f t="shared" si="10"/>
        <v>258</v>
      </c>
      <c r="B265" s="44" t="s">
        <v>275</v>
      </c>
      <c r="C265" s="44" t="s">
        <v>427</v>
      </c>
      <c r="D265" s="278" t="s">
        <v>174</v>
      </c>
      <c r="E265" s="45" t="s">
        <v>173</v>
      </c>
      <c r="F265" s="50" t="s">
        <v>323</v>
      </c>
      <c r="G265" s="50" t="s">
        <v>324</v>
      </c>
      <c r="H265" s="47"/>
      <c r="I265" s="49"/>
      <c r="J265" s="48"/>
      <c r="K265" s="48">
        <v>1500000</v>
      </c>
      <c r="L265" s="48"/>
      <c r="M265" s="48">
        <v>1500000</v>
      </c>
      <c r="N265" s="48"/>
      <c r="O265" s="48">
        <v>0</v>
      </c>
      <c r="P265" s="48"/>
      <c r="Q265" s="48">
        <v>0</v>
      </c>
      <c r="R265" s="48">
        <f t="shared" si="11"/>
        <v>3000000</v>
      </c>
      <c r="S265" s="49"/>
      <c r="T265" s="48">
        <v>0</v>
      </c>
      <c r="U265" s="164" t="str">
        <f t="shared" si="13"/>
        <v/>
      </c>
      <c r="V265" s="45" t="s">
        <v>325</v>
      </c>
      <c r="W265" s="45" t="s">
        <v>326</v>
      </c>
      <c r="X265" s="45"/>
      <c r="Y265" s="45" t="s">
        <v>484</v>
      </c>
      <c r="AA265" s="228"/>
      <c r="AB265" s="228"/>
    </row>
    <row r="266" spans="1:28" ht="75">
      <c r="A266" s="44">
        <f t="shared" ref="A266:A329" si="14">+A265+1</f>
        <v>259</v>
      </c>
      <c r="B266" s="44" t="s">
        <v>275</v>
      </c>
      <c r="C266" s="44" t="s">
        <v>427</v>
      </c>
      <c r="D266" s="278" t="s">
        <v>174</v>
      </c>
      <c r="E266" s="45" t="s">
        <v>173</v>
      </c>
      <c r="F266" s="50" t="s">
        <v>569</v>
      </c>
      <c r="G266" s="45" t="s">
        <v>561</v>
      </c>
      <c r="H266" s="47"/>
      <c r="I266" s="49">
        <v>3200000</v>
      </c>
      <c r="J266" s="48"/>
      <c r="K266" s="48">
        <v>0</v>
      </c>
      <c r="L266" s="48"/>
      <c r="M266" s="48">
        <v>2500000</v>
      </c>
      <c r="N266" s="48"/>
      <c r="O266" s="48">
        <v>0</v>
      </c>
      <c r="P266" s="48"/>
      <c r="Q266" s="48">
        <v>0</v>
      </c>
      <c r="R266" s="48">
        <f t="shared" si="11"/>
        <v>5700000</v>
      </c>
      <c r="S266" s="49"/>
      <c r="T266" s="48">
        <v>0</v>
      </c>
      <c r="U266" s="164" t="str">
        <f t="shared" si="13"/>
        <v/>
      </c>
      <c r="V266" s="45" t="s">
        <v>325</v>
      </c>
      <c r="W266" s="45" t="s">
        <v>567</v>
      </c>
      <c r="X266" s="45"/>
      <c r="Y266" s="45" t="s">
        <v>566</v>
      </c>
      <c r="AA266" s="228"/>
      <c r="AB266" s="228"/>
    </row>
    <row r="267" spans="1:28" ht="105">
      <c r="A267" s="44">
        <f t="shared" si="14"/>
        <v>260</v>
      </c>
      <c r="B267" s="45" t="s">
        <v>172</v>
      </c>
      <c r="C267" s="44" t="s">
        <v>427</v>
      </c>
      <c r="D267" s="45" t="s">
        <v>174</v>
      </c>
      <c r="E267" s="45" t="s">
        <v>173</v>
      </c>
      <c r="F267" s="50" t="s">
        <v>281</v>
      </c>
      <c r="G267" s="45" t="s">
        <v>282</v>
      </c>
      <c r="H267" s="47"/>
      <c r="I267" s="49"/>
      <c r="J267" s="48"/>
      <c r="K267" s="48">
        <v>50440</v>
      </c>
      <c r="L267" s="48"/>
      <c r="M267" s="48">
        <v>0</v>
      </c>
      <c r="N267" s="48"/>
      <c r="O267" s="48">
        <v>0</v>
      </c>
      <c r="P267" s="48"/>
      <c r="Q267" s="48">
        <v>0</v>
      </c>
      <c r="R267" s="48">
        <f t="shared" si="11"/>
        <v>50440</v>
      </c>
      <c r="S267" s="49"/>
      <c r="T267" s="48">
        <v>0</v>
      </c>
      <c r="U267" s="164" t="str">
        <f t="shared" si="13"/>
        <v/>
      </c>
      <c r="V267" s="49" t="s">
        <v>283</v>
      </c>
      <c r="W267" s="49" t="s">
        <v>284</v>
      </c>
      <c r="X267" s="49" t="s">
        <v>285</v>
      </c>
      <c r="Y267" s="49" t="s">
        <v>562</v>
      </c>
      <c r="AA267" s="228"/>
      <c r="AB267" s="228"/>
    </row>
    <row r="268" spans="1:28" ht="165">
      <c r="A268" s="44">
        <f t="shared" si="14"/>
        <v>261</v>
      </c>
      <c r="B268" s="45" t="s">
        <v>172</v>
      </c>
      <c r="C268" s="44" t="s">
        <v>427</v>
      </c>
      <c r="D268" s="45" t="s">
        <v>174</v>
      </c>
      <c r="E268" s="45" t="s">
        <v>7</v>
      </c>
      <c r="F268" s="50" t="s">
        <v>286</v>
      </c>
      <c r="G268" s="45"/>
      <c r="H268" s="47"/>
      <c r="I268" s="49"/>
      <c r="J268" s="48"/>
      <c r="K268" s="48">
        <v>40227</v>
      </c>
      <c r="L268" s="48"/>
      <c r="M268" s="48">
        <v>0</v>
      </c>
      <c r="N268" s="48"/>
      <c r="O268" s="48">
        <v>0</v>
      </c>
      <c r="P268" s="48"/>
      <c r="Q268" s="48">
        <v>0</v>
      </c>
      <c r="R268" s="48">
        <f t="shared" si="11"/>
        <v>40227</v>
      </c>
      <c r="S268" s="49"/>
      <c r="T268" s="48">
        <v>0</v>
      </c>
      <c r="U268" s="164" t="str">
        <f t="shared" si="13"/>
        <v/>
      </c>
      <c r="V268" s="49" t="s">
        <v>287</v>
      </c>
      <c r="W268" s="49" t="s">
        <v>302</v>
      </c>
      <c r="X268" s="49" t="s">
        <v>288</v>
      </c>
      <c r="Y268" s="49" t="s">
        <v>289</v>
      </c>
      <c r="AA268" s="228"/>
      <c r="AB268" s="228"/>
    </row>
    <row r="269" spans="1:28" ht="90">
      <c r="A269" s="44">
        <f t="shared" si="14"/>
        <v>262</v>
      </c>
      <c r="B269" s="45" t="s">
        <v>172</v>
      </c>
      <c r="C269" s="44" t="s">
        <v>427</v>
      </c>
      <c r="D269" s="45" t="s">
        <v>174</v>
      </c>
      <c r="E269" s="45" t="s">
        <v>173</v>
      </c>
      <c r="F269" s="50" t="s">
        <v>290</v>
      </c>
      <c r="G269" s="45"/>
      <c r="H269" s="47"/>
      <c r="I269" s="49"/>
      <c r="J269" s="48"/>
      <c r="K269" s="48">
        <v>7365</v>
      </c>
      <c r="L269" s="48"/>
      <c r="M269" s="48">
        <v>850</v>
      </c>
      <c r="N269" s="48"/>
      <c r="O269" s="48">
        <v>0</v>
      </c>
      <c r="P269" s="48"/>
      <c r="Q269" s="48">
        <v>0</v>
      </c>
      <c r="R269" s="48">
        <f t="shared" si="11"/>
        <v>8215</v>
      </c>
      <c r="S269" s="49"/>
      <c r="T269" s="48">
        <v>0</v>
      </c>
      <c r="U269" s="164" t="str">
        <f t="shared" si="13"/>
        <v/>
      </c>
      <c r="V269" s="49" t="s">
        <v>338</v>
      </c>
      <c r="W269" s="49" t="s">
        <v>339</v>
      </c>
      <c r="X269" s="49" t="s">
        <v>340</v>
      </c>
      <c r="Y269" s="49" t="s">
        <v>330</v>
      </c>
      <c r="AA269" s="228"/>
      <c r="AB269" s="228"/>
    </row>
    <row r="270" spans="1:28" ht="75">
      <c r="A270" s="44">
        <f t="shared" si="14"/>
        <v>263</v>
      </c>
      <c r="B270" s="45" t="s">
        <v>172</v>
      </c>
      <c r="C270" s="44" t="s">
        <v>427</v>
      </c>
      <c r="D270" s="45" t="s">
        <v>174</v>
      </c>
      <c r="E270" s="45" t="s">
        <v>173</v>
      </c>
      <c r="F270" s="50" t="s">
        <v>327</v>
      </c>
      <c r="G270" s="45"/>
      <c r="H270" s="47"/>
      <c r="I270" s="49"/>
      <c r="J270" s="48"/>
      <c r="K270" s="48">
        <v>10570</v>
      </c>
      <c r="L270" s="48"/>
      <c r="M270" s="48">
        <v>0</v>
      </c>
      <c r="N270" s="48"/>
      <c r="O270" s="48">
        <v>0</v>
      </c>
      <c r="P270" s="48"/>
      <c r="Q270" s="48">
        <v>0</v>
      </c>
      <c r="R270" s="48">
        <f t="shared" si="11"/>
        <v>10570</v>
      </c>
      <c r="S270" s="49"/>
      <c r="T270" s="48">
        <v>0</v>
      </c>
      <c r="U270" s="164" t="str">
        <f t="shared" si="13"/>
        <v/>
      </c>
      <c r="V270" s="49" t="s">
        <v>328</v>
      </c>
      <c r="W270" s="49" t="s">
        <v>329</v>
      </c>
      <c r="X270" s="49"/>
      <c r="Y270" s="49" t="s">
        <v>330</v>
      </c>
      <c r="AA270" s="228"/>
      <c r="AB270" s="228"/>
    </row>
    <row r="271" spans="1:28" ht="105">
      <c r="A271" s="44">
        <f t="shared" si="14"/>
        <v>264</v>
      </c>
      <c r="B271" s="45" t="s">
        <v>275</v>
      </c>
      <c r="C271" s="44" t="s">
        <v>427</v>
      </c>
      <c r="D271" s="45" t="s">
        <v>174</v>
      </c>
      <c r="E271" s="45" t="s">
        <v>173</v>
      </c>
      <c r="F271" s="50" t="s">
        <v>334</v>
      </c>
      <c r="G271" s="45" t="s">
        <v>280</v>
      </c>
      <c r="H271" s="47"/>
      <c r="I271" s="49"/>
      <c r="J271" s="48"/>
      <c r="K271" s="48">
        <v>0</v>
      </c>
      <c r="L271" s="48"/>
      <c r="M271" s="48">
        <v>97005.79</v>
      </c>
      <c r="N271" s="48"/>
      <c r="O271" s="48">
        <v>2994</v>
      </c>
      <c r="P271" s="48"/>
      <c r="Q271" s="48">
        <v>0</v>
      </c>
      <c r="R271" s="48">
        <f t="shared" si="11"/>
        <v>99999.79</v>
      </c>
      <c r="S271" s="49"/>
      <c r="T271" s="48">
        <v>0</v>
      </c>
      <c r="U271" s="164" t="str">
        <f t="shared" si="13"/>
        <v/>
      </c>
      <c r="V271" s="45" t="s">
        <v>335</v>
      </c>
      <c r="W271" s="49"/>
      <c r="X271" s="49"/>
      <c r="Y271" s="45" t="s">
        <v>279</v>
      </c>
      <c r="AA271" s="228"/>
      <c r="AB271" s="228"/>
    </row>
    <row r="272" spans="1:28" ht="90">
      <c r="A272" s="44">
        <f t="shared" si="14"/>
        <v>265</v>
      </c>
      <c r="B272" s="45" t="s">
        <v>172</v>
      </c>
      <c r="C272" s="44" t="s">
        <v>427</v>
      </c>
      <c r="D272" s="45" t="s">
        <v>174</v>
      </c>
      <c r="E272" s="45" t="s">
        <v>173</v>
      </c>
      <c r="F272" s="50" t="s">
        <v>428</v>
      </c>
      <c r="G272" s="45"/>
      <c r="H272" s="47"/>
      <c r="I272" s="49"/>
      <c r="J272" s="48"/>
      <c r="K272" s="48">
        <v>1161</v>
      </c>
      <c r="L272" s="48"/>
      <c r="M272" s="48">
        <v>0</v>
      </c>
      <c r="N272" s="48"/>
      <c r="O272" s="48">
        <v>0</v>
      </c>
      <c r="P272" s="48"/>
      <c r="Q272" s="48">
        <v>0</v>
      </c>
      <c r="R272" s="48">
        <f t="shared" si="11"/>
        <v>1161</v>
      </c>
      <c r="S272" s="49"/>
      <c r="T272" s="48">
        <v>0</v>
      </c>
      <c r="U272" s="164" t="str">
        <f t="shared" si="13"/>
        <v/>
      </c>
      <c r="V272" s="45" t="s">
        <v>429</v>
      </c>
      <c r="W272" s="49" t="s">
        <v>430</v>
      </c>
      <c r="X272" s="49" t="s">
        <v>431</v>
      </c>
      <c r="Y272" s="49" t="s">
        <v>330</v>
      </c>
      <c r="AA272" s="228"/>
      <c r="AB272" s="228"/>
    </row>
    <row r="273" spans="1:28" ht="150">
      <c r="A273" s="44">
        <f t="shared" si="14"/>
        <v>266</v>
      </c>
      <c r="B273" s="45" t="s">
        <v>172</v>
      </c>
      <c r="C273" s="44" t="s">
        <v>427</v>
      </c>
      <c r="D273" s="45" t="s">
        <v>174</v>
      </c>
      <c r="E273" s="45" t="s">
        <v>28</v>
      </c>
      <c r="F273" s="50" t="s">
        <v>432</v>
      </c>
      <c r="G273" s="45"/>
      <c r="H273" s="47"/>
      <c r="I273" s="49"/>
      <c r="J273" s="48"/>
      <c r="K273" s="48">
        <v>249</v>
      </c>
      <c r="L273" s="48"/>
      <c r="M273" s="48">
        <v>0</v>
      </c>
      <c r="N273" s="48"/>
      <c r="O273" s="48">
        <v>0</v>
      </c>
      <c r="P273" s="48"/>
      <c r="Q273" s="48">
        <v>0</v>
      </c>
      <c r="R273" s="48">
        <f t="shared" si="11"/>
        <v>249</v>
      </c>
      <c r="S273" s="49"/>
      <c r="T273" s="48">
        <v>0</v>
      </c>
      <c r="U273" s="164" t="str">
        <f t="shared" si="13"/>
        <v/>
      </c>
      <c r="V273" s="45" t="s">
        <v>433</v>
      </c>
      <c r="W273" s="49" t="s">
        <v>434</v>
      </c>
      <c r="X273" s="49"/>
      <c r="Y273" s="45" t="s">
        <v>330</v>
      </c>
      <c r="AA273" s="228"/>
      <c r="AB273" s="228"/>
    </row>
    <row r="274" spans="1:28" ht="120">
      <c r="A274" s="44">
        <f t="shared" si="14"/>
        <v>267</v>
      </c>
      <c r="B274" s="45" t="s">
        <v>172</v>
      </c>
      <c r="C274" s="44" t="s">
        <v>427</v>
      </c>
      <c r="D274" s="45" t="s">
        <v>174</v>
      </c>
      <c r="E274" s="45" t="s">
        <v>173</v>
      </c>
      <c r="F274" s="50" t="s">
        <v>563</v>
      </c>
      <c r="G274" s="45"/>
      <c r="H274" s="47"/>
      <c r="I274" s="49"/>
      <c r="J274" s="48"/>
      <c r="K274" s="48">
        <v>0</v>
      </c>
      <c r="L274" s="48"/>
      <c r="M274" s="48">
        <v>174</v>
      </c>
      <c r="N274" s="48"/>
      <c r="O274" s="48">
        <v>0</v>
      </c>
      <c r="P274" s="48"/>
      <c r="Q274" s="48">
        <v>0</v>
      </c>
      <c r="R274" s="48">
        <f t="shared" si="11"/>
        <v>174</v>
      </c>
      <c r="S274" s="49"/>
      <c r="T274" s="48">
        <v>0</v>
      </c>
      <c r="U274" s="164" t="str">
        <f t="shared" si="13"/>
        <v/>
      </c>
      <c r="V274" s="45" t="s">
        <v>564</v>
      </c>
      <c r="W274" s="49" t="s">
        <v>565</v>
      </c>
      <c r="X274" s="49"/>
      <c r="Y274" s="45" t="s">
        <v>568</v>
      </c>
      <c r="AA274" s="228"/>
      <c r="AB274" s="228"/>
    </row>
    <row r="275" spans="1:28" s="40" customFormat="1" ht="105">
      <c r="A275" s="44">
        <f t="shared" si="14"/>
        <v>268</v>
      </c>
      <c r="B275" s="44" t="s">
        <v>275</v>
      </c>
      <c r="C275" s="44" t="s">
        <v>427</v>
      </c>
      <c r="D275" s="278" t="s">
        <v>19</v>
      </c>
      <c r="E275" s="45" t="s">
        <v>173</v>
      </c>
      <c r="F275" s="50" t="s">
        <v>592</v>
      </c>
      <c r="G275" s="290" t="s">
        <v>280</v>
      </c>
      <c r="H275" s="218"/>
      <c r="I275" s="48">
        <v>255000</v>
      </c>
      <c r="J275" s="218"/>
      <c r="K275" s="48">
        <v>0</v>
      </c>
      <c r="L275" s="218"/>
      <c r="M275" s="48">
        <v>0</v>
      </c>
      <c r="N275" s="48"/>
      <c r="O275" s="48">
        <v>295000</v>
      </c>
      <c r="P275" s="48"/>
      <c r="Q275" s="48">
        <v>0</v>
      </c>
      <c r="R275" s="48">
        <f t="shared" si="11"/>
        <v>550000</v>
      </c>
      <c r="S275" s="218"/>
      <c r="T275" s="48">
        <v>0</v>
      </c>
      <c r="U275" s="164" t="str">
        <f t="shared" si="13"/>
        <v/>
      </c>
      <c r="V275" s="45" t="s">
        <v>592</v>
      </c>
      <c r="W275" s="45" t="s">
        <v>594</v>
      </c>
      <c r="X275" s="45"/>
      <c r="Y275" s="291"/>
      <c r="AA275" s="228"/>
      <c r="AB275" s="228"/>
    </row>
    <row r="276" spans="1:28" s="40" customFormat="1" ht="60">
      <c r="A276" s="44">
        <f t="shared" si="14"/>
        <v>269</v>
      </c>
      <c r="B276" s="44" t="s">
        <v>275</v>
      </c>
      <c r="C276" s="44" t="s">
        <v>427</v>
      </c>
      <c r="D276" s="278" t="s">
        <v>19</v>
      </c>
      <c r="E276" s="45" t="s">
        <v>173</v>
      </c>
      <c r="F276" s="50" t="s">
        <v>595</v>
      </c>
      <c r="G276" s="290" t="s">
        <v>596</v>
      </c>
      <c r="H276" s="218"/>
      <c r="I276" s="48"/>
      <c r="J276" s="218"/>
      <c r="K276" s="48">
        <v>0</v>
      </c>
      <c r="L276" s="218"/>
      <c r="M276" s="48">
        <v>0</v>
      </c>
      <c r="N276" s="48"/>
      <c r="O276" s="48">
        <v>450000</v>
      </c>
      <c r="P276" s="48"/>
      <c r="Q276" s="48">
        <v>0</v>
      </c>
      <c r="R276" s="48">
        <f t="shared" si="11"/>
        <v>450000</v>
      </c>
      <c r="S276" s="218"/>
      <c r="T276" s="48">
        <v>0</v>
      </c>
      <c r="U276" s="164" t="str">
        <f t="shared" si="13"/>
        <v/>
      </c>
      <c r="V276" s="45" t="s">
        <v>597</v>
      </c>
      <c r="W276" s="45" t="s">
        <v>598</v>
      </c>
      <c r="X276" s="45"/>
      <c r="Y276" s="291"/>
      <c r="AA276" s="228"/>
      <c r="AB276" s="228"/>
    </row>
    <row r="277" spans="1:28" s="40" customFormat="1" ht="60">
      <c r="A277" s="44">
        <f t="shared" si="14"/>
        <v>270</v>
      </c>
      <c r="B277" s="44" t="s">
        <v>275</v>
      </c>
      <c r="C277" s="44" t="s">
        <v>427</v>
      </c>
      <c r="D277" s="278" t="s">
        <v>19</v>
      </c>
      <c r="E277" s="45" t="s">
        <v>173</v>
      </c>
      <c r="F277" s="50" t="s">
        <v>595</v>
      </c>
      <c r="G277" s="290" t="s">
        <v>599</v>
      </c>
      <c r="H277" s="218"/>
      <c r="I277" s="48"/>
      <c r="J277" s="218"/>
      <c r="K277" s="48">
        <v>0</v>
      </c>
      <c r="L277" s="218"/>
      <c r="M277" s="48">
        <v>125000</v>
      </c>
      <c r="N277" s="48"/>
      <c r="O277" s="48">
        <v>0</v>
      </c>
      <c r="P277" s="48"/>
      <c r="Q277" s="48">
        <v>0</v>
      </c>
      <c r="R277" s="48">
        <f t="shared" si="11"/>
        <v>125000</v>
      </c>
      <c r="S277" s="218"/>
      <c r="T277" s="48">
        <v>0</v>
      </c>
      <c r="U277" s="164" t="str">
        <f t="shared" si="13"/>
        <v/>
      </c>
      <c r="V277" s="45" t="s">
        <v>597</v>
      </c>
      <c r="W277" s="45" t="s">
        <v>600</v>
      </c>
      <c r="X277" s="45"/>
      <c r="Y277" s="291"/>
      <c r="AA277" s="228"/>
      <c r="AB277" s="228"/>
    </row>
    <row r="278" spans="1:28" s="40" customFormat="1" ht="60">
      <c r="A278" s="44">
        <f t="shared" si="14"/>
        <v>271</v>
      </c>
      <c r="B278" s="45" t="s">
        <v>275</v>
      </c>
      <c r="C278" s="44" t="s">
        <v>427</v>
      </c>
      <c r="D278" s="45" t="s">
        <v>19</v>
      </c>
      <c r="E278" s="45" t="s">
        <v>173</v>
      </c>
      <c r="F278" s="50" t="s">
        <v>601</v>
      </c>
      <c r="G278" s="45" t="s">
        <v>602</v>
      </c>
      <c r="H278" s="47"/>
      <c r="I278" s="49">
        <v>411291</v>
      </c>
      <c r="J278" s="48"/>
      <c r="K278" s="48">
        <v>0</v>
      </c>
      <c r="L278" s="48"/>
      <c r="M278" s="48">
        <v>225000</v>
      </c>
      <c r="N278" s="48"/>
      <c r="O278" s="48">
        <v>450000</v>
      </c>
      <c r="P278" s="48"/>
      <c r="Q278" s="48">
        <v>413709</v>
      </c>
      <c r="R278" s="48">
        <f t="shared" si="11"/>
        <v>1500000</v>
      </c>
      <c r="S278" s="49"/>
      <c r="T278" s="48">
        <v>0</v>
      </c>
      <c r="U278" s="164" t="str">
        <f t="shared" ref="U278:U309" si="15">IF(T278=0,"",(R278)/T278)</f>
        <v/>
      </c>
      <c r="V278" s="45" t="s">
        <v>604</v>
      </c>
      <c r="W278" s="220" t="s">
        <v>604</v>
      </c>
      <c r="X278" s="45"/>
      <c r="Y278" s="45"/>
      <c r="AA278" s="228"/>
      <c r="AB278" s="228"/>
    </row>
    <row r="279" spans="1:28" s="40" customFormat="1" ht="135">
      <c r="A279" s="44">
        <f t="shared" si="14"/>
        <v>272</v>
      </c>
      <c r="B279" s="45" t="s">
        <v>275</v>
      </c>
      <c r="C279" s="44" t="s">
        <v>427</v>
      </c>
      <c r="D279" s="45" t="s">
        <v>19</v>
      </c>
      <c r="E279" s="45" t="s">
        <v>173</v>
      </c>
      <c r="F279" s="50" t="s">
        <v>603</v>
      </c>
      <c r="G279" s="45" t="s">
        <v>646</v>
      </c>
      <c r="H279" s="47"/>
      <c r="I279" s="49">
        <v>0</v>
      </c>
      <c r="J279" s="292"/>
      <c r="K279" s="48">
        <v>0</v>
      </c>
      <c r="L279" s="292"/>
      <c r="M279" s="48">
        <v>0</v>
      </c>
      <c r="N279" s="48"/>
      <c r="O279" s="48">
        <v>0</v>
      </c>
      <c r="P279" s="48"/>
      <c r="Q279" s="48">
        <v>957521</v>
      </c>
      <c r="R279" s="48">
        <f t="shared" ref="R279:R342" si="16">+K279+I279+H279+M279+O279+Q279</f>
        <v>957521</v>
      </c>
      <c r="S279" s="292"/>
      <c r="T279" s="48">
        <v>0</v>
      </c>
      <c r="U279" s="164" t="str">
        <f t="shared" si="15"/>
        <v/>
      </c>
      <c r="V279" s="45" t="s">
        <v>603</v>
      </c>
      <c r="W279" s="45" t="s">
        <v>605</v>
      </c>
      <c r="X279" s="45"/>
      <c r="Y279" s="289"/>
      <c r="AA279" s="228"/>
      <c r="AB279" s="228"/>
    </row>
    <row r="280" spans="1:28" s="40" customFormat="1" ht="105">
      <c r="A280" s="44">
        <f t="shared" si="14"/>
        <v>273</v>
      </c>
      <c r="B280" s="45" t="s">
        <v>275</v>
      </c>
      <c r="C280" s="44" t="s">
        <v>427</v>
      </c>
      <c r="D280" s="45" t="s">
        <v>19</v>
      </c>
      <c r="E280" s="45" t="s">
        <v>173</v>
      </c>
      <c r="F280" s="50" t="s">
        <v>781</v>
      </c>
      <c r="G280" s="45" t="s">
        <v>782</v>
      </c>
      <c r="H280" s="47"/>
      <c r="I280" s="49"/>
      <c r="J280" s="292"/>
      <c r="K280" s="48">
        <v>5500000</v>
      </c>
      <c r="L280" s="292"/>
      <c r="M280" s="48">
        <v>0</v>
      </c>
      <c r="N280" s="48"/>
      <c r="O280" s="48">
        <v>0</v>
      </c>
      <c r="P280" s="48"/>
      <c r="Q280" s="48">
        <v>0</v>
      </c>
      <c r="R280" s="48">
        <f t="shared" si="16"/>
        <v>5500000</v>
      </c>
      <c r="S280" s="292"/>
      <c r="T280" s="48">
        <v>0</v>
      </c>
      <c r="U280" s="164" t="str">
        <f t="shared" si="15"/>
        <v/>
      </c>
      <c r="V280" s="45" t="s">
        <v>781</v>
      </c>
      <c r="W280" s="45" t="s">
        <v>783</v>
      </c>
      <c r="X280" s="45"/>
      <c r="Y280" s="289"/>
      <c r="AA280" s="228"/>
      <c r="AB280" s="228"/>
    </row>
    <row r="281" spans="1:28" s="40" customFormat="1" ht="60">
      <c r="A281" s="44">
        <f t="shared" si="14"/>
        <v>274</v>
      </c>
      <c r="B281" s="45" t="s">
        <v>275</v>
      </c>
      <c r="C281" s="44" t="s">
        <v>427</v>
      </c>
      <c r="D281" s="45" t="s">
        <v>19</v>
      </c>
      <c r="E281" s="45" t="s">
        <v>173</v>
      </c>
      <c r="F281" s="50" t="s">
        <v>595</v>
      </c>
      <c r="G281" s="45" t="s">
        <v>784</v>
      </c>
      <c r="H281" s="47"/>
      <c r="I281" s="49">
        <v>3525000</v>
      </c>
      <c r="J281" s="48"/>
      <c r="K281" s="48">
        <v>0</v>
      </c>
      <c r="L281" s="48"/>
      <c r="M281" s="48">
        <v>0</v>
      </c>
      <c r="N281" s="48"/>
      <c r="O281" s="48">
        <v>0</v>
      </c>
      <c r="P281" s="48"/>
      <c r="Q281" s="48">
        <v>825000</v>
      </c>
      <c r="R281" s="48">
        <f t="shared" si="16"/>
        <v>4350000</v>
      </c>
      <c r="S281" s="49"/>
      <c r="T281" s="48">
        <v>0</v>
      </c>
      <c r="U281" s="164" t="str">
        <f t="shared" si="15"/>
        <v/>
      </c>
      <c r="V281" s="45" t="s">
        <v>597</v>
      </c>
      <c r="W281" s="45" t="s">
        <v>785</v>
      </c>
      <c r="X281" s="45"/>
      <c r="Y281" s="45"/>
      <c r="AA281" s="228"/>
      <c r="AB281" s="228"/>
    </row>
    <row r="282" spans="1:28" s="40" customFormat="1" ht="135">
      <c r="A282" s="44">
        <f t="shared" si="14"/>
        <v>275</v>
      </c>
      <c r="B282" s="45" t="s">
        <v>275</v>
      </c>
      <c r="C282" s="44" t="s">
        <v>427</v>
      </c>
      <c r="D282" s="45" t="s">
        <v>19</v>
      </c>
      <c r="E282" s="45" t="s">
        <v>173</v>
      </c>
      <c r="F282" s="50" t="s">
        <v>786</v>
      </c>
      <c r="G282" s="45" t="s">
        <v>787</v>
      </c>
      <c r="H282" s="47"/>
      <c r="I282" s="49">
        <v>100</v>
      </c>
      <c r="J282" s="48"/>
      <c r="K282" s="48">
        <v>0</v>
      </c>
      <c r="L282" s="48"/>
      <c r="M282" s="48">
        <v>0</v>
      </c>
      <c r="N282" s="48"/>
      <c r="O282" s="48">
        <v>0</v>
      </c>
      <c r="P282" s="48"/>
      <c r="Q282" s="48">
        <v>999900</v>
      </c>
      <c r="R282" s="48">
        <f t="shared" si="16"/>
        <v>1000000</v>
      </c>
      <c r="S282" s="49"/>
      <c r="T282" s="48">
        <v>0</v>
      </c>
      <c r="U282" s="164" t="str">
        <f t="shared" si="15"/>
        <v/>
      </c>
      <c r="V282" s="50" t="s">
        <v>786</v>
      </c>
      <c r="W282" s="45" t="s">
        <v>788</v>
      </c>
      <c r="X282" s="45"/>
      <c r="Y282" s="45"/>
      <c r="AA282" s="228"/>
      <c r="AB282" s="228"/>
    </row>
    <row r="283" spans="1:28" s="40" customFormat="1" ht="105">
      <c r="A283" s="44">
        <f t="shared" si="14"/>
        <v>276</v>
      </c>
      <c r="B283" s="45" t="s">
        <v>275</v>
      </c>
      <c r="C283" s="44" t="s">
        <v>427</v>
      </c>
      <c r="D283" s="45" t="s">
        <v>19</v>
      </c>
      <c r="E283" s="45" t="s">
        <v>173</v>
      </c>
      <c r="F283" s="50" t="s">
        <v>789</v>
      </c>
      <c r="G283" s="45" t="s">
        <v>790</v>
      </c>
      <c r="H283" s="47"/>
      <c r="I283" s="49">
        <v>1000000</v>
      </c>
      <c r="J283" s="48"/>
      <c r="K283" s="48">
        <v>0</v>
      </c>
      <c r="L283" s="48"/>
      <c r="M283" s="48">
        <v>0</v>
      </c>
      <c r="N283" s="48"/>
      <c r="O283" s="48">
        <v>0</v>
      </c>
      <c r="P283" s="48"/>
      <c r="Q283" s="48">
        <v>0</v>
      </c>
      <c r="R283" s="48">
        <f t="shared" si="16"/>
        <v>1000000</v>
      </c>
      <c r="S283" s="49"/>
      <c r="T283" s="48">
        <v>0</v>
      </c>
      <c r="U283" s="164" t="str">
        <f t="shared" si="15"/>
        <v/>
      </c>
      <c r="V283" s="45" t="s">
        <v>789</v>
      </c>
      <c r="W283" s="45" t="s">
        <v>791</v>
      </c>
      <c r="X283" s="45"/>
      <c r="Y283" s="45"/>
      <c r="AA283" s="228"/>
      <c r="AB283" s="228"/>
    </row>
    <row r="284" spans="1:28" s="40" customFormat="1" ht="315">
      <c r="A284" s="44">
        <f t="shared" si="14"/>
        <v>277</v>
      </c>
      <c r="B284" s="45" t="s">
        <v>275</v>
      </c>
      <c r="C284" s="44" t="s">
        <v>427</v>
      </c>
      <c r="D284" s="45" t="s">
        <v>19</v>
      </c>
      <c r="E284" s="45" t="s">
        <v>173</v>
      </c>
      <c r="F284" s="50" t="s">
        <v>603</v>
      </c>
      <c r="G284" s="45" t="s">
        <v>792</v>
      </c>
      <c r="H284" s="47"/>
      <c r="I284" s="49">
        <v>1500000</v>
      </c>
      <c r="J284" s="48"/>
      <c r="K284" s="48">
        <v>0</v>
      </c>
      <c r="L284" s="48"/>
      <c r="M284" s="48">
        <v>0</v>
      </c>
      <c r="N284" s="48"/>
      <c r="O284" s="48">
        <v>0</v>
      </c>
      <c r="P284" s="48"/>
      <c r="Q284" s="48">
        <v>0</v>
      </c>
      <c r="R284" s="48">
        <f t="shared" si="16"/>
        <v>1500000</v>
      </c>
      <c r="S284" s="49"/>
      <c r="T284" s="48">
        <v>0</v>
      </c>
      <c r="U284" s="164" t="str">
        <f t="shared" si="15"/>
        <v/>
      </c>
      <c r="V284" s="50" t="s">
        <v>603</v>
      </c>
      <c r="W284" s="45" t="s">
        <v>793</v>
      </c>
      <c r="X284" s="45"/>
      <c r="Y284" s="45"/>
      <c r="AA284" s="228"/>
      <c r="AB284" s="228"/>
    </row>
    <row r="285" spans="1:28" s="40" customFormat="1" ht="60">
      <c r="A285" s="44">
        <f t="shared" si="14"/>
        <v>278</v>
      </c>
      <c r="B285" s="45" t="s">
        <v>275</v>
      </c>
      <c r="C285" s="44" t="s">
        <v>427</v>
      </c>
      <c r="D285" s="45" t="s">
        <v>19</v>
      </c>
      <c r="E285" s="45" t="s">
        <v>173</v>
      </c>
      <c r="F285" s="50" t="s">
        <v>603</v>
      </c>
      <c r="G285" s="293" t="s">
        <v>803</v>
      </c>
      <c r="H285" s="47"/>
      <c r="I285" s="49">
        <v>200000</v>
      </c>
      <c r="J285" s="48"/>
      <c r="K285" s="48">
        <v>0</v>
      </c>
      <c r="L285" s="48"/>
      <c r="M285" s="48">
        <v>0</v>
      </c>
      <c r="N285" s="48"/>
      <c r="O285" s="48">
        <v>0</v>
      </c>
      <c r="P285" s="48"/>
      <c r="Q285" s="48">
        <v>0</v>
      </c>
      <c r="R285" s="48">
        <f t="shared" si="16"/>
        <v>200000</v>
      </c>
      <c r="S285" s="49"/>
      <c r="T285" s="48">
        <v>0</v>
      </c>
      <c r="U285" s="164" t="str">
        <f t="shared" si="15"/>
        <v/>
      </c>
      <c r="V285" s="50" t="s">
        <v>804</v>
      </c>
      <c r="W285" s="45" t="s">
        <v>805</v>
      </c>
      <c r="X285" s="45"/>
      <c r="Y285" s="45"/>
      <c r="AA285" s="228"/>
      <c r="AB285" s="228"/>
    </row>
    <row r="286" spans="1:28" s="40" customFormat="1" ht="135">
      <c r="A286" s="44">
        <f t="shared" si="14"/>
        <v>279</v>
      </c>
      <c r="B286" s="45" t="s">
        <v>275</v>
      </c>
      <c r="C286" s="44" t="s">
        <v>427</v>
      </c>
      <c r="D286" s="45" t="s">
        <v>19</v>
      </c>
      <c r="E286" s="45" t="s">
        <v>173</v>
      </c>
      <c r="F286" s="50" t="s">
        <v>603</v>
      </c>
      <c r="G286" s="45" t="s">
        <v>782</v>
      </c>
      <c r="H286" s="47"/>
      <c r="I286" s="49"/>
      <c r="J286" s="48"/>
      <c r="K286" s="48">
        <v>0</v>
      </c>
      <c r="L286" s="48"/>
      <c r="M286" s="48">
        <v>0</v>
      </c>
      <c r="N286" s="48"/>
      <c r="O286" s="48">
        <v>0</v>
      </c>
      <c r="P286" s="48"/>
      <c r="Q286" s="48">
        <v>7949954</v>
      </c>
      <c r="R286" s="48">
        <f t="shared" si="16"/>
        <v>7949954</v>
      </c>
      <c r="S286" s="49"/>
      <c r="T286" s="48">
        <v>0</v>
      </c>
      <c r="U286" s="164" t="str">
        <f t="shared" si="15"/>
        <v/>
      </c>
      <c r="V286" s="50" t="s">
        <v>806</v>
      </c>
      <c r="W286" s="50" t="s">
        <v>807</v>
      </c>
      <c r="X286" s="45"/>
      <c r="Y286" s="45"/>
      <c r="AA286" s="228"/>
      <c r="AB286" s="228"/>
    </row>
    <row r="287" spans="1:28" s="40" customFormat="1" ht="120">
      <c r="A287" s="44">
        <f t="shared" si="14"/>
        <v>280</v>
      </c>
      <c r="B287" s="45" t="s">
        <v>275</v>
      </c>
      <c r="C287" s="44" t="s">
        <v>427</v>
      </c>
      <c r="D287" s="45" t="s">
        <v>19</v>
      </c>
      <c r="E287" s="45" t="s">
        <v>173</v>
      </c>
      <c r="F287" s="50" t="s">
        <v>603</v>
      </c>
      <c r="G287" s="45" t="s">
        <v>782</v>
      </c>
      <c r="H287" s="47"/>
      <c r="I287" s="49"/>
      <c r="J287" s="48"/>
      <c r="K287" s="48">
        <v>0</v>
      </c>
      <c r="L287" s="48"/>
      <c r="M287" s="48">
        <v>0</v>
      </c>
      <c r="N287" s="48"/>
      <c r="O287" s="48">
        <v>0</v>
      </c>
      <c r="P287" s="48"/>
      <c r="Q287" s="48">
        <v>7000000</v>
      </c>
      <c r="R287" s="48">
        <f t="shared" si="16"/>
        <v>7000000</v>
      </c>
      <c r="S287" s="49"/>
      <c r="T287" s="48">
        <v>0</v>
      </c>
      <c r="U287" s="164" t="str">
        <f t="shared" si="15"/>
        <v/>
      </c>
      <c r="V287" s="50" t="s">
        <v>868</v>
      </c>
      <c r="W287" s="50" t="s">
        <v>869</v>
      </c>
      <c r="X287" s="45"/>
      <c r="Y287" s="45"/>
      <c r="AA287" s="228"/>
      <c r="AB287" s="228"/>
    </row>
    <row r="288" spans="1:28" ht="315">
      <c r="A288" s="44">
        <f t="shared" si="14"/>
        <v>281</v>
      </c>
      <c r="B288" s="208" t="s">
        <v>37</v>
      </c>
      <c r="C288" s="208" t="s">
        <v>427</v>
      </c>
      <c r="D288" s="209" t="s">
        <v>19</v>
      </c>
      <c r="E288" s="209" t="s">
        <v>7</v>
      </c>
      <c r="F288" s="210" t="s">
        <v>291</v>
      </c>
      <c r="G288" s="209" t="s">
        <v>508</v>
      </c>
      <c r="H288" s="211"/>
      <c r="I288" s="211">
        <v>0</v>
      </c>
      <c r="J288" s="212"/>
      <c r="K288" s="48">
        <v>0</v>
      </c>
      <c r="L288" s="48"/>
      <c r="M288" s="48">
        <v>0</v>
      </c>
      <c r="N288" s="48"/>
      <c r="O288" s="48">
        <v>0</v>
      </c>
      <c r="P288" s="48"/>
      <c r="Q288" s="48">
        <v>0</v>
      </c>
      <c r="R288" s="48">
        <f t="shared" si="16"/>
        <v>0</v>
      </c>
      <c r="S288" s="212"/>
      <c r="T288" s="48">
        <v>0</v>
      </c>
      <c r="U288" s="164" t="str">
        <f t="shared" si="15"/>
        <v/>
      </c>
      <c r="V288" s="209" t="s">
        <v>292</v>
      </c>
      <c r="W288" s="209" t="s">
        <v>146</v>
      </c>
      <c r="X288" s="209" t="s">
        <v>147</v>
      </c>
      <c r="Y288" s="209" t="s">
        <v>148</v>
      </c>
      <c r="AA288" s="228"/>
      <c r="AB288" s="228"/>
    </row>
    <row r="289" spans="1:28" ht="315">
      <c r="A289" s="44">
        <f t="shared" si="14"/>
        <v>282</v>
      </c>
      <c r="B289" s="208" t="s">
        <v>37</v>
      </c>
      <c r="C289" s="208" t="s">
        <v>427</v>
      </c>
      <c r="D289" s="209" t="s">
        <v>19</v>
      </c>
      <c r="E289" s="209" t="s">
        <v>7</v>
      </c>
      <c r="F289" s="210" t="s">
        <v>729</v>
      </c>
      <c r="G289" s="209" t="s">
        <v>508</v>
      </c>
      <c r="H289" s="211"/>
      <c r="I289" s="211">
        <v>30000</v>
      </c>
      <c r="J289" s="212"/>
      <c r="K289" s="48">
        <v>0</v>
      </c>
      <c r="L289" s="48"/>
      <c r="M289" s="48">
        <v>0</v>
      </c>
      <c r="N289" s="48"/>
      <c r="O289" s="48">
        <v>90000</v>
      </c>
      <c r="P289" s="48"/>
      <c r="Q289" s="48">
        <v>0</v>
      </c>
      <c r="R289" s="48">
        <f t="shared" si="16"/>
        <v>120000</v>
      </c>
      <c r="S289" s="212"/>
      <c r="T289" s="48">
        <v>0</v>
      </c>
      <c r="U289" s="164" t="str">
        <f t="shared" si="15"/>
        <v/>
      </c>
      <c r="V289" s="209" t="s">
        <v>737</v>
      </c>
      <c r="W289" s="209" t="s">
        <v>737</v>
      </c>
      <c r="X289" s="209"/>
      <c r="Y289" s="209"/>
      <c r="AA289" s="228"/>
      <c r="AB289" s="228"/>
    </row>
    <row r="290" spans="1:28" ht="315">
      <c r="A290" s="44">
        <f t="shared" si="14"/>
        <v>283</v>
      </c>
      <c r="B290" s="208" t="s">
        <v>37</v>
      </c>
      <c r="C290" s="208" t="s">
        <v>427</v>
      </c>
      <c r="D290" s="209" t="s">
        <v>19</v>
      </c>
      <c r="E290" s="209" t="s">
        <v>7</v>
      </c>
      <c r="F290" s="210" t="s">
        <v>459</v>
      </c>
      <c r="G290" s="209" t="s">
        <v>508</v>
      </c>
      <c r="H290" s="211"/>
      <c r="I290" s="211">
        <v>491666.66</v>
      </c>
      <c r="J290" s="212"/>
      <c r="K290" s="48">
        <v>0</v>
      </c>
      <c r="L290" s="48"/>
      <c r="M290" s="48">
        <v>0</v>
      </c>
      <c r="N290" s="48"/>
      <c r="O290" s="48">
        <v>8333</v>
      </c>
      <c r="P290" s="48"/>
      <c r="Q290" s="48">
        <v>0</v>
      </c>
      <c r="R290" s="48">
        <f t="shared" si="16"/>
        <v>499999.66</v>
      </c>
      <c r="S290" s="212"/>
      <c r="T290" s="48">
        <v>0</v>
      </c>
      <c r="U290" s="164" t="str">
        <f t="shared" si="15"/>
        <v/>
      </c>
      <c r="V290" s="209" t="s">
        <v>736</v>
      </c>
      <c r="W290" s="209" t="s">
        <v>736</v>
      </c>
      <c r="X290" s="209"/>
      <c r="Y290" s="209"/>
      <c r="AA290" s="228"/>
      <c r="AB290" s="228"/>
    </row>
    <row r="291" spans="1:28" ht="315">
      <c r="A291" s="44">
        <f t="shared" si="14"/>
        <v>284</v>
      </c>
      <c r="B291" s="208" t="s">
        <v>37</v>
      </c>
      <c r="C291" s="208" t="s">
        <v>427</v>
      </c>
      <c r="D291" s="209" t="s">
        <v>19</v>
      </c>
      <c r="E291" s="209" t="s">
        <v>7</v>
      </c>
      <c r="F291" s="210" t="s">
        <v>730</v>
      </c>
      <c r="G291" s="209" t="s">
        <v>508</v>
      </c>
      <c r="H291" s="211"/>
      <c r="I291" s="211"/>
      <c r="J291" s="212"/>
      <c r="K291" s="48">
        <v>3049302.81</v>
      </c>
      <c r="L291" s="48"/>
      <c r="M291" s="48">
        <v>511473</v>
      </c>
      <c r="N291" s="48"/>
      <c r="O291" s="48">
        <v>26553.63</v>
      </c>
      <c r="P291" s="48"/>
      <c r="Q291" s="48">
        <v>0</v>
      </c>
      <c r="R291" s="48">
        <f t="shared" si="16"/>
        <v>3587329.44</v>
      </c>
      <c r="S291" s="212"/>
      <c r="T291" s="48">
        <v>0</v>
      </c>
      <c r="U291" s="164" t="str">
        <f t="shared" si="15"/>
        <v/>
      </c>
      <c r="V291" s="209" t="s">
        <v>738</v>
      </c>
      <c r="W291" s="209" t="s">
        <v>738</v>
      </c>
      <c r="X291" s="209"/>
      <c r="Y291" s="209"/>
      <c r="AA291" s="228"/>
      <c r="AB291" s="228"/>
    </row>
    <row r="292" spans="1:28" ht="315">
      <c r="A292" s="44">
        <f t="shared" si="14"/>
        <v>285</v>
      </c>
      <c r="B292" s="208" t="s">
        <v>37</v>
      </c>
      <c r="C292" s="208" t="s">
        <v>427</v>
      </c>
      <c r="D292" s="209" t="s">
        <v>19</v>
      </c>
      <c r="E292" s="209" t="s">
        <v>7</v>
      </c>
      <c r="F292" s="210" t="s">
        <v>848</v>
      </c>
      <c r="G292" s="209" t="s">
        <v>508</v>
      </c>
      <c r="H292" s="211"/>
      <c r="I292" s="211"/>
      <c r="J292" s="212"/>
      <c r="K292" s="48">
        <v>0</v>
      </c>
      <c r="L292" s="48"/>
      <c r="M292" s="48">
        <v>0</v>
      </c>
      <c r="N292" s="48"/>
      <c r="O292" s="48">
        <v>173564.1</v>
      </c>
      <c r="P292" s="48"/>
      <c r="Q292" s="48">
        <v>0</v>
      </c>
      <c r="R292" s="48">
        <f t="shared" si="16"/>
        <v>173564.1</v>
      </c>
      <c r="S292" s="212"/>
      <c r="T292" s="48">
        <v>0</v>
      </c>
      <c r="U292" s="164" t="str">
        <f t="shared" si="15"/>
        <v/>
      </c>
      <c r="V292" s="209" t="s">
        <v>738</v>
      </c>
      <c r="W292" s="209" t="s">
        <v>738</v>
      </c>
      <c r="X292" s="209"/>
      <c r="Y292" s="209"/>
      <c r="AA292" s="228"/>
      <c r="AB292" s="228"/>
    </row>
    <row r="293" spans="1:28" ht="315">
      <c r="A293" s="44">
        <f t="shared" si="14"/>
        <v>286</v>
      </c>
      <c r="B293" s="208" t="s">
        <v>37</v>
      </c>
      <c r="C293" s="208" t="s">
        <v>427</v>
      </c>
      <c r="D293" s="209" t="s">
        <v>19</v>
      </c>
      <c r="E293" s="209" t="s">
        <v>7</v>
      </c>
      <c r="F293" s="210" t="s">
        <v>849</v>
      </c>
      <c r="G293" s="209" t="s">
        <v>508</v>
      </c>
      <c r="H293" s="211"/>
      <c r="I293" s="211">
        <v>232294.54</v>
      </c>
      <c r="J293" s="212"/>
      <c r="K293" s="48">
        <v>0</v>
      </c>
      <c r="L293" s="48"/>
      <c r="M293" s="48">
        <v>0</v>
      </c>
      <c r="N293" s="48"/>
      <c r="O293" s="48">
        <v>559970.86</v>
      </c>
      <c r="P293" s="48"/>
      <c r="Q293" s="48">
        <v>0</v>
      </c>
      <c r="R293" s="48">
        <f t="shared" si="16"/>
        <v>792265.4</v>
      </c>
      <c r="S293" s="212"/>
      <c r="T293" s="48">
        <v>0</v>
      </c>
      <c r="U293" s="164" t="str">
        <f t="shared" si="15"/>
        <v/>
      </c>
      <c r="V293" s="209" t="s">
        <v>738</v>
      </c>
      <c r="W293" s="209" t="s">
        <v>738</v>
      </c>
      <c r="X293" s="209"/>
      <c r="Y293" s="209"/>
      <c r="AA293" s="228"/>
      <c r="AB293" s="228"/>
    </row>
    <row r="294" spans="1:28" s="241" customFormat="1" ht="30">
      <c r="A294" s="44">
        <f t="shared" si="14"/>
        <v>287</v>
      </c>
      <c r="B294" s="213" t="s">
        <v>37</v>
      </c>
      <c r="C294" s="213">
        <v>2016</v>
      </c>
      <c r="D294" s="214" t="s">
        <v>362</v>
      </c>
      <c r="E294" s="214" t="s">
        <v>7</v>
      </c>
      <c r="F294" s="215" t="s">
        <v>485</v>
      </c>
      <c r="G294" s="214"/>
      <c r="H294" s="216"/>
      <c r="I294" s="216"/>
      <c r="J294" s="217"/>
      <c r="K294" s="48">
        <v>0</v>
      </c>
      <c r="L294" s="48"/>
      <c r="M294" s="48">
        <v>0</v>
      </c>
      <c r="N294" s="48"/>
      <c r="O294" s="48">
        <v>0</v>
      </c>
      <c r="P294" s="48"/>
      <c r="Q294" s="48">
        <v>0</v>
      </c>
      <c r="R294" s="48">
        <f t="shared" si="16"/>
        <v>0</v>
      </c>
      <c r="S294" s="217">
        <v>18900000</v>
      </c>
      <c r="T294" s="48">
        <v>18900000</v>
      </c>
      <c r="U294" s="164">
        <f t="shared" si="15"/>
        <v>0</v>
      </c>
      <c r="V294" s="214"/>
      <c r="W294" s="214"/>
      <c r="X294" s="214"/>
      <c r="Y294" s="214"/>
      <c r="AA294" s="228"/>
      <c r="AB294" s="228"/>
    </row>
    <row r="295" spans="1:28" s="241" customFormat="1" ht="30">
      <c r="A295" s="44">
        <f t="shared" si="14"/>
        <v>288</v>
      </c>
      <c r="B295" s="213" t="s">
        <v>37</v>
      </c>
      <c r="C295" s="213">
        <v>2016</v>
      </c>
      <c r="D295" s="214" t="s">
        <v>362</v>
      </c>
      <c r="E295" s="214" t="s">
        <v>7</v>
      </c>
      <c r="F295" s="215" t="s">
        <v>505</v>
      </c>
      <c r="G295" s="214"/>
      <c r="H295" s="216"/>
      <c r="I295" s="216"/>
      <c r="J295" s="217"/>
      <c r="K295" s="48">
        <v>0</v>
      </c>
      <c r="L295" s="48"/>
      <c r="M295" s="48">
        <v>0</v>
      </c>
      <c r="N295" s="48"/>
      <c r="O295" s="48">
        <v>0</v>
      </c>
      <c r="P295" s="48"/>
      <c r="Q295" s="48">
        <v>0</v>
      </c>
      <c r="R295" s="48">
        <f t="shared" si="16"/>
        <v>0</v>
      </c>
      <c r="S295" s="217"/>
      <c r="T295" s="48">
        <v>-300000</v>
      </c>
      <c r="U295" s="164">
        <f t="shared" si="15"/>
        <v>0</v>
      </c>
      <c r="V295" s="214"/>
      <c r="W295" s="214"/>
      <c r="X295" s="214"/>
      <c r="Y295" s="214"/>
      <c r="AA295" s="228"/>
      <c r="AB295" s="228"/>
    </row>
    <row r="296" spans="1:28" s="241" customFormat="1" ht="30">
      <c r="A296" s="44">
        <f t="shared" si="14"/>
        <v>289</v>
      </c>
      <c r="B296" s="213" t="s">
        <v>37</v>
      </c>
      <c r="C296" s="213">
        <v>2018</v>
      </c>
      <c r="D296" s="214" t="s">
        <v>647</v>
      </c>
      <c r="E296" s="214" t="s">
        <v>7</v>
      </c>
      <c r="F296" s="215" t="s">
        <v>739</v>
      </c>
      <c r="G296" s="214"/>
      <c r="H296" s="216"/>
      <c r="I296" s="216"/>
      <c r="J296" s="217"/>
      <c r="K296" s="48">
        <v>0</v>
      </c>
      <c r="L296" s="48"/>
      <c r="M296" s="48">
        <v>0</v>
      </c>
      <c r="N296" s="48"/>
      <c r="O296" s="48">
        <v>0</v>
      </c>
      <c r="P296" s="48"/>
      <c r="Q296" s="48">
        <v>0</v>
      </c>
      <c r="R296" s="48">
        <f t="shared" si="16"/>
        <v>0</v>
      </c>
      <c r="S296" s="217"/>
      <c r="T296" s="48">
        <v>-9000000</v>
      </c>
      <c r="U296" s="164">
        <f t="shared" si="15"/>
        <v>0</v>
      </c>
      <c r="V296" s="214"/>
      <c r="W296" s="214"/>
      <c r="X296" s="214"/>
      <c r="Y296" s="214"/>
      <c r="AA296" s="228"/>
      <c r="AB296" s="228"/>
    </row>
    <row r="297" spans="1:28" s="241" customFormat="1" ht="30">
      <c r="A297" s="44">
        <f t="shared" si="14"/>
        <v>290</v>
      </c>
      <c r="B297" s="213" t="s">
        <v>37</v>
      </c>
      <c r="C297" s="213">
        <v>2017</v>
      </c>
      <c r="D297" s="214" t="s">
        <v>362</v>
      </c>
      <c r="E297" s="214" t="s">
        <v>7</v>
      </c>
      <c r="F297" s="215" t="s">
        <v>634</v>
      </c>
      <c r="G297" s="214"/>
      <c r="H297" s="216"/>
      <c r="I297" s="216"/>
      <c r="J297" s="217"/>
      <c r="K297" s="48">
        <v>0</v>
      </c>
      <c r="L297" s="48"/>
      <c r="M297" s="48">
        <v>0</v>
      </c>
      <c r="N297" s="48"/>
      <c r="O297" s="48">
        <v>0</v>
      </c>
      <c r="P297" s="48"/>
      <c r="Q297" s="48">
        <v>0</v>
      </c>
      <c r="R297" s="48">
        <f t="shared" si="16"/>
        <v>0</v>
      </c>
      <c r="S297" s="217"/>
      <c r="T297" s="48">
        <v>-7300000</v>
      </c>
      <c r="U297" s="164">
        <f t="shared" si="15"/>
        <v>0</v>
      </c>
      <c r="V297" s="214"/>
      <c r="W297" s="214"/>
      <c r="X297" s="214"/>
      <c r="Y297" s="214"/>
      <c r="AA297" s="228"/>
      <c r="AB297" s="228"/>
    </row>
    <row r="298" spans="1:28" s="241" customFormat="1" ht="30">
      <c r="A298" s="44">
        <f t="shared" si="14"/>
        <v>291</v>
      </c>
      <c r="B298" s="213" t="s">
        <v>37</v>
      </c>
      <c r="C298" s="213">
        <v>2017</v>
      </c>
      <c r="D298" s="214" t="s">
        <v>362</v>
      </c>
      <c r="E298" s="214" t="s">
        <v>7</v>
      </c>
      <c r="F298" s="215" t="s">
        <v>634</v>
      </c>
      <c r="G298" s="214"/>
      <c r="H298" s="216"/>
      <c r="I298" s="216"/>
      <c r="J298" s="217"/>
      <c r="K298" s="48">
        <v>0</v>
      </c>
      <c r="L298" s="48"/>
      <c r="M298" s="48">
        <v>0</v>
      </c>
      <c r="N298" s="48"/>
      <c r="O298" s="48">
        <v>0</v>
      </c>
      <c r="P298" s="48"/>
      <c r="Q298" s="48">
        <v>0</v>
      </c>
      <c r="R298" s="48">
        <f t="shared" si="16"/>
        <v>0</v>
      </c>
      <c r="S298" s="217"/>
      <c r="T298" s="48">
        <v>-2400000</v>
      </c>
      <c r="U298" s="164">
        <f t="shared" si="15"/>
        <v>0</v>
      </c>
      <c r="V298" s="214"/>
      <c r="W298" s="214"/>
      <c r="X298" s="214"/>
      <c r="Y298" s="214"/>
      <c r="AA298" s="228"/>
      <c r="AB298" s="228"/>
    </row>
    <row r="299" spans="1:28" s="241" customFormat="1" ht="45">
      <c r="A299" s="44">
        <f t="shared" si="14"/>
        <v>292</v>
      </c>
      <c r="B299" s="213" t="s">
        <v>37</v>
      </c>
      <c r="C299" s="213">
        <v>2017</v>
      </c>
      <c r="D299" s="214" t="s">
        <v>362</v>
      </c>
      <c r="E299" s="214" t="s">
        <v>7</v>
      </c>
      <c r="F299" s="215" t="s">
        <v>635</v>
      </c>
      <c r="G299" s="214"/>
      <c r="H299" s="216"/>
      <c r="I299" s="216"/>
      <c r="J299" s="217"/>
      <c r="K299" s="48">
        <v>0</v>
      </c>
      <c r="L299" s="48"/>
      <c r="M299" s="48">
        <v>0</v>
      </c>
      <c r="N299" s="48"/>
      <c r="O299" s="48">
        <v>0</v>
      </c>
      <c r="P299" s="48"/>
      <c r="Q299" s="48">
        <v>0</v>
      </c>
      <c r="R299" s="48">
        <f t="shared" si="16"/>
        <v>0</v>
      </c>
      <c r="S299" s="217"/>
      <c r="T299" s="48">
        <v>-1292500</v>
      </c>
      <c r="U299" s="164">
        <f t="shared" si="15"/>
        <v>0</v>
      </c>
      <c r="V299" s="214"/>
      <c r="W299" s="214"/>
      <c r="X299" s="214"/>
      <c r="Y299" s="214"/>
      <c r="AA299" s="228"/>
      <c r="AB299" s="228"/>
    </row>
    <row r="300" spans="1:28" s="241" customFormat="1" ht="45">
      <c r="A300" s="44">
        <f t="shared" si="14"/>
        <v>293</v>
      </c>
      <c r="B300" s="213" t="s">
        <v>37</v>
      </c>
      <c r="C300" s="213">
        <v>2017</v>
      </c>
      <c r="D300" s="214" t="s">
        <v>362</v>
      </c>
      <c r="E300" s="214" t="s">
        <v>7</v>
      </c>
      <c r="F300" s="215" t="s">
        <v>636</v>
      </c>
      <c r="G300" s="214"/>
      <c r="H300" s="216"/>
      <c r="I300" s="216"/>
      <c r="J300" s="217"/>
      <c r="K300" s="48">
        <v>0</v>
      </c>
      <c r="L300" s="48"/>
      <c r="M300" s="48">
        <v>0</v>
      </c>
      <c r="N300" s="48"/>
      <c r="O300" s="48">
        <v>0</v>
      </c>
      <c r="P300" s="48"/>
      <c r="Q300" s="48">
        <v>0</v>
      </c>
      <c r="R300" s="48">
        <f t="shared" si="16"/>
        <v>0</v>
      </c>
      <c r="S300" s="217"/>
      <c r="T300" s="48">
        <v>-1195000</v>
      </c>
      <c r="U300" s="164">
        <f t="shared" si="15"/>
        <v>0</v>
      </c>
      <c r="V300" s="214"/>
      <c r="W300" s="214"/>
      <c r="X300" s="214"/>
      <c r="Y300" s="214"/>
      <c r="AA300" s="228"/>
      <c r="AB300" s="228"/>
    </row>
    <row r="301" spans="1:28" s="241" customFormat="1" ht="45">
      <c r="A301" s="44">
        <f t="shared" si="14"/>
        <v>294</v>
      </c>
      <c r="B301" s="213" t="s">
        <v>37</v>
      </c>
      <c r="C301" s="213">
        <v>2016</v>
      </c>
      <c r="D301" s="214" t="s">
        <v>362</v>
      </c>
      <c r="E301" s="214" t="s">
        <v>7</v>
      </c>
      <c r="F301" s="215" t="s">
        <v>502</v>
      </c>
      <c r="G301" s="214"/>
      <c r="H301" s="216"/>
      <c r="I301" s="216"/>
      <c r="J301" s="217"/>
      <c r="K301" s="48">
        <v>0</v>
      </c>
      <c r="L301" s="48"/>
      <c r="M301" s="48">
        <v>0</v>
      </c>
      <c r="N301" s="48"/>
      <c r="O301" s="48">
        <v>0</v>
      </c>
      <c r="P301" s="48"/>
      <c r="Q301" s="48">
        <v>0</v>
      </c>
      <c r="R301" s="48">
        <f t="shared" si="16"/>
        <v>0</v>
      </c>
      <c r="S301" s="217"/>
      <c r="T301" s="48">
        <v>-477000</v>
      </c>
      <c r="U301" s="164">
        <f t="shared" si="15"/>
        <v>0</v>
      </c>
      <c r="V301" s="214"/>
      <c r="W301" s="214"/>
      <c r="X301" s="214"/>
      <c r="Y301" s="214"/>
      <c r="AA301" s="228"/>
      <c r="AB301" s="228"/>
    </row>
    <row r="302" spans="1:28" s="241" customFormat="1" ht="45">
      <c r="A302" s="44">
        <f t="shared" si="14"/>
        <v>295</v>
      </c>
      <c r="B302" s="213" t="s">
        <v>37</v>
      </c>
      <c r="C302" s="213">
        <v>2016</v>
      </c>
      <c r="D302" s="214" t="s">
        <v>362</v>
      </c>
      <c r="E302" s="214" t="s">
        <v>7</v>
      </c>
      <c r="F302" s="215" t="s">
        <v>504</v>
      </c>
      <c r="G302" s="214"/>
      <c r="H302" s="216"/>
      <c r="I302" s="216"/>
      <c r="J302" s="217"/>
      <c r="K302" s="48">
        <v>0</v>
      </c>
      <c r="L302" s="48"/>
      <c r="M302" s="48">
        <v>0</v>
      </c>
      <c r="N302" s="48"/>
      <c r="O302" s="48">
        <v>0</v>
      </c>
      <c r="P302" s="48"/>
      <c r="Q302" s="48">
        <v>0</v>
      </c>
      <c r="R302" s="48">
        <f t="shared" si="16"/>
        <v>0</v>
      </c>
      <c r="S302" s="217"/>
      <c r="T302" s="48">
        <v>-1464400</v>
      </c>
      <c r="U302" s="164">
        <f t="shared" si="15"/>
        <v>0</v>
      </c>
      <c r="V302" s="214"/>
      <c r="W302" s="214"/>
      <c r="X302" s="214"/>
      <c r="Y302" s="214"/>
      <c r="AA302" s="228"/>
      <c r="AB302" s="228"/>
    </row>
    <row r="303" spans="1:28" s="241" customFormat="1" ht="45">
      <c r="A303" s="44">
        <f t="shared" si="14"/>
        <v>296</v>
      </c>
      <c r="B303" s="213" t="s">
        <v>37</v>
      </c>
      <c r="C303" s="213">
        <v>2016</v>
      </c>
      <c r="D303" s="214" t="s">
        <v>362</v>
      </c>
      <c r="E303" s="214" t="s">
        <v>7</v>
      </c>
      <c r="F303" s="215" t="s">
        <v>503</v>
      </c>
      <c r="G303" s="214"/>
      <c r="H303" s="216"/>
      <c r="I303" s="216"/>
      <c r="J303" s="217"/>
      <c r="K303" s="48">
        <v>0</v>
      </c>
      <c r="L303" s="48"/>
      <c r="M303" s="48">
        <v>0</v>
      </c>
      <c r="N303" s="48"/>
      <c r="O303" s="48">
        <v>0</v>
      </c>
      <c r="P303" s="48"/>
      <c r="Q303" s="48">
        <v>0</v>
      </c>
      <c r="R303" s="48">
        <f t="shared" si="16"/>
        <v>0</v>
      </c>
      <c r="S303" s="217"/>
      <c r="T303" s="48">
        <v>-500000</v>
      </c>
      <c r="U303" s="164">
        <f t="shared" si="15"/>
        <v>0</v>
      </c>
      <c r="V303" s="214"/>
      <c r="W303" s="214"/>
      <c r="X303" s="214"/>
      <c r="Y303" s="214"/>
      <c r="AA303" s="228"/>
      <c r="AB303" s="228"/>
    </row>
    <row r="304" spans="1:28" s="241" customFormat="1" ht="30">
      <c r="A304" s="44">
        <f t="shared" si="14"/>
        <v>297</v>
      </c>
      <c r="B304" s="213" t="s">
        <v>37</v>
      </c>
      <c r="C304" s="213">
        <v>2017</v>
      </c>
      <c r="D304" s="214" t="s">
        <v>506</v>
      </c>
      <c r="E304" s="214" t="s">
        <v>7</v>
      </c>
      <c r="F304" s="215" t="s">
        <v>485</v>
      </c>
      <c r="G304" s="214"/>
      <c r="H304" s="216"/>
      <c r="I304" s="216"/>
      <c r="J304" s="217"/>
      <c r="K304" s="48">
        <v>0</v>
      </c>
      <c r="L304" s="48"/>
      <c r="M304" s="48">
        <v>0</v>
      </c>
      <c r="N304" s="48"/>
      <c r="O304" s="48">
        <v>0</v>
      </c>
      <c r="P304" s="48"/>
      <c r="Q304" s="48">
        <v>0</v>
      </c>
      <c r="R304" s="48">
        <f t="shared" si="16"/>
        <v>0</v>
      </c>
      <c r="S304" s="217">
        <v>10000000</v>
      </c>
      <c r="T304" s="48">
        <v>10000000</v>
      </c>
      <c r="U304" s="164">
        <f t="shared" si="15"/>
        <v>0</v>
      </c>
      <c r="V304" s="214"/>
      <c r="W304" s="214"/>
      <c r="X304" s="214"/>
      <c r="Y304" s="214"/>
      <c r="AA304" s="228"/>
      <c r="AB304" s="228"/>
    </row>
    <row r="305" spans="1:28" s="241" customFormat="1" ht="30">
      <c r="A305" s="44">
        <f t="shared" si="14"/>
        <v>298</v>
      </c>
      <c r="B305" s="213" t="s">
        <v>37</v>
      </c>
      <c r="C305" s="213">
        <v>2018</v>
      </c>
      <c r="D305" s="214" t="s">
        <v>647</v>
      </c>
      <c r="E305" s="214" t="s">
        <v>7</v>
      </c>
      <c r="F305" s="215" t="s">
        <v>485</v>
      </c>
      <c r="G305" s="214"/>
      <c r="H305" s="216"/>
      <c r="I305" s="216"/>
      <c r="J305" s="217"/>
      <c r="K305" s="48">
        <v>0</v>
      </c>
      <c r="L305" s="48"/>
      <c r="M305" s="48">
        <v>0</v>
      </c>
      <c r="N305" s="48"/>
      <c r="O305" s="48">
        <v>0</v>
      </c>
      <c r="P305" s="48"/>
      <c r="Q305" s="48">
        <v>0</v>
      </c>
      <c r="R305" s="48">
        <f t="shared" si="16"/>
        <v>0</v>
      </c>
      <c r="S305" s="217">
        <v>25000000</v>
      </c>
      <c r="T305" s="48">
        <v>25000000</v>
      </c>
      <c r="U305" s="164">
        <f t="shared" si="15"/>
        <v>0</v>
      </c>
      <c r="V305" s="214"/>
      <c r="W305" s="214"/>
      <c r="X305" s="214"/>
      <c r="Y305" s="214"/>
      <c r="AA305" s="228"/>
      <c r="AB305" s="228"/>
    </row>
    <row r="306" spans="1:28">
      <c r="A306" s="44">
        <f t="shared" si="14"/>
        <v>299</v>
      </c>
      <c r="B306" s="44" t="s">
        <v>37</v>
      </c>
      <c r="C306" s="44">
        <v>2016</v>
      </c>
      <c r="D306" s="45" t="s">
        <v>353</v>
      </c>
      <c r="E306" s="45" t="s">
        <v>7</v>
      </c>
      <c r="F306" s="50" t="s">
        <v>354</v>
      </c>
      <c r="G306" s="45"/>
      <c r="H306" s="218"/>
      <c r="I306" s="218"/>
      <c r="J306" s="48"/>
      <c r="K306" s="48">
        <v>-3049302.81</v>
      </c>
      <c r="L306" s="48"/>
      <c r="M306" s="48">
        <v>0</v>
      </c>
      <c r="N306" s="48"/>
      <c r="O306" s="48">
        <v>0</v>
      </c>
      <c r="P306" s="48"/>
      <c r="Q306" s="48">
        <v>0</v>
      </c>
      <c r="R306" s="48">
        <f t="shared" si="16"/>
        <v>-3049302.81</v>
      </c>
      <c r="S306" s="48"/>
      <c r="T306" s="48">
        <v>0</v>
      </c>
      <c r="U306" s="164" t="str">
        <f t="shared" si="15"/>
        <v/>
      </c>
      <c r="V306" s="45"/>
      <c r="W306" s="45"/>
      <c r="X306" s="45"/>
      <c r="Y306" s="45"/>
      <c r="AA306" s="228"/>
      <c r="AB306" s="228"/>
    </row>
    <row r="307" spans="1:28" s="241" customFormat="1" ht="30">
      <c r="A307" s="44">
        <f t="shared" si="14"/>
        <v>300</v>
      </c>
      <c r="B307" s="213" t="s">
        <v>37</v>
      </c>
      <c r="C307" s="213">
        <v>2017</v>
      </c>
      <c r="D307" s="214" t="s">
        <v>647</v>
      </c>
      <c r="E307" s="214" t="s">
        <v>7</v>
      </c>
      <c r="F307" s="215" t="s">
        <v>742</v>
      </c>
      <c r="G307" s="214"/>
      <c r="H307" s="216"/>
      <c r="I307" s="216"/>
      <c r="J307" s="217"/>
      <c r="K307" s="48">
        <v>0</v>
      </c>
      <c r="L307" s="217"/>
      <c r="M307" s="48">
        <v>0</v>
      </c>
      <c r="N307" s="48"/>
      <c r="O307" s="48">
        <v>0</v>
      </c>
      <c r="P307" s="48"/>
      <c r="Q307" s="48">
        <v>0</v>
      </c>
      <c r="R307" s="48">
        <f t="shared" si="16"/>
        <v>0</v>
      </c>
      <c r="S307" s="217"/>
      <c r="T307" s="48">
        <v>-3300000</v>
      </c>
      <c r="U307" s="164">
        <f t="shared" si="15"/>
        <v>0</v>
      </c>
      <c r="V307" s="214"/>
      <c r="W307" s="214"/>
      <c r="X307" s="214"/>
      <c r="Y307" s="214"/>
      <c r="AA307" s="228"/>
      <c r="AB307" s="228"/>
    </row>
    <row r="308" spans="1:28" s="241" customFormat="1" ht="30">
      <c r="A308" s="44">
        <f t="shared" si="14"/>
        <v>301</v>
      </c>
      <c r="B308" s="213" t="s">
        <v>37</v>
      </c>
      <c r="C308" s="213">
        <v>2017</v>
      </c>
      <c r="D308" s="214" t="s">
        <v>647</v>
      </c>
      <c r="E308" s="214" t="s">
        <v>7</v>
      </c>
      <c r="F308" s="215" t="s">
        <v>655</v>
      </c>
      <c r="G308" s="214"/>
      <c r="H308" s="216"/>
      <c r="I308" s="216"/>
      <c r="J308" s="217"/>
      <c r="K308" s="48">
        <v>0</v>
      </c>
      <c r="L308" s="217"/>
      <c r="M308" s="48">
        <v>0</v>
      </c>
      <c r="N308" s="48"/>
      <c r="O308" s="48">
        <v>0</v>
      </c>
      <c r="P308" s="48"/>
      <c r="Q308" s="48">
        <v>0</v>
      </c>
      <c r="R308" s="48">
        <f t="shared" si="16"/>
        <v>0</v>
      </c>
      <c r="S308" s="217"/>
      <c r="T308" s="48">
        <v>-3908100</v>
      </c>
      <c r="U308" s="164">
        <f t="shared" si="15"/>
        <v>0</v>
      </c>
      <c r="V308" s="214"/>
      <c r="W308" s="214"/>
      <c r="X308" s="214"/>
      <c r="Y308" s="214"/>
      <c r="AA308" s="228"/>
      <c r="AB308" s="228"/>
    </row>
    <row r="309" spans="1:28" s="241" customFormat="1" ht="30">
      <c r="A309" s="44">
        <f t="shared" si="14"/>
        <v>302</v>
      </c>
      <c r="B309" s="213" t="s">
        <v>37</v>
      </c>
      <c r="C309" s="213">
        <v>2017</v>
      </c>
      <c r="D309" s="214" t="s">
        <v>647</v>
      </c>
      <c r="E309" s="214" t="s">
        <v>7</v>
      </c>
      <c r="F309" s="215" t="s">
        <v>634</v>
      </c>
      <c r="G309" s="214"/>
      <c r="H309" s="216"/>
      <c r="I309" s="216"/>
      <c r="J309" s="217"/>
      <c r="K309" s="48">
        <v>0</v>
      </c>
      <c r="L309" s="217"/>
      <c r="M309" s="48">
        <v>0</v>
      </c>
      <c r="N309" s="48"/>
      <c r="O309" s="48">
        <v>0</v>
      </c>
      <c r="P309" s="48"/>
      <c r="Q309" s="48">
        <v>0</v>
      </c>
      <c r="R309" s="48">
        <f t="shared" si="16"/>
        <v>0</v>
      </c>
      <c r="S309" s="217"/>
      <c r="T309" s="48">
        <v>-4000000</v>
      </c>
      <c r="U309" s="164">
        <f t="shared" si="15"/>
        <v>0</v>
      </c>
      <c r="V309" s="214"/>
      <c r="W309" s="214"/>
      <c r="X309" s="214"/>
      <c r="Y309" s="214"/>
      <c r="AA309" s="228"/>
      <c r="AB309" s="228"/>
    </row>
    <row r="310" spans="1:28" s="241" customFormat="1" ht="30">
      <c r="A310" s="44">
        <f t="shared" si="14"/>
        <v>303</v>
      </c>
      <c r="B310" s="213" t="s">
        <v>37</v>
      </c>
      <c r="C310" s="213">
        <v>2017</v>
      </c>
      <c r="D310" s="214" t="s">
        <v>647</v>
      </c>
      <c r="E310" s="214" t="s">
        <v>7</v>
      </c>
      <c r="F310" s="215" t="s">
        <v>657</v>
      </c>
      <c r="G310" s="214"/>
      <c r="H310" s="216"/>
      <c r="I310" s="216"/>
      <c r="J310" s="217"/>
      <c r="K310" s="48">
        <v>0</v>
      </c>
      <c r="L310" s="217"/>
      <c r="M310" s="48">
        <v>0</v>
      </c>
      <c r="N310" s="48"/>
      <c r="O310" s="48">
        <v>0</v>
      </c>
      <c r="P310" s="48"/>
      <c r="Q310" s="48">
        <v>0</v>
      </c>
      <c r="R310" s="48">
        <f t="shared" si="16"/>
        <v>0</v>
      </c>
      <c r="S310" s="217"/>
      <c r="T310" s="48">
        <v>-400000</v>
      </c>
      <c r="U310" s="164">
        <f t="shared" ref="U310:U341" si="17">IF(T310=0,"",(R310)/T310)</f>
        <v>0</v>
      </c>
      <c r="V310" s="214"/>
      <c r="W310" s="214"/>
      <c r="X310" s="214"/>
      <c r="Y310" s="214"/>
      <c r="AA310" s="228"/>
      <c r="AB310" s="228"/>
    </row>
    <row r="311" spans="1:28" s="241" customFormat="1" ht="30">
      <c r="A311" s="44">
        <f t="shared" si="14"/>
        <v>304</v>
      </c>
      <c r="B311" s="213" t="s">
        <v>37</v>
      </c>
      <c r="C311" s="213">
        <v>2017</v>
      </c>
      <c r="D311" s="214" t="s">
        <v>647</v>
      </c>
      <c r="E311" s="214" t="s">
        <v>7</v>
      </c>
      <c r="F311" s="215" t="s">
        <v>656</v>
      </c>
      <c r="G311" s="214"/>
      <c r="H311" s="216"/>
      <c r="I311" s="216"/>
      <c r="J311" s="217"/>
      <c r="K311" s="48">
        <v>0</v>
      </c>
      <c r="L311" s="217"/>
      <c r="M311" s="48">
        <v>0</v>
      </c>
      <c r="N311" s="48"/>
      <c r="O311" s="48">
        <v>0</v>
      </c>
      <c r="P311" s="48"/>
      <c r="Q311" s="48">
        <v>0</v>
      </c>
      <c r="R311" s="48">
        <f t="shared" si="16"/>
        <v>0</v>
      </c>
      <c r="S311" s="217"/>
      <c r="T311" s="48">
        <v>-500000</v>
      </c>
      <c r="U311" s="164">
        <f t="shared" si="17"/>
        <v>0</v>
      </c>
      <c r="V311" s="214"/>
      <c r="W311" s="214"/>
      <c r="X311" s="214"/>
      <c r="Y311" s="214"/>
      <c r="AA311" s="228"/>
      <c r="AB311" s="228"/>
    </row>
    <row r="312" spans="1:28" ht="30">
      <c r="A312" s="44">
        <f t="shared" si="14"/>
        <v>305</v>
      </c>
      <c r="B312" s="44" t="s">
        <v>37</v>
      </c>
      <c r="C312" s="44">
        <v>2017</v>
      </c>
      <c r="D312" s="45" t="s">
        <v>647</v>
      </c>
      <c r="E312" s="45" t="s">
        <v>7</v>
      </c>
      <c r="F312" s="50" t="s">
        <v>840</v>
      </c>
      <c r="G312" s="45"/>
      <c r="H312" s="218"/>
      <c r="I312" s="218"/>
      <c r="J312" s="48"/>
      <c r="K312" s="48">
        <v>0</v>
      </c>
      <c r="L312" s="48"/>
      <c r="M312" s="48">
        <v>0</v>
      </c>
      <c r="N312" s="48"/>
      <c r="O312" s="48">
        <v>500000</v>
      </c>
      <c r="P312" s="48"/>
      <c r="Q312" s="48">
        <v>0</v>
      </c>
      <c r="R312" s="48">
        <f t="shared" si="16"/>
        <v>500000</v>
      </c>
      <c r="S312" s="48"/>
      <c r="T312" s="48">
        <v>500000</v>
      </c>
      <c r="U312" s="164">
        <f t="shared" si="17"/>
        <v>1</v>
      </c>
      <c r="V312" s="45"/>
      <c r="W312" s="45"/>
      <c r="X312" s="45"/>
      <c r="Y312" s="45"/>
      <c r="AA312" s="228"/>
      <c r="AB312" s="228"/>
    </row>
    <row r="313" spans="1:28">
      <c r="A313" s="44">
        <f t="shared" si="14"/>
        <v>306</v>
      </c>
      <c r="B313" s="44" t="s">
        <v>37</v>
      </c>
      <c r="C313" s="44">
        <v>2017</v>
      </c>
      <c r="D313" s="45" t="s">
        <v>353</v>
      </c>
      <c r="E313" s="45" t="s">
        <v>7</v>
      </c>
      <c r="F313" s="50" t="s">
        <v>354</v>
      </c>
      <c r="G313" s="45"/>
      <c r="H313" s="218"/>
      <c r="I313" s="218"/>
      <c r="J313" s="48"/>
      <c r="K313" s="48">
        <v>0</v>
      </c>
      <c r="L313" s="48"/>
      <c r="M313" s="48">
        <v>-511473</v>
      </c>
      <c r="N313" s="48"/>
      <c r="O313" s="48">
        <v>0</v>
      </c>
      <c r="P313" s="48"/>
      <c r="Q313" s="48">
        <v>0</v>
      </c>
      <c r="R313" s="48">
        <f t="shared" si="16"/>
        <v>-511473</v>
      </c>
      <c r="S313" s="48"/>
      <c r="T313" s="48">
        <v>0</v>
      </c>
      <c r="U313" s="164" t="str">
        <f t="shared" si="17"/>
        <v/>
      </c>
      <c r="V313" s="45"/>
      <c r="W313" s="45"/>
      <c r="X313" s="45"/>
      <c r="Y313" s="45"/>
      <c r="AA313" s="228"/>
      <c r="AB313" s="228"/>
    </row>
    <row r="314" spans="1:28" s="241" customFormat="1" ht="45">
      <c r="A314" s="44">
        <f t="shared" si="14"/>
        <v>307</v>
      </c>
      <c r="B314" s="213" t="s">
        <v>37</v>
      </c>
      <c r="C314" s="213">
        <v>2018</v>
      </c>
      <c r="D314" s="214" t="s">
        <v>647</v>
      </c>
      <c r="E314" s="214" t="s">
        <v>7</v>
      </c>
      <c r="F314" s="215" t="s">
        <v>678</v>
      </c>
      <c r="G314" s="214"/>
      <c r="H314" s="216"/>
      <c r="I314" s="216"/>
      <c r="J314" s="217"/>
      <c r="K314" s="48">
        <v>0</v>
      </c>
      <c r="L314" s="217"/>
      <c r="M314" s="48">
        <v>0</v>
      </c>
      <c r="N314" s="48"/>
      <c r="O314" s="48">
        <v>0</v>
      </c>
      <c r="P314" s="48"/>
      <c r="Q314" s="48">
        <v>0</v>
      </c>
      <c r="R314" s="48">
        <f t="shared" si="16"/>
        <v>0</v>
      </c>
      <c r="S314" s="217"/>
      <c r="T314" s="48">
        <v>-2200000</v>
      </c>
      <c r="U314" s="164">
        <f t="shared" si="17"/>
        <v>0</v>
      </c>
      <c r="V314" s="214"/>
      <c r="W314" s="214"/>
      <c r="X314" s="214"/>
      <c r="Y314" s="214"/>
      <c r="AA314" s="228"/>
      <c r="AB314" s="228"/>
    </row>
    <row r="315" spans="1:28" s="241" customFormat="1" ht="60">
      <c r="A315" s="44">
        <f t="shared" si="14"/>
        <v>308</v>
      </c>
      <c r="B315" s="213" t="s">
        <v>37</v>
      </c>
      <c r="C315" s="213">
        <v>2018</v>
      </c>
      <c r="D315" s="214" t="s">
        <v>647</v>
      </c>
      <c r="E315" s="214" t="s">
        <v>7</v>
      </c>
      <c r="F315" s="215" t="s">
        <v>682</v>
      </c>
      <c r="G315" s="214"/>
      <c r="H315" s="216"/>
      <c r="I315" s="216"/>
      <c r="J315" s="217"/>
      <c r="K315" s="48">
        <v>0</v>
      </c>
      <c r="L315" s="217"/>
      <c r="M315" s="48">
        <v>0</v>
      </c>
      <c r="N315" s="48"/>
      <c r="O315" s="48">
        <v>0</v>
      </c>
      <c r="P315" s="48"/>
      <c r="Q315" s="48">
        <v>0</v>
      </c>
      <c r="R315" s="48">
        <f t="shared" si="16"/>
        <v>0</v>
      </c>
      <c r="S315" s="217"/>
      <c r="T315" s="48">
        <v>-7500000</v>
      </c>
      <c r="U315" s="164">
        <f t="shared" si="17"/>
        <v>0</v>
      </c>
      <c r="V315" s="214"/>
      <c r="W315" s="214"/>
      <c r="X315" s="214"/>
      <c r="Y315" s="214"/>
      <c r="AA315" s="228"/>
      <c r="AB315" s="228"/>
    </row>
    <row r="316" spans="1:28" s="241" customFormat="1" ht="30">
      <c r="A316" s="44">
        <f t="shared" si="14"/>
        <v>309</v>
      </c>
      <c r="B316" s="213" t="s">
        <v>37</v>
      </c>
      <c r="C316" s="213">
        <v>2018</v>
      </c>
      <c r="D316" s="214" t="s">
        <v>743</v>
      </c>
      <c r="E316" s="213" t="s">
        <v>7</v>
      </c>
      <c r="F316" s="215" t="s">
        <v>751</v>
      </c>
      <c r="G316" s="214"/>
      <c r="H316" s="238"/>
      <c r="I316" s="238"/>
      <c r="J316" s="217"/>
      <c r="K316" s="48">
        <v>0</v>
      </c>
      <c r="L316" s="217"/>
      <c r="M316" s="48">
        <v>0</v>
      </c>
      <c r="N316" s="217"/>
      <c r="O316" s="48">
        <v>0</v>
      </c>
      <c r="P316" s="217"/>
      <c r="Q316" s="48">
        <v>0</v>
      </c>
      <c r="R316" s="48">
        <f t="shared" si="16"/>
        <v>0</v>
      </c>
      <c r="S316" s="239"/>
      <c r="T316" s="48">
        <v>-2000000</v>
      </c>
      <c r="U316" s="164">
        <f t="shared" si="17"/>
        <v>0</v>
      </c>
      <c r="V316" s="214"/>
      <c r="W316" s="214"/>
      <c r="X316" s="213"/>
      <c r="Y316" s="214"/>
      <c r="AA316" s="242"/>
      <c r="AB316" s="242"/>
    </row>
    <row r="317" spans="1:28" s="241" customFormat="1" ht="60">
      <c r="A317" s="44">
        <f t="shared" si="14"/>
        <v>310</v>
      </c>
      <c r="B317" s="213" t="s">
        <v>37</v>
      </c>
      <c r="C317" s="213">
        <v>2018</v>
      </c>
      <c r="D317" s="214" t="s">
        <v>647</v>
      </c>
      <c r="E317" s="45" t="s">
        <v>7</v>
      </c>
      <c r="F317" s="50" t="s">
        <v>846</v>
      </c>
      <c r="G317" s="214"/>
      <c r="H317" s="238"/>
      <c r="I317" s="238"/>
      <c r="J317" s="217"/>
      <c r="K317" s="48">
        <v>0</v>
      </c>
      <c r="L317" s="217"/>
      <c r="M317" s="48">
        <v>0</v>
      </c>
      <c r="N317" s="217"/>
      <c r="O317" s="48">
        <v>0</v>
      </c>
      <c r="P317" s="217"/>
      <c r="Q317" s="48">
        <v>0</v>
      </c>
      <c r="R317" s="48">
        <f t="shared" si="16"/>
        <v>0</v>
      </c>
      <c r="S317" s="239"/>
      <c r="T317" s="48">
        <v>-500000</v>
      </c>
      <c r="U317" s="164">
        <f t="shared" si="17"/>
        <v>0</v>
      </c>
      <c r="V317" s="214"/>
      <c r="W317" s="214"/>
      <c r="X317" s="213"/>
      <c r="Y317" s="214"/>
      <c r="AA317" s="242"/>
      <c r="AB317" s="242"/>
    </row>
    <row r="318" spans="1:28" s="241" customFormat="1" ht="45">
      <c r="A318" s="44">
        <f t="shared" si="14"/>
        <v>311</v>
      </c>
      <c r="B318" s="213" t="s">
        <v>37</v>
      </c>
      <c r="C318" s="213">
        <v>2018</v>
      </c>
      <c r="D318" s="214" t="s">
        <v>647</v>
      </c>
      <c r="E318" s="45" t="s">
        <v>7</v>
      </c>
      <c r="F318" s="50" t="s">
        <v>847</v>
      </c>
      <c r="G318" s="214"/>
      <c r="H318" s="238"/>
      <c r="I318" s="238"/>
      <c r="J318" s="217"/>
      <c r="K318" s="48">
        <v>0</v>
      </c>
      <c r="L318" s="217"/>
      <c r="M318" s="48">
        <v>0</v>
      </c>
      <c r="N318" s="217"/>
      <c r="O318" s="48">
        <v>0</v>
      </c>
      <c r="P318" s="217"/>
      <c r="Q318" s="48">
        <v>0</v>
      </c>
      <c r="R318" s="48">
        <f t="shared" si="16"/>
        <v>0</v>
      </c>
      <c r="S318" s="239"/>
      <c r="T318" s="48">
        <v>-50000</v>
      </c>
      <c r="U318" s="164">
        <f t="shared" si="17"/>
        <v>0</v>
      </c>
      <c r="V318" s="214"/>
      <c r="W318" s="214"/>
      <c r="X318" s="213"/>
      <c r="Y318" s="214"/>
      <c r="AA318" s="242"/>
      <c r="AB318" s="242"/>
    </row>
    <row r="319" spans="1:28" s="241" customFormat="1" ht="30">
      <c r="A319" s="44">
        <f t="shared" si="14"/>
        <v>312</v>
      </c>
      <c r="B319" s="213" t="s">
        <v>37</v>
      </c>
      <c r="C319" s="213">
        <v>2019</v>
      </c>
      <c r="D319" s="214" t="s">
        <v>743</v>
      </c>
      <c r="E319" s="45" t="s">
        <v>7</v>
      </c>
      <c r="F319" s="50" t="s">
        <v>850</v>
      </c>
      <c r="G319" s="214"/>
      <c r="H319" s="238"/>
      <c r="I319" s="238"/>
      <c r="J319" s="217"/>
      <c r="K319" s="48">
        <v>0</v>
      </c>
      <c r="L319" s="217"/>
      <c r="M319" s="48">
        <v>0</v>
      </c>
      <c r="N319" s="217"/>
      <c r="O319" s="48">
        <v>0</v>
      </c>
      <c r="P319" s="217"/>
      <c r="Q319" s="48">
        <v>0</v>
      </c>
      <c r="R319" s="48">
        <f t="shared" si="16"/>
        <v>0</v>
      </c>
      <c r="S319" s="239"/>
      <c r="T319" s="48">
        <v>-200000</v>
      </c>
      <c r="U319" s="164">
        <f t="shared" si="17"/>
        <v>0</v>
      </c>
      <c r="V319" s="214"/>
      <c r="W319" s="214"/>
      <c r="X319" s="213"/>
      <c r="Y319" s="214"/>
      <c r="AA319" s="242"/>
      <c r="AB319" s="242"/>
    </row>
    <row r="320" spans="1:28" s="241" customFormat="1" ht="30">
      <c r="A320" s="44">
        <f t="shared" si="14"/>
        <v>313</v>
      </c>
      <c r="B320" s="213" t="s">
        <v>37</v>
      </c>
      <c r="C320" s="213">
        <v>2019</v>
      </c>
      <c r="D320" s="214" t="s">
        <v>743</v>
      </c>
      <c r="E320" s="45" t="s">
        <v>7</v>
      </c>
      <c r="F320" s="50" t="s">
        <v>851</v>
      </c>
      <c r="G320" s="214"/>
      <c r="H320" s="238"/>
      <c r="I320" s="238"/>
      <c r="J320" s="217"/>
      <c r="K320" s="48">
        <v>0</v>
      </c>
      <c r="L320" s="217"/>
      <c r="M320" s="48">
        <v>0</v>
      </c>
      <c r="N320" s="217"/>
      <c r="O320" s="48">
        <v>0</v>
      </c>
      <c r="P320" s="217"/>
      <c r="Q320" s="48">
        <v>0</v>
      </c>
      <c r="R320" s="48">
        <f t="shared" si="16"/>
        <v>0</v>
      </c>
      <c r="S320" s="239"/>
      <c r="T320" s="48">
        <v>-180000</v>
      </c>
      <c r="U320" s="164">
        <f t="shared" si="17"/>
        <v>0</v>
      </c>
      <c r="V320" s="214"/>
      <c r="W320" s="214"/>
      <c r="X320" s="213"/>
      <c r="Y320" s="214"/>
      <c r="AA320" s="242"/>
      <c r="AB320" s="242"/>
    </row>
    <row r="321" spans="1:28" s="241" customFormat="1" ht="45">
      <c r="A321" s="44">
        <f t="shared" si="14"/>
        <v>314</v>
      </c>
      <c r="B321" s="213" t="s">
        <v>37</v>
      </c>
      <c r="C321" s="213">
        <v>2019</v>
      </c>
      <c r="D321" s="214" t="s">
        <v>743</v>
      </c>
      <c r="E321" s="45" t="s">
        <v>7</v>
      </c>
      <c r="F321" s="50" t="s">
        <v>852</v>
      </c>
      <c r="G321" s="214"/>
      <c r="H321" s="238"/>
      <c r="I321" s="238"/>
      <c r="J321" s="217"/>
      <c r="K321" s="48">
        <v>0</v>
      </c>
      <c r="L321" s="217"/>
      <c r="M321" s="48">
        <v>0</v>
      </c>
      <c r="N321" s="217"/>
      <c r="O321" s="48">
        <v>0</v>
      </c>
      <c r="P321" s="217"/>
      <c r="Q321" s="48">
        <v>0</v>
      </c>
      <c r="R321" s="48">
        <f t="shared" si="16"/>
        <v>0</v>
      </c>
      <c r="S321" s="239"/>
      <c r="T321" s="48">
        <v>-5233000</v>
      </c>
      <c r="U321" s="164">
        <f t="shared" si="17"/>
        <v>0</v>
      </c>
      <c r="V321" s="214"/>
      <c r="W321" s="214"/>
      <c r="X321" s="213"/>
      <c r="Y321" s="214"/>
      <c r="AA321" s="242"/>
      <c r="AB321" s="242"/>
    </row>
    <row r="322" spans="1:28" ht="30">
      <c r="A322" s="44">
        <f t="shared" si="14"/>
        <v>315</v>
      </c>
      <c r="B322" s="45" t="s">
        <v>37</v>
      </c>
      <c r="C322" s="44">
        <v>2019</v>
      </c>
      <c r="D322" s="45" t="s">
        <v>743</v>
      </c>
      <c r="E322" s="44" t="s">
        <v>7</v>
      </c>
      <c r="F322" s="50" t="s">
        <v>744</v>
      </c>
      <c r="G322" s="45"/>
      <c r="H322" s="47"/>
      <c r="I322" s="47"/>
      <c r="J322" s="48"/>
      <c r="K322" s="48">
        <v>0</v>
      </c>
      <c r="L322" s="48"/>
      <c r="M322" s="48">
        <v>0</v>
      </c>
      <c r="N322" s="48"/>
      <c r="O322" s="48">
        <v>0</v>
      </c>
      <c r="P322" s="48"/>
      <c r="Q322" s="48">
        <v>0</v>
      </c>
      <c r="R322" s="48">
        <f t="shared" si="16"/>
        <v>0</v>
      </c>
      <c r="S322" s="49"/>
      <c r="T322" s="48">
        <v>100</v>
      </c>
      <c r="U322" s="164">
        <f t="shared" si="17"/>
        <v>0</v>
      </c>
      <c r="V322" s="45"/>
      <c r="W322" s="45"/>
      <c r="X322" s="44"/>
      <c r="Y322" s="45"/>
      <c r="AA322" s="228"/>
      <c r="AB322" s="228"/>
    </row>
    <row r="323" spans="1:28" ht="135">
      <c r="A323" s="44">
        <f t="shared" si="14"/>
        <v>316</v>
      </c>
      <c r="B323" s="44" t="s">
        <v>38</v>
      </c>
      <c r="C323" s="44" t="s">
        <v>427</v>
      </c>
      <c r="D323" s="45" t="s">
        <v>19</v>
      </c>
      <c r="E323" s="44" t="s">
        <v>7</v>
      </c>
      <c r="F323" s="50" t="s">
        <v>149</v>
      </c>
      <c r="G323" s="45" t="s">
        <v>404</v>
      </c>
      <c r="H323" s="47"/>
      <c r="I323" s="47">
        <v>0</v>
      </c>
      <c r="J323" s="48"/>
      <c r="K323" s="48">
        <v>694135.23</v>
      </c>
      <c r="L323" s="48"/>
      <c r="M323" s="48">
        <v>0</v>
      </c>
      <c r="N323" s="48"/>
      <c r="O323" s="48">
        <v>0</v>
      </c>
      <c r="P323" s="48"/>
      <c r="Q323" s="48">
        <v>0</v>
      </c>
      <c r="R323" s="48">
        <f t="shared" si="16"/>
        <v>694135.23</v>
      </c>
      <c r="S323" s="49"/>
      <c r="T323" s="48">
        <v>0</v>
      </c>
      <c r="U323" s="164" t="str">
        <f t="shared" si="17"/>
        <v/>
      </c>
      <c r="V323" s="45" t="s">
        <v>293</v>
      </c>
      <c r="W323" s="45" t="s">
        <v>294</v>
      </c>
      <c r="X323" s="219" t="s">
        <v>478</v>
      </c>
      <c r="Y323" s="45" t="s">
        <v>295</v>
      </c>
      <c r="AA323" s="228"/>
      <c r="AB323" s="228"/>
    </row>
    <row r="324" spans="1:28">
      <c r="A324" s="44">
        <f t="shared" si="14"/>
        <v>317</v>
      </c>
      <c r="B324" s="44" t="s">
        <v>38</v>
      </c>
      <c r="C324" s="44">
        <v>2016</v>
      </c>
      <c r="D324" s="45" t="s">
        <v>353</v>
      </c>
      <c r="E324" s="44" t="s">
        <v>7</v>
      </c>
      <c r="F324" s="50" t="s">
        <v>354</v>
      </c>
      <c r="G324" s="45"/>
      <c r="H324" s="47"/>
      <c r="I324" s="47"/>
      <c r="J324" s="48"/>
      <c r="K324" s="48">
        <v>-694095.99</v>
      </c>
      <c r="L324" s="48"/>
      <c r="M324" s="48">
        <v>0</v>
      </c>
      <c r="N324" s="48"/>
      <c r="O324" s="48">
        <v>0</v>
      </c>
      <c r="P324" s="48"/>
      <c r="Q324" s="48">
        <v>0</v>
      </c>
      <c r="R324" s="48">
        <f t="shared" si="16"/>
        <v>-694095.99</v>
      </c>
      <c r="S324" s="49"/>
      <c r="T324" s="48">
        <v>0</v>
      </c>
      <c r="U324" s="164" t="str">
        <f t="shared" si="17"/>
        <v/>
      </c>
      <c r="V324" s="45"/>
      <c r="W324" s="45"/>
      <c r="X324" s="219"/>
      <c r="Y324" s="45"/>
      <c r="AA324" s="228"/>
      <c r="AB324" s="228"/>
    </row>
    <row r="325" spans="1:28" ht="45">
      <c r="A325" s="44">
        <f t="shared" si="14"/>
        <v>318</v>
      </c>
      <c r="B325" s="44" t="s">
        <v>39</v>
      </c>
      <c r="C325" s="44" t="s">
        <v>427</v>
      </c>
      <c r="D325" s="45" t="s">
        <v>19</v>
      </c>
      <c r="E325" s="44" t="s">
        <v>7</v>
      </c>
      <c r="F325" s="50" t="s">
        <v>150</v>
      </c>
      <c r="G325" s="45" t="s">
        <v>254</v>
      </c>
      <c r="H325" s="47"/>
      <c r="I325" s="47"/>
      <c r="J325" s="48"/>
      <c r="K325" s="48">
        <v>2000000</v>
      </c>
      <c r="L325" s="48"/>
      <c r="M325" s="48">
        <v>0</v>
      </c>
      <c r="N325" s="48"/>
      <c r="O325" s="48">
        <v>0</v>
      </c>
      <c r="P325" s="48"/>
      <c r="Q325" s="48">
        <v>0</v>
      </c>
      <c r="R325" s="48">
        <f t="shared" si="16"/>
        <v>2000000</v>
      </c>
      <c r="S325" s="49"/>
      <c r="T325" s="48">
        <v>0</v>
      </c>
      <c r="U325" s="164" t="str">
        <f t="shared" si="17"/>
        <v/>
      </c>
      <c r="V325" s="45" t="s">
        <v>150</v>
      </c>
      <c r="W325" s="45" t="s">
        <v>150</v>
      </c>
      <c r="X325" s="45"/>
      <c r="Y325" s="45" t="s">
        <v>151</v>
      </c>
      <c r="AA325" s="228"/>
      <c r="AB325" s="228"/>
    </row>
    <row r="326" spans="1:28" ht="60">
      <c r="A326" s="44">
        <f t="shared" si="14"/>
        <v>319</v>
      </c>
      <c r="B326" s="44" t="s">
        <v>39</v>
      </c>
      <c r="C326" s="44">
        <v>2016</v>
      </c>
      <c r="D326" s="45" t="s">
        <v>359</v>
      </c>
      <c r="E326" s="44" t="s">
        <v>7</v>
      </c>
      <c r="F326" s="50" t="s">
        <v>152</v>
      </c>
      <c r="G326" s="45" t="s">
        <v>296</v>
      </c>
      <c r="H326" s="47">
        <v>10000</v>
      </c>
      <c r="I326" s="47"/>
      <c r="J326" s="48"/>
      <c r="K326" s="48">
        <v>0</v>
      </c>
      <c r="L326" s="48"/>
      <c r="M326" s="48">
        <v>0</v>
      </c>
      <c r="N326" s="48"/>
      <c r="O326" s="48">
        <v>0</v>
      </c>
      <c r="P326" s="48"/>
      <c r="Q326" s="48">
        <v>0</v>
      </c>
      <c r="R326" s="48">
        <f t="shared" si="16"/>
        <v>10000</v>
      </c>
      <c r="S326" s="49"/>
      <c r="T326" s="48">
        <v>0</v>
      </c>
      <c r="U326" s="164" t="str">
        <f t="shared" si="17"/>
        <v/>
      </c>
      <c r="V326" s="45" t="s">
        <v>232</v>
      </c>
      <c r="W326" s="45" t="s">
        <v>153</v>
      </c>
      <c r="X326" s="44"/>
      <c r="Y326" s="45" t="s">
        <v>405</v>
      </c>
      <c r="AA326" s="228"/>
      <c r="AB326" s="228"/>
    </row>
    <row r="327" spans="1:28" ht="60">
      <c r="A327" s="44">
        <f t="shared" si="14"/>
        <v>320</v>
      </c>
      <c r="B327" s="44" t="s">
        <v>39</v>
      </c>
      <c r="C327" s="44">
        <v>2016</v>
      </c>
      <c r="D327" s="45" t="s">
        <v>47</v>
      </c>
      <c r="E327" s="45" t="s">
        <v>41</v>
      </c>
      <c r="F327" s="50" t="s">
        <v>406</v>
      </c>
      <c r="G327" s="45" t="s">
        <v>254</v>
      </c>
      <c r="H327" s="47"/>
      <c r="I327" s="47"/>
      <c r="J327" s="48">
        <v>30000000</v>
      </c>
      <c r="K327" s="48">
        <v>30000000</v>
      </c>
      <c r="L327" s="48"/>
      <c r="M327" s="48">
        <v>0</v>
      </c>
      <c r="N327" s="48"/>
      <c r="O327" s="48">
        <v>0</v>
      </c>
      <c r="P327" s="48"/>
      <c r="Q327" s="48">
        <v>0</v>
      </c>
      <c r="R327" s="48">
        <f t="shared" si="16"/>
        <v>30000000</v>
      </c>
      <c r="S327" s="49">
        <v>30000000</v>
      </c>
      <c r="T327" s="48">
        <v>30000000</v>
      </c>
      <c r="U327" s="164">
        <f t="shared" si="17"/>
        <v>1</v>
      </c>
      <c r="V327" s="45" t="s">
        <v>233</v>
      </c>
      <c r="W327" s="45" t="s">
        <v>154</v>
      </c>
      <c r="X327" s="44"/>
      <c r="Y327" s="45" t="s">
        <v>510</v>
      </c>
      <c r="AA327" s="228"/>
      <c r="AB327" s="228"/>
    </row>
    <row r="328" spans="1:28" ht="45">
      <c r="A328" s="44">
        <f t="shared" si="14"/>
        <v>321</v>
      </c>
      <c r="B328" s="44" t="s">
        <v>39</v>
      </c>
      <c r="C328" s="44">
        <v>2016</v>
      </c>
      <c r="D328" s="45" t="s">
        <v>362</v>
      </c>
      <c r="E328" s="45" t="s">
        <v>7</v>
      </c>
      <c r="F328" s="50" t="s">
        <v>407</v>
      </c>
      <c r="G328" s="45" t="s">
        <v>254</v>
      </c>
      <c r="H328" s="47"/>
      <c r="I328" s="47"/>
      <c r="J328" s="48"/>
      <c r="K328" s="48">
        <v>0</v>
      </c>
      <c r="L328" s="48">
        <f>133319.84+5915+111006.36+3243.2+12000</f>
        <v>265484.40000000002</v>
      </c>
      <c r="M328" s="48">
        <v>265484.40000000002</v>
      </c>
      <c r="N328" s="48"/>
      <c r="O328" s="48">
        <v>0</v>
      </c>
      <c r="P328" s="48"/>
      <c r="Q328" s="48">
        <v>0</v>
      </c>
      <c r="R328" s="48">
        <f t="shared" si="16"/>
        <v>265484.40000000002</v>
      </c>
      <c r="S328" s="49">
        <v>1380000</v>
      </c>
      <c r="T328" s="48">
        <v>1380000</v>
      </c>
      <c r="U328" s="164">
        <f t="shared" si="17"/>
        <v>0.19238000000000002</v>
      </c>
      <c r="V328" s="45" t="s">
        <v>408</v>
      </c>
      <c r="W328" s="45" t="s">
        <v>409</v>
      </c>
      <c r="X328" s="44"/>
      <c r="Y328" s="45"/>
      <c r="AA328" s="228"/>
      <c r="AB328" s="228"/>
    </row>
    <row r="329" spans="1:28" ht="105">
      <c r="A329" s="44">
        <f t="shared" si="14"/>
        <v>322</v>
      </c>
      <c r="B329" s="44" t="s">
        <v>39</v>
      </c>
      <c r="C329" s="44">
        <v>2016</v>
      </c>
      <c r="D329" s="45" t="s">
        <v>362</v>
      </c>
      <c r="E329" s="45" t="s">
        <v>41</v>
      </c>
      <c r="F329" s="50" t="s">
        <v>406</v>
      </c>
      <c r="G329" s="45" t="s">
        <v>254</v>
      </c>
      <c r="H329" s="47">
        <v>785714.2</v>
      </c>
      <c r="I329" s="47"/>
      <c r="J329" s="48">
        <f>1080157</f>
        <v>1080157</v>
      </c>
      <c r="K329" s="48">
        <v>1080157</v>
      </c>
      <c r="L329" s="48">
        <v>9871973</v>
      </c>
      <c r="M329" s="48">
        <v>9871973</v>
      </c>
      <c r="N329" s="48"/>
      <c r="O329" s="48">
        <v>0</v>
      </c>
      <c r="P329" s="48"/>
      <c r="Q329" s="48">
        <v>0</v>
      </c>
      <c r="R329" s="48">
        <f t="shared" si="16"/>
        <v>11737844.199999999</v>
      </c>
      <c r="S329" s="49">
        <v>12750000</v>
      </c>
      <c r="T329" s="48">
        <v>12750000</v>
      </c>
      <c r="U329" s="164">
        <f t="shared" si="17"/>
        <v>0.92061523137254897</v>
      </c>
      <c r="V329" s="45" t="s">
        <v>233</v>
      </c>
      <c r="W329" s="45" t="s">
        <v>154</v>
      </c>
      <c r="X329" s="44"/>
      <c r="Y329" s="45" t="s">
        <v>641</v>
      </c>
      <c r="AA329" s="228"/>
      <c r="AB329" s="228"/>
    </row>
    <row r="330" spans="1:28" ht="30">
      <c r="A330" s="44">
        <f t="shared" ref="A330:A353" si="18">+A329+1</f>
        <v>323</v>
      </c>
      <c r="B330" s="44" t="s">
        <v>39</v>
      </c>
      <c r="C330" s="44">
        <v>2017</v>
      </c>
      <c r="D330" s="45" t="s">
        <v>362</v>
      </c>
      <c r="E330" s="45" t="s">
        <v>7</v>
      </c>
      <c r="F330" s="50" t="s">
        <v>658</v>
      </c>
      <c r="G330" s="45"/>
      <c r="H330" s="47"/>
      <c r="I330" s="47"/>
      <c r="J330" s="48"/>
      <c r="K330" s="48">
        <v>0</v>
      </c>
      <c r="L330" s="48"/>
      <c r="M330" s="48">
        <v>0</v>
      </c>
      <c r="N330" s="48"/>
      <c r="O330" s="48">
        <v>0</v>
      </c>
      <c r="P330" s="48"/>
      <c r="Q330" s="48">
        <v>0</v>
      </c>
      <c r="R330" s="48">
        <f t="shared" si="16"/>
        <v>0</v>
      </c>
      <c r="S330" s="49"/>
      <c r="T330" s="48">
        <v>100</v>
      </c>
      <c r="U330" s="164">
        <f t="shared" si="17"/>
        <v>0</v>
      </c>
      <c r="V330" s="45"/>
      <c r="W330" s="45"/>
      <c r="X330" s="44"/>
      <c r="Y330" s="45"/>
      <c r="AA330" s="228"/>
      <c r="AB330" s="228"/>
    </row>
    <row r="331" spans="1:28" ht="60">
      <c r="A331" s="44">
        <f t="shared" si="18"/>
        <v>324</v>
      </c>
      <c r="B331" s="44" t="s">
        <v>39</v>
      </c>
      <c r="C331" s="44">
        <v>2018</v>
      </c>
      <c r="D331" s="45" t="s">
        <v>647</v>
      </c>
      <c r="E331" s="45" t="s">
        <v>7</v>
      </c>
      <c r="F331" s="50" t="s">
        <v>844</v>
      </c>
      <c r="G331" s="45"/>
      <c r="H331" s="47"/>
      <c r="I331" s="47"/>
      <c r="J331" s="48"/>
      <c r="K331" s="48">
        <v>0</v>
      </c>
      <c r="L331" s="48"/>
      <c r="M331" s="48">
        <v>0</v>
      </c>
      <c r="N331" s="48"/>
      <c r="O331" s="48">
        <v>0</v>
      </c>
      <c r="P331" s="48"/>
      <c r="Q331" s="48">
        <v>500100</v>
      </c>
      <c r="R331" s="48">
        <f t="shared" si="16"/>
        <v>500100</v>
      </c>
      <c r="S331" s="49"/>
      <c r="T331" s="48">
        <v>500000</v>
      </c>
      <c r="U331" s="164">
        <f t="shared" si="17"/>
        <v>1.0002</v>
      </c>
      <c r="V331" s="252"/>
      <c r="W331" s="45"/>
      <c r="X331" s="44"/>
      <c r="Y331" s="45"/>
      <c r="AA331" s="228"/>
      <c r="AB331" s="228"/>
    </row>
    <row r="332" spans="1:28" ht="30">
      <c r="A332" s="44">
        <f t="shared" si="18"/>
        <v>325</v>
      </c>
      <c r="B332" s="44" t="s">
        <v>39</v>
      </c>
      <c r="C332" s="44">
        <v>2018</v>
      </c>
      <c r="D332" s="45" t="s">
        <v>647</v>
      </c>
      <c r="E332" s="45" t="s">
        <v>7</v>
      </c>
      <c r="F332" s="50" t="s">
        <v>845</v>
      </c>
      <c r="G332" s="45"/>
      <c r="H332" s="47"/>
      <c r="I332" s="47"/>
      <c r="J332" s="48"/>
      <c r="K332" s="48">
        <v>0</v>
      </c>
      <c r="L332" s="48"/>
      <c r="M332" s="48">
        <v>0</v>
      </c>
      <c r="N332" s="48"/>
      <c r="O332" s="48">
        <v>0</v>
      </c>
      <c r="P332" s="48"/>
      <c r="Q332" s="48">
        <v>4953</v>
      </c>
      <c r="R332" s="48">
        <f t="shared" si="16"/>
        <v>4953</v>
      </c>
      <c r="S332" s="49"/>
      <c r="T332" s="48">
        <v>50000</v>
      </c>
      <c r="U332" s="164">
        <f t="shared" si="17"/>
        <v>9.9059999999999995E-2</v>
      </c>
      <c r="V332" s="252"/>
      <c r="W332" s="45"/>
      <c r="X332" s="44"/>
      <c r="Y332" s="45"/>
      <c r="AA332" s="228"/>
      <c r="AB332" s="228"/>
    </row>
    <row r="333" spans="1:28" ht="30">
      <c r="A333" s="44">
        <f t="shared" si="18"/>
        <v>326</v>
      </c>
      <c r="B333" s="44" t="s">
        <v>39</v>
      </c>
      <c r="C333" s="44">
        <v>2018</v>
      </c>
      <c r="D333" s="45" t="s">
        <v>647</v>
      </c>
      <c r="E333" s="45" t="s">
        <v>7</v>
      </c>
      <c r="F333" s="50" t="s">
        <v>841</v>
      </c>
      <c r="G333" s="45"/>
      <c r="H333" s="47"/>
      <c r="I333" s="47"/>
      <c r="J333" s="48"/>
      <c r="K333" s="48">
        <v>0</v>
      </c>
      <c r="L333" s="48"/>
      <c r="M333" s="48">
        <v>0</v>
      </c>
      <c r="N333" s="48"/>
      <c r="O333" s="48">
        <v>9000000</v>
      </c>
      <c r="P333" s="48"/>
      <c r="Q333" s="48">
        <v>0</v>
      </c>
      <c r="R333" s="48">
        <f t="shared" si="16"/>
        <v>9000000</v>
      </c>
      <c r="S333" s="49"/>
      <c r="T333" s="48">
        <v>9000000</v>
      </c>
      <c r="U333" s="164">
        <f t="shared" si="17"/>
        <v>1</v>
      </c>
      <c r="V333" s="252"/>
      <c r="W333" s="45"/>
      <c r="X333" s="44"/>
      <c r="Y333" s="45"/>
      <c r="AA333" s="228"/>
      <c r="AB333" s="228"/>
    </row>
    <row r="334" spans="1:28" ht="45">
      <c r="A334" s="44">
        <f t="shared" si="18"/>
        <v>327</v>
      </c>
      <c r="B334" s="44" t="s">
        <v>39</v>
      </c>
      <c r="C334" s="44">
        <v>2017</v>
      </c>
      <c r="D334" s="45" t="s">
        <v>362</v>
      </c>
      <c r="E334" s="45" t="s">
        <v>7</v>
      </c>
      <c r="F334" s="50" t="s">
        <v>842</v>
      </c>
      <c r="G334" s="45"/>
      <c r="H334" s="47"/>
      <c r="I334" s="47"/>
      <c r="J334" s="48"/>
      <c r="K334" s="48">
        <v>0</v>
      </c>
      <c r="L334" s="48"/>
      <c r="M334" s="48">
        <v>6788651</v>
      </c>
      <c r="N334" s="48"/>
      <c r="O334" s="48">
        <v>0</v>
      </c>
      <c r="P334" s="48"/>
      <c r="Q334" s="48">
        <v>0</v>
      </c>
      <c r="R334" s="48">
        <f t="shared" si="16"/>
        <v>6788651</v>
      </c>
      <c r="S334" s="49"/>
      <c r="T334" s="48">
        <v>7300000</v>
      </c>
      <c r="U334" s="164">
        <f t="shared" si="17"/>
        <v>0.92995219178082189</v>
      </c>
      <c r="V334" s="45" t="s">
        <v>637</v>
      </c>
      <c r="W334" s="45" t="s">
        <v>446</v>
      </c>
      <c r="X334" s="44"/>
      <c r="Y334" s="45"/>
      <c r="AA334" s="228"/>
      <c r="AB334" s="228"/>
    </row>
    <row r="335" spans="1:28" ht="45">
      <c r="A335" s="44">
        <f t="shared" si="18"/>
        <v>328</v>
      </c>
      <c r="B335" s="44" t="s">
        <v>39</v>
      </c>
      <c r="C335" s="44">
        <v>2017</v>
      </c>
      <c r="D335" s="45" t="s">
        <v>362</v>
      </c>
      <c r="E335" s="45" t="s">
        <v>7</v>
      </c>
      <c r="F335" s="50" t="s">
        <v>834</v>
      </c>
      <c r="G335" s="45" t="s">
        <v>511</v>
      </c>
      <c r="H335" s="47"/>
      <c r="I335" s="47"/>
      <c r="J335" s="48">
        <v>0</v>
      </c>
      <c r="K335" s="48">
        <v>0</v>
      </c>
      <c r="L335" s="48"/>
      <c r="M335" s="48">
        <v>0</v>
      </c>
      <c r="N335" s="48"/>
      <c r="O335" s="48">
        <v>0</v>
      </c>
      <c r="P335" s="48"/>
      <c r="Q335" s="48">
        <v>0</v>
      </c>
      <c r="R335" s="48">
        <f t="shared" si="16"/>
        <v>0</v>
      </c>
      <c r="S335" s="49"/>
      <c r="T335" s="48">
        <v>300000</v>
      </c>
      <c r="U335" s="164">
        <f t="shared" si="17"/>
        <v>0</v>
      </c>
      <c r="V335" s="45"/>
      <c r="W335" s="45"/>
      <c r="X335" s="44"/>
      <c r="Y335" s="45" t="s">
        <v>410</v>
      </c>
      <c r="AA335" s="228"/>
      <c r="AB335" s="228"/>
    </row>
    <row r="336" spans="1:28" ht="45">
      <c r="A336" s="44">
        <f t="shared" si="18"/>
        <v>329</v>
      </c>
      <c r="B336" s="44" t="s">
        <v>39</v>
      </c>
      <c r="C336" s="44">
        <v>2017</v>
      </c>
      <c r="D336" s="45" t="s">
        <v>362</v>
      </c>
      <c r="E336" s="45" t="s">
        <v>7</v>
      </c>
      <c r="F336" s="50" t="s">
        <v>842</v>
      </c>
      <c r="G336" s="45"/>
      <c r="H336" s="47"/>
      <c r="I336" s="47"/>
      <c r="J336" s="48">
        <v>0</v>
      </c>
      <c r="K336" s="48">
        <v>0</v>
      </c>
      <c r="L336" s="48"/>
      <c r="M336" s="48">
        <v>2400000</v>
      </c>
      <c r="N336" s="48"/>
      <c r="O336" s="48">
        <v>0</v>
      </c>
      <c r="P336" s="48"/>
      <c r="Q336" s="48">
        <v>0</v>
      </c>
      <c r="R336" s="48">
        <f t="shared" si="16"/>
        <v>2400000</v>
      </c>
      <c r="S336" s="49"/>
      <c r="T336" s="48">
        <v>2400000</v>
      </c>
      <c r="U336" s="164">
        <f t="shared" si="17"/>
        <v>1</v>
      </c>
      <c r="V336" s="252" t="s">
        <v>637</v>
      </c>
      <c r="W336" s="45" t="s">
        <v>446</v>
      </c>
      <c r="X336" s="44"/>
      <c r="Y336" s="45"/>
      <c r="AA336" s="228"/>
      <c r="AB336" s="228"/>
    </row>
    <row r="337" spans="1:28" ht="75">
      <c r="A337" s="44">
        <f t="shared" si="18"/>
        <v>330</v>
      </c>
      <c r="B337" s="44" t="s">
        <v>39</v>
      </c>
      <c r="C337" s="44">
        <v>2016</v>
      </c>
      <c r="D337" s="45" t="s">
        <v>359</v>
      </c>
      <c r="E337" s="45" t="s">
        <v>7</v>
      </c>
      <c r="F337" s="50" t="s">
        <v>336</v>
      </c>
      <c r="G337" s="45" t="s">
        <v>337</v>
      </c>
      <c r="H337" s="47"/>
      <c r="I337" s="47"/>
      <c r="J337" s="48">
        <v>75753</v>
      </c>
      <c r="K337" s="48">
        <v>75753</v>
      </c>
      <c r="L337" s="48">
        <v>15042</v>
      </c>
      <c r="M337" s="48">
        <v>15042</v>
      </c>
      <c r="N337" s="48"/>
      <c r="O337" s="48">
        <v>0</v>
      </c>
      <c r="P337" s="48"/>
      <c r="Q337" s="48">
        <v>0</v>
      </c>
      <c r="R337" s="48">
        <f t="shared" si="16"/>
        <v>90795</v>
      </c>
      <c r="S337" s="49"/>
      <c r="T337" s="48">
        <v>0</v>
      </c>
      <c r="U337" s="164" t="str">
        <f t="shared" si="17"/>
        <v/>
      </c>
      <c r="V337" s="45" t="s">
        <v>411</v>
      </c>
      <c r="W337" s="45" t="s">
        <v>412</v>
      </c>
      <c r="X337" s="44"/>
      <c r="Y337" s="45" t="s">
        <v>413</v>
      </c>
      <c r="AA337" s="228"/>
      <c r="AB337" s="228"/>
    </row>
    <row r="338" spans="1:28" ht="75">
      <c r="A338" s="44">
        <f t="shared" si="18"/>
        <v>331</v>
      </c>
      <c r="B338" s="44" t="s">
        <v>39</v>
      </c>
      <c r="C338" s="44">
        <v>2016</v>
      </c>
      <c r="D338" s="45" t="s">
        <v>359</v>
      </c>
      <c r="E338" s="45" t="s">
        <v>7</v>
      </c>
      <c r="F338" s="50" t="s">
        <v>414</v>
      </c>
      <c r="G338" s="45" t="s">
        <v>415</v>
      </c>
      <c r="H338" s="47"/>
      <c r="I338" s="47"/>
      <c r="J338" s="48">
        <v>31927</v>
      </c>
      <c r="K338" s="48">
        <v>31927</v>
      </c>
      <c r="L338" s="48">
        <f>33785.4+1630.8+9241.2</f>
        <v>44657.400000000009</v>
      </c>
      <c r="M338" s="48">
        <v>44657.400000000009</v>
      </c>
      <c r="N338" s="48"/>
      <c r="O338" s="48">
        <v>0</v>
      </c>
      <c r="P338" s="48"/>
      <c r="Q338" s="48">
        <v>0</v>
      </c>
      <c r="R338" s="48">
        <f t="shared" si="16"/>
        <v>76584.400000000009</v>
      </c>
      <c r="S338" s="49"/>
      <c r="T338" s="48">
        <v>0</v>
      </c>
      <c r="U338" s="164" t="str">
        <f t="shared" si="17"/>
        <v/>
      </c>
      <c r="V338" s="45" t="s">
        <v>416</v>
      </c>
      <c r="W338" s="45" t="s">
        <v>417</v>
      </c>
      <c r="X338" s="44"/>
      <c r="Y338" s="45" t="s">
        <v>418</v>
      </c>
      <c r="AA338" s="228"/>
      <c r="AB338" s="228"/>
    </row>
    <row r="339" spans="1:28" ht="90">
      <c r="A339" s="44">
        <f t="shared" si="18"/>
        <v>332</v>
      </c>
      <c r="B339" s="44" t="s">
        <v>39</v>
      </c>
      <c r="C339" s="44">
        <v>2016</v>
      </c>
      <c r="D339" s="45" t="s">
        <v>359</v>
      </c>
      <c r="E339" s="45" t="s">
        <v>7</v>
      </c>
      <c r="F339" s="50" t="s">
        <v>419</v>
      </c>
      <c r="G339" s="45" t="s">
        <v>420</v>
      </c>
      <c r="H339" s="47"/>
      <c r="I339" s="47"/>
      <c r="J339" s="48">
        <v>25800</v>
      </c>
      <c r="K339" s="48">
        <v>25800</v>
      </c>
      <c r="L339" s="48">
        <v>4000</v>
      </c>
      <c r="M339" s="48">
        <v>4000</v>
      </c>
      <c r="N339" s="48"/>
      <c r="O339" s="48">
        <v>0</v>
      </c>
      <c r="P339" s="48"/>
      <c r="Q339" s="48">
        <v>0</v>
      </c>
      <c r="R339" s="48">
        <f t="shared" si="16"/>
        <v>29800</v>
      </c>
      <c r="S339" s="49"/>
      <c r="T339" s="48">
        <v>0</v>
      </c>
      <c r="U339" s="164" t="str">
        <f t="shared" si="17"/>
        <v/>
      </c>
      <c r="V339" s="45" t="s">
        <v>421</v>
      </c>
      <c r="W339" s="45" t="s">
        <v>422</v>
      </c>
      <c r="X339" s="44"/>
      <c r="Y339" s="45" t="s">
        <v>418</v>
      </c>
      <c r="AA339" s="228"/>
      <c r="AB339" s="228"/>
    </row>
    <row r="340" spans="1:28" ht="105">
      <c r="A340" s="44">
        <f t="shared" si="18"/>
        <v>333</v>
      </c>
      <c r="B340" s="44" t="s">
        <v>39</v>
      </c>
      <c r="C340" s="44">
        <v>2016</v>
      </c>
      <c r="D340" s="45" t="s">
        <v>359</v>
      </c>
      <c r="E340" s="45" t="s">
        <v>7</v>
      </c>
      <c r="F340" s="50" t="s">
        <v>435</v>
      </c>
      <c r="G340" s="45" t="s">
        <v>254</v>
      </c>
      <c r="H340" s="47"/>
      <c r="I340" s="47"/>
      <c r="J340" s="48">
        <v>20618</v>
      </c>
      <c r="K340" s="48">
        <v>20618</v>
      </c>
      <c r="L340" s="48">
        <f>24901.9+1862.98+2713.43+198.48</f>
        <v>29676.79</v>
      </c>
      <c r="M340" s="48">
        <v>29676.79</v>
      </c>
      <c r="N340" s="48"/>
      <c r="O340" s="48">
        <v>0</v>
      </c>
      <c r="P340" s="48"/>
      <c r="Q340" s="48">
        <v>0</v>
      </c>
      <c r="R340" s="48">
        <f t="shared" si="16"/>
        <v>50294.79</v>
      </c>
      <c r="S340" s="49"/>
      <c r="T340" s="48">
        <v>0</v>
      </c>
      <c r="U340" s="164" t="str">
        <f t="shared" si="17"/>
        <v/>
      </c>
      <c r="V340" s="45" t="s">
        <v>436</v>
      </c>
      <c r="W340" s="45" t="s">
        <v>422</v>
      </c>
      <c r="X340" s="44"/>
      <c r="Y340" s="45" t="s">
        <v>418</v>
      </c>
      <c r="AA340" s="228"/>
      <c r="AB340" s="228"/>
    </row>
    <row r="341" spans="1:28" ht="90">
      <c r="A341" s="44">
        <f t="shared" si="18"/>
        <v>334</v>
      </c>
      <c r="B341" s="44" t="s">
        <v>39</v>
      </c>
      <c r="C341" s="44">
        <v>2016</v>
      </c>
      <c r="D341" s="45" t="s">
        <v>359</v>
      </c>
      <c r="E341" s="45" t="s">
        <v>7</v>
      </c>
      <c r="F341" s="50" t="s">
        <v>437</v>
      </c>
      <c r="G341" s="45" t="s">
        <v>438</v>
      </c>
      <c r="H341" s="47"/>
      <c r="I341" s="47"/>
      <c r="J341" s="48">
        <v>28648</v>
      </c>
      <c r="K341" s="48">
        <v>28648</v>
      </c>
      <c r="L341" s="48">
        <v>27482</v>
      </c>
      <c r="M341" s="48">
        <v>27482</v>
      </c>
      <c r="N341" s="48"/>
      <c r="O341" s="48">
        <v>0</v>
      </c>
      <c r="P341" s="48"/>
      <c r="Q341" s="48">
        <v>0</v>
      </c>
      <c r="R341" s="48">
        <f t="shared" si="16"/>
        <v>56130</v>
      </c>
      <c r="S341" s="49"/>
      <c r="T341" s="48">
        <v>0</v>
      </c>
      <c r="U341" s="164" t="str">
        <f t="shared" si="17"/>
        <v/>
      </c>
      <c r="V341" s="45" t="s">
        <v>439</v>
      </c>
      <c r="W341" s="45" t="s">
        <v>422</v>
      </c>
      <c r="X341" s="44"/>
      <c r="Y341" s="45" t="s">
        <v>418</v>
      </c>
      <c r="AA341" s="228"/>
      <c r="AB341" s="228"/>
    </row>
    <row r="342" spans="1:28" ht="90">
      <c r="A342" s="44">
        <f t="shared" si="18"/>
        <v>335</v>
      </c>
      <c r="B342" s="44" t="s">
        <v>39</v>
      </c>
      <c r="C342" s="44">
        <v>2016</v>
      </c>
      <c r="D342" s="45" t="s">
        <v>359</v>
      </c>
      <c r="E342" s="45" t="s">
        <v>7</v>
      </c>
      <c r="F342" s="50" t="s">
        <v>297</v>
      </c>
      <c r="G342" s="45" t="s">
        <v>298</v>
      </c>
      <c r="H342" s="47"/>
      <c r="I342" s="47">
        <v>15130</v>
      </c>
      <c r="J342" s="48">
        <v>46825</v>
      </c>
      <c r="K342" s="48">
        <v>46825</v>
      </c>
      <c r="L342" s="48">
        <v>18045</v>
      </c>
      <c r="M342" s="48">
        <v>18045</v>
      </c>
      <c r="N342" s="48"/>
      <c r="O342" s="48">
        <v>0</v>
      </c>
      <c r="P342" s="48"/>
      <c r="Q342" s="48">
        <v>0</v>
      </c>
      <c r="R342" s="48">
        <f t="shared" si="16"/>
        <v>80000</v>
      </c>
      <c r="S342" s="49"/>
      <c r="T342" s="48">
        <v>0</v>
      </c>
      <c r="U342" s="164" t="str">
        <f t="shared" ref="U342:U353" si="19">IF(T342=0,"",(R342)/T342)</f>
        <v/>
      </c>
      <c r="V342" s="45" t="s">
        <v>299</v>
      </c>
      <c r="W342" s="45" t="s">
        <v>300</v>
      </c>
      <c r="X342" s="44"/>
      <c r="Y342" s="45" t="s">
        <v>423</v>
      </c>
      <c r="AA342" s="228"/>
      <c r="AB342" s="228"/>
    </row>
    <row r="343" spans="1:28" ht="90">
      <c r="A343" s="44">
        <f t="shared" si="18"/>
        <v>336</v>
      </c>
      <c r="B343" s="44" t="s">
        <v>39</v>
      </c>
      <c r="C343" s="44" t="s">
        <v>427</v>
      </c>
      <c r="D343" s="45" t="s">
        <v>585</v>
      </c>
      <c r="E343" s="45" t="s">
        <v>7</v>
      </c>
      <c r="F343" s="50" t="s">
        <v>586</v>
      </c>
      <c r="G343" s="45" t="s">
        <v>255</v>
      </c>
      <c r="H343" s="47"/>
      <c r="I343" s="47"/>
      <c r="J343" s="48">
        <v>0</v>
      </c>
      <c r="K343" s="48">
        <v>0</v>
      </c>
      <c r="L343" s="48">
        <f>27815+20000+10700+225684.83</f>
        <v>284199.82999999996</v>
      </c>
      <c r="M343" s="48">
        <v>284199.82999999996</v>
      </c>
      <c r="N343" s="48"/>
      <c r="O343" s="48">
        <v>0</v>
      </c>
      <c r="P343" s="48"/>
      <c r="Q343" s="48">
        <v>0</v>
      </c>
      <c r="R343" s="48">
        <f t="shared" ref="R343:R353" si="20">+K343+I343+H343+M343+O343+Q343</f>
        <v>284199.82999999996</v>
      </c>
      <c r="S343" s="49"/>
      <c r="T343" s="48">
        <v>0</v>
      </c>
      <c r="U343" s="164" t="str">
        <f t="shared" si="19"/>
        <v/>
      </c>
      <c r="V343" s="45" t="s">
        <v>586</v>
      </c>
      <c r="W343" s="45"/>
      <c r="X343" s="44"/>
      <c r="Y343" s="45" t="s">
        <v>418</v>
      </c>
      <c r="AA343" s="228"/>
      <c r="AB343" s="228"/>
    </row>
    <row r="344" spans="1:28" ht="45">
      <c r="A344" s="44">
        <f t="shared" si="18"/>
        <v>337</v>
      </c>
      <c r="B344" s="44" t="s">
        <v>39</v>
      </c>
      <c r="C344" s="44">
        <v>2017</v>
      </c>
      <c r="D344" s="45" t="s">
        <v>647</v>
      </c>
      <c r="E344" s="45" t="s">
        <v>7</v>
      </c>
      <c r="F344" s="50" t="s">
        <v>842</v>
      </c>
      <c r="G344" s="45"/>
      <c r="H344" s="47"/>
      <c r="I344" s="47"/>
      <c r="J344" s="48"/>
      <c r="K344" s="48">
        <v>0</v>
      </c>
      <c r="L344" s="48"/>
      <c r="M344" s="48">
        <v>4000000</v>
      </c>
      <c r="N344" s="48"/>
      <c r="O344" s="48">
        <v>0</v>
      </c>
      <c r="P344" s="48"/>
      <c r="Q344" s="48">
        <v>0</v>
      </c>
      <c r="R344" s="48">
        <f t="shared" si="20"/>
        <v>4000000</v>
      </c>
      <c r="S344" s="49"/>
      <c r="T344" s="48">
        <v>4000000</v>
      </c>
      <c r="U344" s="164">
        <f t="shared" si="19"/>
        <v>1</v>
      </c>
      <c r="V344" s="252" t="s">
        <v>637</v>
      </c>
      <c r="W344" s="45" t="s">
        <v>446</v>
      </c>
      <c r="X344" s="44"/>
      <c r="Y344" s="45"/>
      <c r="AA344" s="228"/>
      <c r="AB344" s="228"/>
    </row>
    <row r="345" spans="1:28" ht="30">
      <c r="A345" s="44">
        <f t="shared" si="18"/>
        <v>338</v>
      </c>
      <c r="B345" s="44" t="s">
        <v>39</v>
      </c>
      <c r="C345" s="44">
        <v>2017</v>
      </c>
      <c r="D345" s="45" t="s">
        <v>647</v>
      </c>
      <c r="E345" s="45" t="s">
        <v>7</v>
      </c>
      <c r="F345" s="50" t="s">
        <v>843</v>
      </c>
      <c r="G345" s="45"/>
      <c r="H345" s="47"/>
      <c r="I345" s="47"/>
      <c r="J345" s="48"/>
      <c r="K345" s="48">
        <v>0</v>
      </c>
      <c r="L345" s="48"/>
      <c r="M345" s="48">
        <v>400000</v>
      </c>
      <c r="N345" s="48"/>
      <c r="O345" s="48">
        <v>0</v>
      </c>
      <c r="P345" s="48"/>
      <c r="Q345" s="48">
        <v>0</v>
      </c>
      <c r="R345" s="48">
        <f t="shared" si="20"/>
        <v>400000</v>
      </c>
      <c r="S345" s="49"/>
      <c r="T345" s="48">
        <v>400000</v>
      </c>
      <c r="U345" s="164">
        <f t="shared" si="19"/>
        <v>1</v>
      </c>
      <c r="V345" s="45"/>
      <c r="W345" s="45"/>
      <c r="X345" s="44"/>
      <c r="Y345" s="45"/>
      <c r="AA345" s="228"/>
      <c r="AB345" s="228"/>
    </row>
    <row r="346" spans="1:28" ht="60">
      <c r="A346" s="44">
        <f t="shared" si="18"/>
        <v>339</v>
      </c>
      <c r="B346" s="44" t="s">
        <v>39</v>
      </c>
      <c r="C346" s="44">
        <v>2018</v>
      </c>
      <c r="D346" s="45" t="s">
        <v>585</v>
      </c>
      <c r="E346" s="44" t="s">
        <v>7</v>
      </c>
      <c r="F346" s="50" t="s">
        <v>297</v>
      </c>
      <c r="G346" s="45" t="s">
        <v>298</v>
      </c>
      <c r="H346" s="47"/>
      <c r="I346" s="47">
        <v>24900</v>
      </c>
      <c r="J346" s="48"/>
      <c r="K346" s="48">
        <v>0</v>
      </c>
      <c r="L346" s="48"/>
      <c r="M346" s="48">
        <v>0</v>
      </c>
      <c r="N346" s="48">
        <v>8315</v>
      </c>
      <c r="O346" s="48">
        <v>8315</v>
      </c>
      <c r="P346" s="48"/>
      <c r="Q346" s="48">
        <v>0</v>
      </c>
      <c r="R346" s="48">
        <f t="shared" si="20"/>
        <v>33215</v>
      </c>
      <c r="S346" s="49"/>
      <c r="T346" s="48">
        <v>0</v>
      </c>
      <c r="U346" s="164" t="str">
        <f t="shared" si="19"/>
        <v/>
      </c>
      <c r="V346" s="45" t="s">
        <v>299</v>
      </c>
      <c r="W346" s="45"/>
      <c r="X346" s="44"/>
      <c r="Y346" s="45" t="s">
        <v>423</v>
      </c>
      <c r="AA346" s="228"/>
      <c r="AB346" s="228"/>
    </row>
    <row r="347" spans="1:28" ht="75">
      <c r="A347" s="44">
        <f t="shared" si="18"/>
        <v>340</v>
      </c>
      <c r="B347" s="44" t="s">
        <v>39</v>
      </c>
      <c r="C347" s="44">
        <v>2017</v>
      </c>
      <c r="D347" s="45" t="s">
        <v>797</v>
      </c>
      <c r="E347" s="45" t="s">
        <v>7</v>
      </c>
      <c r="F347" s="294" t="s">
        <v>794</v>
      </c>
      <c r="G347" s="45"/>
      <c r="H347" s="47"/>
      <c r="I347" s="47"/>
      <c r="J347" s="48"/>
      <c r="K347" s="48">
        <v>0</v>
      </c>
      <c r="L347" s="48"/>
      <c r="M347" s="48">
        <v>233464.16</v>
      </c>
      <c r="N347" s="48"/>
      <c r="O347" s="48">
        <v>0</v>
      </c>
      <c r="P347" s="48"/>
      <c r="Q347" s="48">
        <v>0</v>
      </c>
      <c r="R347" s="48">
        <f t="shared" si="20"/>
        <v>233464.16</v>
      </c>
      <c r="S347" s="49"/>
      <c r="T347" s="48">
        <v>0</v>
      </c>
      <c r="U347" s="164" t="str">
        <f t="shared" si="19"/>
        <v/>
      </c>
      <c r="V347" s="295" t="s">
        <v>794</v>
      </c>
      <c r="W347" s="45"/>
      <c r="X347" s="44"/>
      <c r="Y347" s="45" t="s">
        <v>795</v>
      </c>
      <c r="AA347" s="228"/>
      <c r="AB347" s="228"/>
    </row>
    <row r="348" spans="1:28" ht="30">
      <c r="A348" s="44">
        <f t="shared" si="18"/>
        <v>341</v>
      </c>
      <c r="B348" s="45" t="s">
        <v>39</v>
      </c>
      <c r="C348" s="44">
        <v>2019</v>
      </c>
      <c r="D348" s="45" t="s">
        <v>743</v>
      </c>
      <c r="E348" s="44" t="s">
        <v>7</v>
      </c>
      <c r="F348" s="294" t="s">
        <v>853</v>
      </c>
      <c r="G348" s="45"/>
      <c r="H348" s="47"/>
      <c r="I348" s="47"/>
      <c r="J348" s="48"/>
      <c r="K348" s="48">
        <v>0</v>
      </c>
      <c r="L348" s="48"/>
      <c r="M348" s="48">
        <v>0</v>
      </c>
      <c r="N348" s="48"/>
      <c r="O348" s="48">
        <v>0</v>
      </c>
      <c r="P348" s="48"/>
      <c r="Q348" s="48">
        <v>0</v>
      </c>
      <c r="R348" s="48">
        <f t="shared" si="20"/>
        <v>0</v>
      </c>
      <c r="S348" s="49"/>
      <c r="T348" s="48">
        <v>200000</v>
      </c>
      <c r="U348" s="164">
        <f t="shared" si="19"/>
        <v>0</v>
      </c>
      <c r="V348" s="45"/>
      <c r="W348" s="45"/>
      <c r="X348" s="44"/>
      <c r="Y348" s="45"/>
      <c r="AA348" s="228"/>
      <c r="AB348" s="228"/>
    </row>
    <row r="349" spans="1:28" ht="30">
      <c r="A349" s="44">
        <f t="shared" si="18"/>
        <v>342</v>
      </c>
      <c r="B349" s="45" t="s">
        <v>39</v>
      </c>
      <c r="C349" s="44">
        <v>2019</v>
      </c>
      <c r="D349" s="45" t="s">
        <v>743</v>
      </c>
      <c r="E349" s="44" t="s">
        <v>7</v>
      </c>
      <c r="F349" s="294" t="s">
        <v>854</v>
      </c>
      <c r="G349" s="45"/>
      <c r="H349" s="47"/>
      <c r="I349" s="47"/>
      <c r="J349" s="48"/>
      <c r="K349" s="48">
        <v>0</v>
      </c>
      <c r="L349" s="48"/>
      <c r="M349" s="48">
        <v>0</v>
      </c>
      <c r="N349" s="48"/>
      <c r="O349" s="48">
        <v>0</v>
      </c>
      <c r="P349" s="48"/>
      <c r="Q349" s="48">
        <v>0</v>
      </c>
      <c r="R349" s="48">
        <f t="shared" si="20"/>
        <v>0</v>
      </c>
      <c r="S349" s="49"/>
      <c r="T349" s="48">
        <v>180000</v>
      </c>
      <c r="U349" s="164">
        <f t="shared" si="19"/>
        <v>0</v>
      </c>
      <c r="V349" s="45"/>
      <c r="W349" s="45"/>
      <c r="X349" s="44"/>
      <c r="Y349" s="45"/>
      <c r="AA349" s="228"/>
      <c r="AB349" s="228"/>
    </row>
    <row r="350" spans="1:28" ht="60">
      <c r="A350" s="44">
        <f t="shared" si="18"/>
        <v>343</v>
      </c>
      <c r="B350" s="45" t="s">
        <v>39</v>
      </c>
      <c r="C350" s="44">
        <v>2019</v>
      </c>
      <c r="D350" s="45" t="s">
        <v>743</v>
      </c>
      <c r="E350" s="44" t="s">
        <v>7</v>
      </c>
      <c r="F350" s="294" t="s">
        <v>855</v>
      </c>
      <c r="G350" s="45"/>
      <c r="H350" s="47"/>
      <c r="I350" s="47"/>
      <c r="J350" s="48"/>
      <c r="K350" s="48">
        <v>0</v>
      </c>
      <c r="L350" s="48"/>
      <c r="M350" s="48">
        <v>0</v>
      </c>
      <c r="N350" s="48"/>
      <c r="O350" s="48">
        <v>0</v>
      </c>
      <c r="P350" s="48"/>
      <c r="Q350" s="48">
        <v>0</v>
      </c>
      <c r="R350" s="48">
        <f t="shared" si="20"/>
        <v>0</v>
      </c>
      <c r="S350" s="49"/>
      <c r="T350" s="48">
        <v>5233000</v>
      </c>
      <c r="U350" s="164">
        <f t="shared" si="19"/>
        <v>0</v>
      </c>
      <c r="V350" s="45" t="s">
        <v>882</v>
      </c>
      <c r="W350" s="45"/>
      <c r="X350" s="44"/>
      <c r="Y350" s="45"/>
      <c r="AA350" s="228"/>
      <c r="AB350" s="228"/>
    </row>
    <row r="351" spans="1:28" ht="30">
      <c r="A351" s="44">
        <f t="shared" si="18"/>
        <v>344</v>
      </c>
      <c r="B351" s="45" t="s">
        <v>39</v>
      </c>
      <c r="C351" s="44">
        <v>2019</v>
      </c>
      <c r="D351" s="45" t="s">
        <v>743</v>
      </c>
      <c r="E351" s="44" t="s">
        <v>7</v>
      </c>
      <c r="F351" s="50" t="s">
        <v>744</v>
      </c>
      <c r="G351" s="45"/>
      <c r="H351" s="47"/>
      <c r="I351" s="47"/>
      <c r="J351" s="48"/>
      <c r="K351" s="48">
        <v>0</v>
      </c>
      <c r="L351" s="48"/>
      <c r="M351" s="48">
        <v>0</v>
      </c>
      <c r="N351" s="48"/>
      <c r="O351" s="48">
        <v>0</v>
      </c>
      <c r="P351" s="48"/>
      <c r="Q351" s="48">
        <v>0</v>
      </c>
      <c r="R351" s="48">
        <f t="shared" si="20"/>
        <v>0</v>
      </c>
      <c r="S351" s="49"/>
      <c r="T351" s="48">
        <v>100</v>
      </c>
      <c r="U351" s="164">
        <f t="shared" si="19"/>
        <v>0</v>
      </c>
      <c r="V351" s="45"/>
      <c r="W351" s="45"/>
      <c r="X351" s="44"/>
      <c r="Y351" s="45"/>
      <c r="AA351" s="228"/>
      <c r="AB351" s="228"/>
    </row>
    <row r="352" spans="1:28" ht="60">
      <c r="A352" s="44">
        <f t="shared" si="18"/>
        <v>345</v>
      </c>
      <c r="B352" s="44" t="s">
        <v>39</v>
      </c>
      <c r="C352" s="44">
        <v>2018</v>
      </c>
      <c r="D352" s="45" t="s">
        <v>585</v>
      </c>
      <c r="E352" s="45" t="s">
        <v>7</v>
      </c>
      <c r="F352" s="50" t="s">
        <v>844</v>
      </c>
      <c r="G352" s="45"/>
      <c r="H352" s="47"/>
      <c r="I352" s="47"/>
      <c r="J352" s="48"/>
      <c r="K352" s="48">
        <v>0</v>
      </c>
      <c r="L352" s="48"/>
      <c r="M352" s="48">
        <v>0</v>
      </c>
      <c r="N352" s="48"/>
      <c r="O352" s="48">
        <v>0</v>
      </c>
      <c r="P352" s="48"/>
      <c r="Q352" s="48">
        <v>187716.34</v>
      </c>
      <c r="R352" s="48">
        <f t="shared" si="20"/>
        <v>187716.34</v>
      </c>
      <c r="S352" s="49"/>
      <c r="T352" s="48">
        <v>0</v>
      </c>
      <c r="U352" s="164" t="str">
        <f t="shared" si="19"/>
        <v/>
      </c>
      <c r="V352" s="45" t="s">
        <v>883</v>
      </c>
      <c r="W352" s="45"/>
      <c r="X352" s="44"/>
      <c r="Y352" s="45"/>
      <c r="AA352" s="228"/>
      <c r="AB352" s="228"/>
    </row>
    <row r="353" spans="1:28" ht="45">
      <c r="A353" s="44">
        <f t="shared" si="18"/>
        <v>346</v>
      </c>
      <c r="B353" s="44" t="s">
        <v>40</v>
      </c>
      <c r="C353" s="44" t="s">
        <v>427</v>
      </c>
      <c r="D353" s="45" t="s">
        <v>19</v>
      </c>
      <c r="E353" s="44" t="s">
        <v>7</v>
      </c>
      <c r="F353" s="50" t="s">
        <v>49</v>
      </c>
      <c r="G353" s="45"/>
      <c r="H353" s="47"/>
      <c r="I353" s="47"/>
      <c r="J353" s="48"/>
      <c r="K353" s="48">
        <v>3541</v>
      </c>
      <c r="L353" s="48"/>
      <c r="M353" s="48">
        <v>0</v>
      </c>
      <c r="N353" s="48"/>
      <c r="O353" s="48">
        <v>0</v>
      </c>
      <c r="P353" s="48"/>
      <c r="Q353" s="48">
        <v>0</v>
      </c>
      <c r="R353" s="48">
        <f t="shared" si="20"/>
        <v>3541</v>
      </c>
      <c r="S353" s="49"/>
      <c r="T353" s="48">
        <v>0</v>
      </c>
      <c r="U353" s="164" t="str">
        <f t="shared" si="19"/>
        <v/>
      </c>
      <c r="V353" s="45" t="s">
        <v>50</v>
      </c>
      <c r="W353" s="45" t="s">
        <v>294</v>
      </c>
      <c r="X353" s="45"/>
      <c r="Y353" s="45" t="s">
        <v>295</v>
      </c>
      <c r="AA353" s="228"/>
      <c r="AB353" s="228"/>
    </row>
    <row r="354" spans="1:28">
      <c r="A354" s="53"/>
      <c r="B354" s="53"/>
      <c r="C354" s="53"/>
      <c r="D354" s="53"/>
      <c r="E354" s="53"/>
      <c r="F354" s="183"/>
      <c r="G354" s="54"/>
      <c r="H354" s="56">
        <f t="shared" ref="H354:T354" si="21">SUM(H8:H353)</f>
        <v>6996237.4300000006</v>
      </c>
      <c r="I354" s="56">
        <f t="shared" si="21"/>
        <v>19173931.989999998</v>
      </c>
      <c r="J354" s="56">
        <f t="shared" si="21"/>
        <v>72380663.700000018</v>
      </c>
      <c r="K354" s="56">
        <f t="shared" si="21"/>
        <v>100987028.04943751</v>
      </c>
      <c r="L354" s="56">
        <f t="shared" si="21"/>
        <v>83941664.160000011</v>
      </c>
      <c r="M354" s="56">
        <f t="shared" si="21"/>
        <v>141075643.84000003</v>
      </c>
      <c r="N354" s="56">
        <f t="shared" si="21"/>
        <v>25108799.259999998</v>
      </c>
      <c r="O354" s="56">
        <f t="shared" si="21"/>
        <v>65845819.040000007</v>
      </c>
      <c r="P354" s="56">
        <f t="shared" si="21"/>
        <v>26379803.16</v>
      </c>
      <c r="Q354" s="56">
        <f t="shared" si="21"/>
        <v>55594360.579999998</v>
      </c>
      <c r="R354" s="56">
        <f t="shared" si="21"/>
        <v>389673020.92943746</v>
      </c>
      <c r="S354" s="56">
        <f t="shared" si="21"/>
        <v>260432800</v>
      </c>
      <c r="T354" s="56">
        <f t="shared" si="21"/>
        <v>329999100</v>
      </c>
    </row>
    <row r="355" spans="1:28">
      <c r="A355" s="53"/>
      <c r="B355" s="53"/>
      <c r="C355" s="53"/>
      <c r="D355" s="53"/>
      <c r="E355" s="53"/>
      <c r="F355" s="184"/>
      <c r="G355" s="53"/>
      <c r="H355" s="55"/>
      <c r="I355" s="55"/>
      <c r="K355" s="57"/>
      <c r="L355" s="57"/>
      <c r="M355" s="57"/>
      <c r="N355" s="57"/>
      <c r="O355" s="57"/>
      <c r="P355" s="57"/>
      <c r="Q355" s="57"/>
      <c r="R355" s="206"/>
      <c r="S355" s="206"/>
      <c r="T355" s="206"/>
    </row>
    <row r="356" spans="1:28">
      <c r="A356" s="53"/>
      <c r="B356" s="53"/>
      <c r="C356" s="53"/>
      <c r="D356" s="53"/>
      <c r="E356" s="53"/>
      <c r="F356" s="184"/>
      <c r="G356" s="53"/>
      <c r="H356" s="55"/>
      <c r="I356" s="55"/>
    </row>
    <row r="357" spans="1:28" ht="39">
      <c r="A357" s="53"/>
      <c r="B357" s="53"/>
      <c r="C357" s="53"/>
      <c r="D357" s="53"/>
      <c r="E357" s="53"/>
      <c r="F357" s="184"/>
      <c r="H357" s="58" t="s">
        <v>155</v>
      </c>
      <c r="I357" s="59" t="s">
        <v>156</v>
      </c>
      <c r="J357" s="59" t="s">
        <v>558</v>
      </c>
      <c r="K357" s="59" t="s">
        <v>559</v>
      </c>
      <c r="L357" s="59" t="s">
        <v>674</v>
      </c>
      <c r="M357" s="59" t="s">
        <v>157</v>
      </c>
      <c r="N357" s="59" t="s">
        <v>870</v>
      </c>
      <c r="O357" s="59"/>
      <c r="P357" s="59"/>
      <c r="Q357" s="59"/>
      <c r="R357" s="60" t="s">
        <v>215</v>
      </c>
    </row>
    <row r="358" spans="1:28">
      <c r="A358" s="53"/>
      <c r="B358" s="53"/>
      <c r="C358" s="53"/>
      <c r="D358" s="53"/>
      <c r="E358" s="53"/>
      <c r="F358" s="184"/>
      <c r="H358" s="61" t="s">
        <v>15</v>
      </c>
      <c r="I358" s="4">
        <f>SUMIF($B$8:$B$353,"MDARD",T$8:T$353)</f>
        <v>100</v>
      </c>
      <c r="J358" s="192">
        <f>SUMIF($B$8:$B$353,"MDARD",K$8:K$353)</f>
        <v>450834</v>
      </c>
      <c r="K358" s="4">
        <f>SUMIF($B$8:$B$353,"MDARD",M$8:M$353)</f>
        <v>14082.79</v>
      </c>
      <c r="L358" s="4">
        <f>SUMIF($B$8:$B$353,"MDARD",O$8:O$353)</f>
        <v>0</v>
      </c>
      <c r="M358" s="4">
        <f t="shared" ref="M358:M379" si="22">+R358-J358-K358-L358-N358</f>
        <v>-2.1827872842550278E-11</v>
      </c>
      <c r="N358" s="4">
        <f>SUMIF($B$8:$B$353,"MDARD",Q$8:Q$353)</f>
        <v>0</v>
      </c>
      <c r="O358" s="4"/>
      <c r="P358" s="4"/>
      <c r="Q358" s="4"/>
      <c r="R358" s="4">
        <f>SUMIF($B$8:$B$353,"MDARD",R$8:R$353)</f>
        <v>464916.79</v>
      </c>
    </row>
    <row r="359" spans="1:28">
      <c r="A359" s="53"/>
      <c r="B359" s="53"/>
      <c r="C359" s="53"/>
      <c r="D359" s="53"/>
      <c r="E359" s="53"/>
      <c r="F359" s="184"/>
      <c r="H359" s="61" t="s">
        <v>301</v>
      </c>
      <c r="I359" s="165">
        <f>SUMIF($B$8:$B$353,"AG",T$8:T$353)</f>
        <v>9100000</v>
      </c>
      <c r="J359" s="192">
        <f>SUMIF($B$8:$B$353,"AG",K$8:K$353)</f>
        <v>2746861.23</v>
      </c>
      <c r="K359" s="4">
        <f>SUMIF($B$8:$B$353,"AG",M$8:M$353)</f>
        <v>3436582.76</v>
      </c>
      <c r="L359" s="4">
        <f>SUMIF($B$8:$B$353,"AG",O$8:O$353)</f>
        <v>3373807.8000000007</v>
      </c>
      <c r="M359" s="4">
        <f t="shared" si="22"/>
        <v>0</v>
      </c>
      <c r="N359" s="4">
        <f>SUMIF($B$8:$B$353,"AG",Q$8:Q$353)</f>
        <v>1479057.2300000002</v>
      </c>
      <c r="O359" s="4"/>
      <c r="P359" s="4"/>
      <c r="Q359" s="4"/>
      <c r="R359" s="4">
        <f>SUMIF($B$8:$B$353,"AG",R$8:R$353)</f>
        <v>11036309.020000001</v>
      </c>
    </row>
    <row r="360" spans="1:28">
      <c r="A360" s="53"/>
      <c r="B360" s="53"/>
      <c r="C360" s="53"/>
      <c r="D360" s="53"/>
      <c r="E360" s="53"/>
      <c r="F360" s="184"/>
      <c r="H360" s="61" t="s">
        <v>159</v>
      </c>
      <c r="I360" s="165">
        <f>SUMIF($B$8:$B$353,"MDCR",T$8:T$353)</f>
        <v>0</v>
      </c>
      <c r="J360" s="192">
        <f>SUMIF($B$8:$B$353,"MDCR",K$8:K$353)</f>
        <v>41517</v>
      </c>
      <c r="K360" s="4">
        <f>SUMIF($B$8:$B$353,"MDCR",M$8:M$353)</f>
        <v>6590</v>
      </c>
      <c r="L360" s="4">
        <f>SUMIF($B$8:$B$353,"MDCR",O$8:O$353)</f>
        <v>0</v>
      </c>
      <c r="M360" s="4">
        <f t="shared" si="22"/>
        <v>0</v>
      </c>
      <c r="N360" s="4">
        <f>SUMIF($B$8:$B$353,"MDCR",Q$8:Q$353)</f>
        <v>0</v>
      </c>
      <c r="O360" s="4"/>
      <c r="P360" s="4"/>
      <c r="Q360" s="4"/>
      <c r="R360" s="4">
        <f>SUMIF($B$8:$B$353,"MDCR",R$8:R$353)</f>
        <v>48107</v>
      </c>
    </row>
    <row r="361" spans="1:28">
      <c r="A361" s="53"/>
      <c r="B361" s="53"/>
      <c r="C361" s="53"/>
      <c r="D361" s="53"/>
      <c r="E361" s="53"/>
      <c r="F361" s="184"/>
      <c r="H361" s="61" t="s">
        <v>160</v>
      </c>
      <c r="I361" s="165">
        <f>SUMIF($B$8:$B$353,"DOC",T$8:T$353)</f>
        <v>0</v>
      </c>
      <c r="J361" s="192">
        <f>SUMIF($B$8:$B$353,"DOC",K$8:K$353)</f>
        <v>831289.27</v>
      </c>
      <c r="K361" s="4">
        <f>SUMIF($B$8:$B$353,"DOC",M$8:M$353)</f>
        <v>145242</v>
      </c>
      <c r="L361" s="4">
        <f>SUMIF($B$8:$B$353,"DOC",O$8:O$353)</f>
        <v>0</v>
      </c>
      <c r="M361" s="4">
        <f t="shared" si="22"/>
        <v>0</v>
      </c>
      <c r="N361" s="4">
        <f>SUMIF($B$8:$B$353,"DOC",Q$8:Q$353)</f>
        <v>0</v>
      </c>
      <c r="O361" s="4"/>
      <c r="P361" s="4"/>
      <c r="Q361" s="4"/>
      <c r="R361" s="4">
        <f>SUMIF($B$8:$B$353,"DOC",R$8:R$353)</f>
        <v>976531.27</v>
      </c>
    </row>
    <row r="362" spans="1:28">
      <c r="A362" s="53"/>
      <c r="B362" s="53"/>
      <c r="C362" s="53"/>
      <c r="D362" s="53"/>
      <c r="E362" s="53"/>
      <c r="F362" s="184"/>
      <c r="H362" s="61" t="s">
        <v>161</v>
      </c>
      <c r="I362" s="165">
        <f>SUMIF($B$8:$B$353,"MDE",T$8:T$353)</f>
        <v>36335300</v>
      </c>
      <c r="J362" s="192">
        <f>SUMIF($B$8:$B$353,"MDE",K$8:K$353)</f>
        <v>1985278.17</v>
      </c>
      <c r="K362" s="4">
        <f>SUMIF($B$8:$B$353,"MDE",M$8:M$353)</f>
        <v>6222369.2300000004</v>
      </c>
      <c r="L362" s="4">
        <f>SUMIF($B$8:$B$353,"MDE",O$8:O$353)</f>
        <v>10383473</v>
      </c>
      <c r="M362" s="4">
        <f t="shared" si="22"/>
        <v>0.21999999508261681</v>
      </c>
      <c r="N362" s="4">
        <f>SUMIF($B$8:$B$353,"MDE",Q$8:Q$353)</f>
        <v>2452905.5</v>
      </c>
      <c r="O362" s="4"/>
      <c r="P362" s="4"/>
      <c r="Q362" s="4"/>
      <c r="R362" s="4">
        <f>SUMIF($B$8:$B$353,"MDE",R$8:R$353)</f>
        <v>21044026.119999997</v>
      </c>
    </row>
    <row r="363" spans="1:28">
      <c r="A363" s="53"/>
      <c r="B363" s="53"/>
      <c r="C363" s="53"/>
      <c r="D363" s="53"/>
      <c r="E363" s="53"/>
      <c r="F363" s="184"/>
      <c r="H363" s="61" t="s">
        <v>29</v>
      </c>
      <c r="I363" s="165">
        <f>SUMIF($B$8:$B$353,"DEQ",T$8:T$353)</f>
        <v>79953800</v>
      </c>
      <c r="J363" s="192">
        <f>SUMIF($B$8:$B$353,"DEQ",K$8:K$353)</f>
        <v>18044316.59</v>
      </c>
      <c r="K363" s="4">
        <f>SUMIF($B$8:$B$353,"DEQ",M$8:M$353)</f>
        <v>37359133</v>
      </c>
      <c r="L363" s="4">
        <f>SUMIF($B$8:$B$353,"DEQ",O$8:O$353)</f>
        <v>6479540</v>
      </c>
      <c r="M363" s="4">
        <f t="shared" si="22"/>
        <v>6196065</v>
      </c>
      <c r="N363" s="4">
        <f>SUMIF($B$8:$B$353,"DEQ",Q$8:Q$353)</f>
        <v>13930716</v>
      </c>
      <c r="O363" s="4"/>
      <c r="P363" s="4"/>
      <c r="Q363" s="4"/>
      <c r="R363" s="4">
        <f>SUMIF($B$8:$B$353,"DEQ",R$8:R$353)</f>
        <v>82009770.590000004</v>
      </c>
    </row>
    <row r="364" spans="1:28">
      <c r="A364" s="53"/>
      <c r="B364" s="53"/>
      <c r="C364" s="53"/>
      <c r="D364" s="53"/>
      <c r="E364" s="53"/>
      <c r="F364" s="184"/>
      <c r="H364" s="61" t="s">
        <v>30</v>
      </c>
      <c r="I364" s="165">
        <f>SUMIF($B$8:$B$353,"DHHS",T$8:T$353)</f>
        <v>77868500</v>
      </c>
      <c r="J364" s="192">
        <f>SUMIF($B$8:$B$353,"DHHS",K$8:K$353)</f>
        <v>12608119.220000001</v>
      </c>
      <c r="K364" s="4">
        <f>SUMIF($B$8:$B$353,"DHHS",M$8:M$353)</f>
        <v>23251268.07</v>
      </c>
      <c r="L364" s="4">
        <f>SUMIF($B$8:$B$353,"DHHS",O$8:O$353)</f>
        <v>23095363.16</v>
      </c>
      <c r="M364" s="4">
        <f t="shared" si="22"/>
        <v>8293007.7999999784</v>
      </c>
      <c r="N364" s="4">
        <f>SUMIF($B$8:$B$353,"DHHS",Q$8:Q$353)</f>
        <v>8496522.1799999997</v>
      </c>
      <c r="O364" s="4"/>
      <c r="P364" s="4"/>
      <c r="Q364" s="4"/>
      <c r="R364" s="4">
        <f>SUMIF($B$8:$B$353,"DHHS",R$8:R$353)</f>
        <v>75744280.429999977</v>
      </c>
    </row>
    <row r="365" spans="1:28">
      <c r="A365" s="53"/>
      <c r="B365" s="53"/>
      <c r="C365" s="53"/>
      <c r="D365" s="53"/>
      <c r="E365" s="53"/>
      <c r="F365" s="184"/>
      <c r="H365" s="61" t="s">
        <v>46</v>
      </c>
      <c r="I365" s="165">
        <f>SUMIF($B$8:$B$353,"DIFS",T$8:T$353)</f>
        <v>0</v>
      </c>
      <c r="J365" s="192">
        <f>SUMIF($B$8:$B$353,"DIFS",K$8:K$353)</f>
        <v>5658.5694375000003</v>
      </c>
      <c r="K365" s="4">
        <f>SUMIF($B$8:$B$353,"DIFS",M$8:M$353)</f>
        <v>0</v>
      </c>
      <c r="L365" s="4">
        <f>SUMIF($B$8:$B$353,"DIFS",O$8:O$353)</f>
        <v>0</v>
      </c>
      <c r="M365" s="4">
        <f t="shared" si="22"/>
        <v>0</v>
      </c>
      <c r="N365" s="4">
        <f>SUMIF($B$8:$B$353,"DIFS",Q$8:Q$353)</f>
        <v>0</v>
      </c>
      <c r="O365" s="4"/>
      <c r="P365" s="4"/>
      <c r="Q365" s="4"/>
      <c r="R365" s="4">
        <f>SUMIF($B$8:$B$353,"DIFS",R$8:R$353)</f>
        <v>5658.5694375000003</v>
      </c>
    </row>
    <row r="366" spans="1:28">
      <c r="A366" s="53"/>
      <c r="B366" s="53"/>
      <c r="C366" s="53"/>
      <c r="D366" s="53"/>
      <c r="E366" s="53"/>
      <c r="F366" s="184"/>
      <c r="H366" s="61" t="s">
        <v>32</v>
      </c>
      <c r="I366" s="165">
        <f>SUMIF($B$8:$B$353,"LARA",T$8:T$353)</f>
        <v>1860000</v>
      </c>
      <c r="J366" s="192">
        <f>SUMIF($B$8:$B$353,"LARA",K$8:K$353)</f>
        <v>1293856.3999999999</v>
      </c>
      <c r="K366" s="4">
        <f>SUMIF($B$8:$B$353,"LARA",M$8:M$353)</f>
        <v>449717</v>
      </c>
      <c r="L366" s="4">
        <f>SUMIF($B$8:$B$353,"LARA",O$8:O$353)</f>
        <v>92448</v>
      </c>
      <c r="M366" s="4">
        <f t="shared" si="22"/>
        <v>0</v>
      </c>
      <c r="N366" s="4">
        <f>SUMIF($B$8:$B$353,"LARA",Q$8:Q$353)</f>
        <v>0</v>
      </c>
      <c r="O366" s="4"/>
      <c r="P366" s="4"/>
      <c r="Q366" s="4"/>
      <c r="R366" s="4">
        <f>SUMIF($B$8:$B$353,"LARA",R$8:R$353)</f>
        <v>1836021.4</v>
      </c>
    </row>
    <row r="367" spans="1:28">
      <c r="A367" s="53"/>
      <c r="B367" s="53"/>
      <c r="C367" s="53"/>
      <c r="D367" s="53"/>
      <c r="E367" s="53"/>
      <c r="F367" s="184"/>
      <c r="H367" s="61" t="s">
        <v>33</v>
      </c>
      <c r="I367" s="165">
        <f>SUMIF($B$8:$B$353,"DMVA",T$8:T$353)</f>
        <v>2500000</v>
      </c>
      <c r="J367" s="192">
        <f>SUMIF($B$8:$B$353,"DMVA",K$8:K$353)</f>
        <v>2541945.17</v>
      </c>
      <c r="K367" s="4">
        <f>SUMIF($B$8:$B$353,"DMVA",M$8:M$353)</f>
        <v>0</v>
      </c>
      <c r="L367" s="4">
        <f>SUMIF($B$8:$B$353,"DMVA",O$8:O$353)</f>
        <v>0</v>
      </c>
      <c r="M367" s="4">
        <f t="shared" si="22"/>
        <v>0</v>
      </c>
      <c r="N367" s="4">
        <f>SUMIF($B$8:$B$353,"DMVA",Q$8:Q$353)</f>
        <v>0</v>
      </c>
      <c r="O367" s="4"/>
      <c r="P367" s="4"/>
      <c r="Q367" s="4"/>
      <c r="R367" s="4">
        <f>SUMIF($B$8:$B$353,"DMVA",R$8:R$353)</f>
        <v>2541945.17</v>
      </c>
    </row>
    <row r="368" spans="1:28">
      <c r="A368" s="53"/>
      <c r="B368" s="53"/>
      <c r="C368" s="53"/>
      <c r="D368" s="53"/>
      <c r="E368" s="53"/>
      <c r="F368" s="184"/>
      <c r="H368" s="61" t="s">
        <v>34</v>
      </c>
      <c r="I368" s="4">
        <f>SUMIF($B$8:$B$353,"DNR",T$8:T$353)</f>
        <v>250000</v>
      </c>
      <c r="J368" s="192">
        <f>SUMIF($B$8:$B$353,"DNR",K$8:K$353)</f>
        <v>250019.10000000059</v>
      </c>
      <c r="K368" s="4">
        <f>SUMIF($B$8:$B$353,"DNR",M$8:M$353)</f>
        <v>3370.3700000000003</v>
      </c>
      <c r="L368" s="4">
        <f>SUMIF($B$8:$B$353,"DNR",O$8:O$353)</f>
        <v>0</v>
      </c>
      <c r="M368" s="4">
        <f t="shared" si="22"/>
        <v>-5.0022208597511053E-12</v>
      </c>
      <c r="N368" s="4">
        <f>SUMIF($B$8:$B$353,"DNR",Q$8:Q$353)</f>
        <v>0</v>
      </c>
      <c r="O368" s="4"/>
      <c r="P368" s="4"/>
      <c r="Q368" s="4"/>
      <c r="R368" s="4">
        <f>SUMIF($B$8:$B$353,"DNR",R$8:R$353)</f>
        <v>253389.47000000058</v>
      </c>
    </row>
    <row r="369" spans="1:19">
      <c r="A369" s="53"/>
      <c r="B369" s="53"/>
      <c r="C369" s="53"/>
      <c r="D369" s="53"/>
      <c r="E369" s="53"/>
      <c r="F369" s="184"/>
      <c r="H369" s="61" t="s">
        <v>395</v>
      </c>
      <c r="I369" s="4">
        <f>SUMIF($B$8:$B$353,"School Aid",T$8:T$353)</f>
        <v>37929900</v>
      </c>
      <c r="J369" s="192">
        <f>SUMIF($B$8:$B$353,"School Aid",K$8:K$353)</f>
        <v>0</v>
      </c>
      <c r="K369" s="4">
        <f>SUMIF($B$8:$B$353,"School Aid",M$8:M$353)</f>
        <v>19852500</v>
      </c>
      <c r="L369" s="4">
        <f>SUMIF($B$8:$B$353,"School Aid",O$8:O$353)</f>
        <v>6844952</v>
      </c>
      <c r="M369" s="4">
        <f t="shared" si="22"/>
        <v>0</v>
      </c>
      <c r="N369" s="4">
        <f>SUMIF($B$8:$B$353,"School Aid",Q$8:Q$353)</f>
        <v>10312147</v>
      </c>
      <c r="O369" s="4"/>
      <c r="P369" s="4"/>
      <c r="Q369" s="4"/>
      <c r="R369" s="4">
        <f>SUMIF($B$8:$B$353,"School Aid",R$8:R$353)</f>
        <v>37009599</v>
      </c>
    </row>
    <row r="370" spans="1:19">
      <c r="A370" s="53"/>
      <c r="B370" s="53"/>
      <c r="C370" s="53"/>
      <c r="D370" s="53"/>
      <c r="E370" s="53"/>
      <c r="F370" s="184"/>
      <c r="H370" s="61" t="s">
        <v>162</v>
      </c>
      <c r="I370" s="4">
        <f>SUMIF($B$8:$B$353,"MDOS",T$8:T$353)</f>
        <v>0</v>
      </c>
      <c r="J370" s="192">
        <f>SUMIF($B$8:$B$353,"MDOS",K$8:K$353)</f>
        <v>3131</v>
      </c>
      <c r="K370" s="4">
        <f>SUMIF($B$8:$B$353,"MDOS",M$8:M$353)</f>
        <v>0</v>
      </c>
      <c r="L370" s="4">
        <f>SUMIF($B$8:$B$353,"MDOS",O$8:O$353)</f>
        <v>0</v>
      </c>
      <c r="M370" s="4">
        <f t="shared" si="22"/>
        <v>0</v>
      </c>
      <c r="N370" s="4">
        <f>SUMIF($B$8:$B$353,"MDOS",Q$8:Q$353)</f>
        <v>0</v>
      </c>
      <c r="O370" s="4"/>
      <c r="P370" s="4"/>
      <c r="Q370" s="4"/>
      <c r="R370" s="4">
        <f>SUMIF($B$8:$B$353,"MDOS",R$8:R$353)</f>
        <v>3131</v>
      </c>
    </row>
    <row r="371" spans="1:19">
      <c r="A371" s="53"/>
      <c r="B371" s="53"/>
      <c r="C371" s="53"/>
      <c r="D371" s="53"/>
      <c r="E371" s="53"/>
      <c r="F371" s="184"/>
      <c r="H371" s="61" t="s">
        <v>36</v>
      </c>
      <c r="I371" s="4">
        <f>SUMIF($B$8:$B$353,"MSP",T$8:T$353)</f>
        <v>10008100</v>
      </c>
      <c r="J371" s="192">
        <f>SUMIF($B$8:$B$353,"MSP",K$8:K$353)</f>
        <v>12016956.07</v>
      </c>
      <c r="K371" s="4">
        <f>SUMIF($B$8:$B$353,"MSP",M$8:M$353)</f>
        <v>7794774.2400000002</v>
      </c>
      <c r="L371" s="4">
        <f>SUMIF($B$8:$B$353,"MSP",O$8:O$353)</f>
        <v>21789.49</v>
      </c>
      <c r="M371" s="4">
        <f t="shared" si="22"/>
        <v>-1.57160684466362E-9</v>
      </c>
      <c r="N371" s="4">
        <f>SUMIF($B$8:$B$353,"MSP",Q$8:Q$353)</f>
        <v>65005.33</v>
      </c>
      <c r="O371" s="4"/>
      <c r="P371" s="4"/>
      <c r="Q371" s="4"/>
      <c r="R371" s="4">
        <f>SUMIF($B$8:$B$353,"MSP",R$8:R$353)</f>
        <v>19898525.129999999</v>
      </c>
    </row>
    <row r="372" spans="1:19">
      <c r="A372" s="53"/>
      <c r="B372" s="53"/>
      <c r="C372" s="53"/>
      <c r="D372" s="53"/>
      <c r="E372" s="53"/>
      <c r="F372" s="184"/>
      <c r="H372" s="61" t="s">
        <v>143</v>
      </c>
      <c r="I372" s="4">
        <f>SUMIF($B$8:$B$353,"TED",T$8:T$353)</f>
        <v>100</v>
      </c>
      <c r="J372" s="192">
        <f>SUMIF($B$8:$B$353,"TED",K$8:K$353)</f>
        <v>2173926.02</v>
      </c>
      <c r="K372" s="4">
        <f>SUMIF($B$8:$B$353,"TED",M$8:M$353)</f>
        <v>13709309.01</v>
      </c>
      <c r="L372" s="4">
        <f>SUMIF($B$8:$B$353,"TED",O$8:O$353)</f>
        <v>3989715</v>
      </c>
      <c r="M372" s="4">
        <f t="shared" si="22"/>
        <v>-1.862645149230957E-9</v>
      </c>
      <c r="N372" s="4">
        <f>SUMIF($B$8:$B$353,"TED",Q$8:Q$353)</f>
        <v>19154</v>
      </c>
      <c r="O372" s="4"/>
      <c r="P372" s="4"/>
      <c r="Q372" s="4"/>
      <c r="R372" s="4">
        <f>SUMIF($B$8:$B$353,"TED",R$8:R$353)</f>
        <v>19892104.029999997</v>
      </c>
    </row>
    <row r="373" spans="1:19">
      <c r="A373" s="53"/>
      <c r="B373" s="53"/>
      <c r="C373" s="53"/>
      <c r="D373" s="53"/>
      <c r="E373" s="53"/>
      <c r="F373" s="184"/>
      <c r="H373" s="61" t="s">
        <v>275</v>
      </c>
      <c r="I373" s="4">
        <f>SUMIF($B$8:$B$353,"MSF",T$8:T$353)</f>
        <v>0</v>
      </c>
      <c r="J373" s="192">
        <f>SUMIF($B$8:$B$353,"MSF",K$8:K$353)</f>
        <v>12500000</v>
      </c>
      <c r="K373" s="4">
        <f>SUMIF($B$8:$B$353,"MSF",M$8:M$353)</f>
        <v>4447005.79</v>
      </c>
      <c r="L373" s="4">
        <f>SUMIF($B$8:$B$353,"MSF",O$8:O$353)</f>
        <v>1197994</v>
      </c>
      <c r="M373" s="4">
        <f t="shared" si="22"/>
        <v>10091391</v>
      </c>
      <c r="N373" s="4">
        <f>SUMIF($B$8:$B$353,"MSF",Q$8:Q$353)</f>
        <v>18146084</v>
      </c>
      <c r="O373" s="4"/>
      <c r="P373" s="4"/>
      <c r="Q373" s="4"/>
      <c r="R373" s="4">
        <f>SUMIF($B$8:$B$353,"MSF",R$8:R$353)</f>
        <v>46382474.789999999</v>
      </c>
    </row>
    <row r="374" spans="1:19">
      <c r="A374" s="53"/>
      <c r="B374" s="53"/>
      <c r="C374" s="53"/>
      <c r="D374" s="53"/>
      <c r="E374" s="53"/>
      <c r="F374" s="184"/>
      <c r="H374" s="61" t="s">
        <v>171</v>
      </c>
      <c r="I374" s="4">
        <f>SUMIF($B$8:$B$353,"MEDC",T$8:T$353)</f>
        <v>0</v>
      </c>
      <c r="J374" s="192">
        <f>SUMIF($B$8:$B$353,"MEDC",K$8:K$353)</f>
        <v>70000</v>
      </c>
      <c r="K374" s="4">
        <f>SUMIF($B$8:$B$353,"MEDC",M$8:M$353)</f>
        <v>0</v>
      </c>
      <c r="L374" s="4">
        <f>SUMIF($B$8:$B$353,"MEDC",O$8:O$353)</f>
        <v>0</v>
      </c>
      <c r="M374" s="4">
        <f t="shared" si="22"/>
        <v>0</v>
      </c>
      <c r="N374" s="4">
        <f>SUMIF($B$8:$B$353,"MEDC",Q$8:Q$353)</f>
        <v>0</v>
      </c>
      <c r="O374" s="4"/>
      <c r="P374" s="4"/>
      <c r="Q374" s="4"/>
      <c r="R374" s="4">
        <f>SUMIF($B$8:$B$353,"MEDC",R$8:R$353)</f>
        <v>70000</v>
      </c>
    </row>
    <row r="375" spans="1:19">
      <c r="A375" s="53"/>
      <c r="B375" s="53"/>
      <c r="C375" s="53"/>
      <c r="D375" s="53"/>
      <c r="E375" s="53"/>
      <c r="F375" s="184"/>
      <c r="H375" s="61" t="s">
        <v>172</v>
      </c>
      <c r="I375" s="4">
        <f>SUMIF($B$8:$B$353,"MSHDA",T$8:T$353)</f>
        <v>0</v>
      </c>
      <c r="J375" s="192">
        <f>SUMIF($B$8:$B$353,"MSHDA",K$8:K$353)</f>
        <v>110012</v>
      </c>
      <c r="K375" s="4">
        <f>SUMIF($B$8:$B$353,"MSHDA",M$8:M$353)</f>
        <v>1024</v>
      </c>
      <c r="L375" s="4">
        <f>SUMIF($B$8:$B$353,"MSHDA",O$8:O$353)</f>
        <v>0</v>
      </c>
      <c r="M375" s="4">
        <f t="shared" si="22"/>
        <v>0</v>
      </c>
      <c r="N375" s="4">
        <f>SUMIF($B$8:$B$353,"MSHDA",Q$8:Q$353)</f>
        <v>0</v>
      </c>
      <c r="O375" s="4"/>
      <c r="P375" s="4"/>
      <c r="Q375" s="4"/>
      <c r="R375" s="4">
        <f>SUMIF($B$8:$B$353,"MSHDA",R$8:R$353)</f>
        <v>111036</v>
      </c>
    </row>
    <row r="376" spans="1:19">
      <c r="A376" s="53"/>
      <c r="B376" s="53"/>
      <c r="C376" s="53"/>
      <c r="D376" s="53"/>
      <c r="E376" s="53"/>
      <c r="F376" s="184"/>
      <c r="H376" s="61" t="s">
        <v>37</v>
      </c>
      <c r="I376" s="4">
        <f>SUMIF($B$8:$B$353,"DTMB",T$8:T$353)</f>
        <v>500100</v>
      </c>
      <c r="J376" s="192">
        <f>SUMIF($B$8:$B$353,"DTMB",K$8:K$353)</f>
        <v>0</v>
      </c>
      <c r="K376" s="4">
        <f>SUMIF($B$8:$B$353,"DTMB",M$8:M$353)</f>
        <v>0</v>
      </c>
      <c r="L376" s="4">
        <f>SUMIF($B$8:$B$353,"DTMB",O$8:O$353)</f>
        <v>1358421.5899999999</v>
      </c>
      <c r="M376" s="4">
        <f t="shared" si="22"/>
        <v>753961.19999999972</v>
      </c>
      <c r="N376" s="4">
        <f>SUMIF($B$8:$B$353,"DTMB",Q$8:Q$353)</f>
        <v>0</v>
      </c>
      <c r="O376" s="4"/>
      <c r="P376" s="4"/>
      <c r="Q376" s="4"/>
      <c r="R376" s="4">
        <f>SUMIF($B$8:$B$353,"DTMB",R$8:R$353)</f>
        <v>2112382.7899999996</v>
      </c>
    </row>
    <row r="377" spans="1:19">
      <c r="A377" s="53"/>
      <c r="B377" s="53"/>
      <c r="C377" s="53"/>
      <c r="D377" s="53"/>
      <c r="E377" s="53"/>
      <c r="F377" s="184"/>
      <c r="H377" s="61" t="s">
        <v>38</v>
      </c>
      <c r="I377" s="4">
        <f>SUMIF($B$8:$B$353,"MDOT",T$8:T$353)</f>
        <v>0</v>
      </c>
      <c r="J377" s="192">
        <f>SUMIF($B$8:$B$353,"MDOT",K$8:K$353)</f>
        <v>39.239999999990687</v>
      </c>
      <c r="K377" s="4">
        <f>SUMIF($B$8:$B$353,"MDOT",M$8:M$353)</f>
        <v>0</v>
      </c>
      <c r="L377" s="4">
        <f>SUMIF($B$8:$B$353,"MDOT",O$8:O$353)</f>
        <v>0</v>
      </c>
      <c r="M377" s="4">
        <f t="shared" si="22"/>
        <v>0</v>
      </c>
      <c r="N377" s="4">
        <f>SUMIF($B$8:$B$353,"MDOT",Q$8:Q$353)</f>
        <v>0</v>
      </c>
      <c r="O377" s="4"/>
      <c r="P377" s="4"/>
      <c r="Q377" s="4"/>
      <c r="R377" s="4">
        <f>SUMIF($B$8:$B$353,"MDOT",R$8:R$353)</f>
        <v>39.239999999990687</v>
      </c>
    </row>
    <row r="378" spans="1:19">
      <c r="A378" s="53"/>
      <c r="B378" s="53"/>
      <c r="C378" s="53"/>
      <c r="D378" s="53"/>
      <c r="E378" s="53"/>
      <c r="F378" s="184"/>
      <c r="H378" s="61" t="s">
        <v>39</v>
      </c>
      <c r="I378" s="4">
        <f>SUMIF($B$8:$B$353,"Treasury",T$8:T$353)</f>
        <v>73693200</v>
      </c>
      <c r="J378" s="192">
        <f>SUMIF($B$8:$B$353,"Treasury",K$8:K$353)</f>
        <v>33309728</v>
      </c>
      <c r="K378" s="4">
        <f>SUMIF($B$8:$B$353,"Treasury",M$8:M$353)</f>
        <v>24382675.579999994</v>
      </c>
      <c r="L378" s="4">
        <f>SUMIF($B$8:$B$353,"Treasury",O$8:O$353)</f>
        <v>9008315</v>
      </c>
      <c r="M378" s="4">
        <f t="shared" si="22"/>
        <v>835744.19999999541</v>
      </c>
      <c r="N378" s="4">
        <f>SUMIF($B$8:$B$353,"Treasury",Q$8:Q$353)</f>
        <v>692769.34</v>
      </c>
      <c r="O378" s="4"/>
      <c r="P378" s="4"/>
      <c r="Q378" s="4"/>
      <c r="R378" s="4">
        <f>SUMIF($B$8:$B$353,"Treasury",R$8:R$353)</f>
        <v>68229232.11999999</v>
      </c>
    </row>
    <row r="379" spans="1:19">
      <c r="A379" s="53"/>
      <c r="B379" s="53"/>
      <c r="C379" s="53"/>
      <c r="D379" s="53"/>
      <c r="E379" s="53"/>
      <c r="F379" s="184"/>
      <c r="H379" s="62" t="s">
        <v>163</v>
      </c>
      <c r="I379" s="4">
        <f>SUMIF($B$8:$B$353,"MGCB",T$8:T$353)</f>
        <v>0</v>
      </c>
      <c r="J379" s="192">
        <f>SUMIF($B$8:$B$353,"MGCB",K$8:K$353)</f>
        <v>3541</v>
      </c>
      <c r="K379" s="4">
        <f>SUMIF($B$8:$B$353,"MGCB",M$8:M$353)</f>
        <v>0</v>
      </c>
      <c r="L379" s="4">
        <f>SUMIF($B$8:$B$353,"MGCB",O$8:O$353)</f>
        <v>0</v>
      </c>
      <c r="M379" s="4">
        <f t="shared" si="22"/>
        <v>0</v>
      </c>
      <c r="N379" s="4">
        <f>SUMIF($B$8:$B$353,"MGCB",Q$8:Q$353)</f>
        <v>0</v>
      </c>
      <c r="O379" s="4"/>
      <c r="P379" s="4"/>
      <c r="Q379" s="4"/>
      <c r="R379" s="4">
        <f>SUMIF($B$8:$B$353,"MGCB",R$8:R$353)</f>
        <v>3541</v>
      </c>
    </row>
    <row r="380" spans="1:19">
      <c r="A380" s="53"/>
      <c r="B380" s="53"/>
      <c r="C380" s="53"/>
      <c r="D380" s="53"/>
      <c r="E380" s="53"/>
      <c r="F380" s="184"/>
      <c r="H380" s="63" t="s">
        <v>158</v>
      </c>
      <c r="I380" s="64">
        <f t="shared" ref="I380:N380" si="23">SUM(I358:I379)</f>
        <v>329999100</v>
      </c>
      <c r="J380" s="5">
        <f t="shared" si="23"/>
        <v>100987028.04943749</v>
      </c>
      <c r="K380" s="64">
        <f t="shared" si="23"/>
        <v>141075643.84</v>
      </c>
      <c r="L380" s="64">
        <f t="shared" si="23"/>
        <v>65845819.040000007</v>
      </c>
      <c r="M380" s="64">
        <f t="shared" si="23"/>
        <v>26170169.419999965</v>
      </c>
      <c r="N380" s="64">
        <f t="shared" si="23"/>
        <v>55594360.579999998</v>
      </c>
      <c r="O380" s="64"/>
      <c r="P380" s="64"/>
      <c r="Q380" s="64"/>
      <c r="R380" s="64">
        <f>SUM(R358:R379)</f>
        <v>389673020.92943752</v>
      </c>
    </row>
    <row r="381" spans="1:19">
      <c r="A381" s="53"/>
      <c r="B381" s="53"/>
      <c r="C381" s="53"/>
      <c r="D381" s="53"/>
      <c r="E381" s="53"/>
      <c r="F381" s="184"/>
      <c r="H381" s="65"/>
      <c r="I381" s="65" t="str">
        <f>IF(I380=T354,"","oops")</f>
        <v/>
      </c>
      <c r="J381" s="193" t="str">
        <f>IF(ROUND(J380,3)=ROUND(K354,3),"","oops")</f>
        <v/>
      </c>
      <c r="K381" s="65" t="str">
        <f>IF(ROUND(K380,3)=ROUND(M354,3),"","oops")</f>
        <v/>
      </c>
      <c r="L381" s="65" t="str">
        <f>IF(ROUND(L380,3)=ROUND(O354,3),"","oops")</f>
        <v/>
      </c>
      <c r="M381" s="65" t="str">
        <f>IF(ROUND(M380,3)=ROUND(SUM(H354:I354),3),"","oops")</f>
        <v/>
      </c>
      <c r="N381" s="65"/>
      <c r="O381" s="65"/>
      <c r="P381" s="65"/>
      <c r="Q381" s="65"/>
      <c r="R381" s="65" t="str">
        <f>IF(ROUND(R380,5)=ROUND(R354,5),"","oops")</f>
        <v/>
      </c>
      <c r="S381" s="57"/>
    </row>
    <row r="382" spans="1:19" ht="26.25">
      <c r="A382" s="53"/>
      <c r="B382" s="53"/>
      <c r="C382" s="53"/>
      <c r="D382" s="53"/>
      <c r="E382" s="53"/>
      <c r="F382" s="184"/>
      <c r="H382" s="66" t="s">
        <v>164</v>
      </c>
      <c r="I382" s="67" t="s">
        <v>156</v>
      </c>
      <c r="J382" s="194" t="s">
        <v>558</v>
      </c>
      <c r="K382" s="59" t="s">
        <v>559</v>
      </c>
      <c r="L382" s="59" t="s">
        <v>674</v>
      </c>
      <c r="M382" s="60" t="s">
        <v>165</v>
      </c>
      <c r="N382" s="60" t="s">
        <v>870</v>
      </c>
      <c r="O382" s="60"/>
      <c r="P382" s="60"/>
      <c r="Q382" s="60"/>
      <c r="R382" s="67" t="s">
        <v>158</v>
      </c>
    </row>
    <row r="383" spans="1:19">
      <c r="A383" s="53"/>
      <c r="B383" s="53"/>
      <c r="C383" s="53"/>
      <c r="D383" s="53"/>
      <c r="E383" s="53"/>
      <c r="F383" s="184"/>
      <c r="H383" s="68" t="s">
        <v>173</v>
      </c>
      <c r="I383" s="4">
        <f>SUMIF($E$8:$E$353,"Econ Develop",T$8:T$353)</f>
        <v>0</v>
      </c>
      <c r="J383" s="192">
        <f>SUMIF($E$8:$E$353,"Econ Develop",K$8:K$353)</f>
        <v>14813462.02</v>
      </c>
      <c r="K383" s="4">
        <f>SUMIF($E$8:$E$353,"Econ Develop",M$8:M$353)</f>
        <v>18157338.799999997</v>
      </c>
      <c r="L383" s="4">
        <f>SUMIF($E$8:$E$353,"Econ Develop",O$8:O$353)</f>
        <v>5187709</v>
      </c>
      <c r="M383" s="4">
        <f t="shared" ref="M383:M388" si="24">+R383-J383-K383-L383-N383</f>
        <v>10091391</v>
      </c>
      <c r="N383" s="4">
        <f>SUMIF($E$8:$E$353,"Econ Develop",Q$8:Q$353)</f>
        <v>18165238</v>
      </c>
      <c r="O383" s="4"/>
      <c r="P383" s="4"/>
      <c r="Q383" s="4"/>
      <c r="R383" s="4">
        <f>SUMIF($E$8:$E$353,"Econ Develop",R$8:R$353)</f>
        <v>66415138.82</v>
      </c>
    </row>
    <row r="384" spans="1:19">
      <c r="A384" s="53"/>
      <c r="B384" s="53"/>
      <c r="C384" s="53"/>
      <c r="D384" s="53"/>
      <c r="E384" s="53"/>
      <c r="F384" s="184"/>
      <c r="H384" s="69" t="s">
        <v>8</v>
      </c>
      <c r="I384" s="4">
        <f>SUMIF($E$8:$E$353,"Food",T$8:T$353)</f>
        <v>31519200</v>
      </c>
      <c r="J384" s="192">
        <f>SUMIF($E$8:$E$353,"Food",K$8:K$353)</f>
        <v>1507189.58</v>
      </c>
      <c r="K384" s="4">
        <f>SUMIF($E$8:$E$353,"Food",M$8:M$353)</f>
        <v>13028645.130000001</v>
      </c>
      <c r="L384" s="4">
        <f>SUMIF($E$8:$E$353,"Food",O$8:O$353)</f>
        <v>8417032.0899999999</v>
      </c>
      <c r="M384" s="244">
        <f t="shared" si="24"/>
        <v>1845254.1500000011</v>
      </c>
      <c r="N384" s="4">
        <f>SUMIF($E$8:$E$353,"Food",Q$8:Q$353)</f>
        <v>1598532.3</v>
      </c>
      <c r="O384" s="4"/>
      <c r="P384" s="4"/>
      <c r="Q384" s="4"/>
      <c r="R384" s="4">
        <f>SUMIF($E$8:$E$353,"food",R$8:R$353)</f>
        <v>26396653.25</v>
      </c>
    </row>
    <row r="385" spans="1:18">
      <c r="A385" s="53"/>
      <c r="B385" s="53"/>
      <c r="C385" s="53"/>
      <c r="D385" s="53"/>
      <c r="E385" s="53"/>
      <c r="F385" s="184"/>
      <c r="H385" s="69" t="s">
        <v>28</v>
      </c>
      <c r="I385" s="4">
        <f>SUMIF($E$8:$E$353,"Physical",T$8:T$353)</f>
        <v>30435600</v>
      </c>
      <c r="J385" s="192">
        <f>SUMIF($E$8:$E$353,"Physical",K$8:K$353)</f>
        <v>4508200.62</v>
      </c>
      <c r="K385" s="4">
        <f>SUMIF($E$8:$E$353,"Physical",M$8:M$353)</f>
        <v>13539042.039999999</v>
      </c>
      <c r="L385" s="4">
        <f>SUMIF($E$8:$E$353,"Physical",O$8:O$353)</f>
        <v>11571885.32</v>
      </c>
      <c r="M385" s="244">
        <f t="shared" si="24"/>
        <v>4906323.4899999984</v>
      </c>
      <c r="N385" s="4">
        <f>SUMIF($E$8:$E$353,"Physical",Q$8:Q$353)</f>
        <v>12317463.629999999</v>
      </c>
      <c r="O385" s="4"/>
      <c r="P385" s="4"/>
      <c r="Q385" s="4"/>
      <c r="R385" s="4">
        <f>SUMIF($E$8:$E$353,"Physical",R$8:R$353)</f>
        <v>46842915.099999994</v>
      </c>
    </row>
    <row r="386" spans="1:18">
      <c r="A386" s="53"/>
      <c r="B386" s="53"/>
      <c r="C386" s="53"/>
      <c r="D386" s="53"/>
      <c r="E386" s="53"/>
      <c r="F386" s="184"/>
      <c r="H386" s="69" t="s">
        <v>25</v>
      </c>
      <c r="I386" s="4">
        <f>SUMIF($E$8:$E$353,"Social",T$8:T$353)</f>
        <v>84962400</v>
      </c>
      <c r="J386" s="192">
        <f>SUMIF($E$8:$E$353,"Social",K$8:K$353)</f>
        <v>6283854.069437501</v>
      </c>
      <c r="K386" s="4">
        <f>SUMIF($E$8:$E$353,"Social",M$8:M$353)</f>
        <v>26017019.25</v>
      </c>
      <c r="L386" s="4">
        <f>SUMIF($E$8:$E$353,"Social",O$8:O$353)</f>
        <v>20988134.290000003</v>
      </c>
      <c r="M386" s="244">
        <f t="shared" si="24"/>
        <v>1541430.3799999878</v>
      </c>
      <c r="N386" s="4">
        <f>SUMIF($E$8:$E$353,"Social",Q$8:Q$353)</f>
        <v>8566164.620000001</v>
      </c>
      <c r="O386" s="4"/>
      <c r="P386" s="4"/>
      <c r="Q386" s="4"/>
      <c r="R386" s="4">
        <f>SUMIF($E$8:$E$353,"Social",R$8:R$353)</f>
        <v>63396602.609437495</v>
      </c>
    </row>
    <row r="387" spans="1:18">
      <c r="A387" s="53"/>
      <c r="B387" s="53"/>
      <c r="C387" s="53"/>
      <c r="D387" s="53"/>
      <c r="E387" s="53"/>
      <c r="F387" s="184"/>
      <c r="H387" s="69" t="s">
        <v>7</v>
      </c>
      <c r="I387" s="4">
        <f>SUMIF($E$8:$E$353,"Water",T$8:T$353)</f>
        <v>140331900</v>
      </c>
      <c r="J387" s="192">
        <f>SUMIF($E$8:$E$353,"Water",K$8:K$353)</f>
        <v>42794164.760000005</v>
      </c>
      <c r="K387" s="4">
        <f>SUMIF($E$8:$E$353,"Water",M$8:M$353)</f>
        <v>60461625.619999982</v>
      </c>
      <c r="L387" s="4">
        <f>SUMIF($E$8:$E$353,"Water",O$8:O$353)</f>
        <v>19681058.340000004</v>
      </c>
      <c r="M387" s="244">
        <f t="shared" si="24"/>
        <v>7000056.2000000272</v>
      </c>
      <c r="N387" s="4">
        <f>SUMIF($E$8:$E$353,"Water",Q$8:Q$353)</f>
        <v>14946962.029999999</v>
      </c>
      <c r="O387" s="4"/>
      <c r="P387" s="4"/>
      <c r="Q387" s="4"/>
      <c r="R387" s="4">
        <f>SUMIF($E$8:$E$353,"Water",R$8:R$353)</f>
        <v>144883866.95000002</v>
      </c>
    </row>
    <row r="388" spans="1:18">
      <c r="A388" s="53"/>
      <c r="B388" s="53"/>
      <c r="C388" s="53"/>
      <c r="D388" s="53"/>
      <c r="E388" s="53"/>
      <c r="F388" s="184"/>
      <c r="H388" s="69" t="s">
        <v>41</v>
      </c>
      <c r="I388" s="4">
        <f>SUMIF($E$8:$E$353,"Water Bill Credits",T$8:T$353)</f>
        <v>42750000</v>
      </c>
      <c r="J388" s="192">
        <f>SUMIF($E$8:$E$353,"Water Bill Credits",K$8:K$353)</f>
        <v>31080157</v>
      </c>
      <c r="K388" s="4">
        <f>SUMIF($E$8:$E$353,"Water Bill Credits",M$8:M$353)</f>
        <v>9871973</v>
      </c>
      <c r="L388" s="4">
        <f>SUMIF($E$8:$E$353,"Water Bill Credits",O$8:O$353)</f>
        <v>0</v>
      </c>
      <c r="M388" s="244">
        <f t="shared" si="24"/>
        <v>785714.20000000298</v>
      </c>
      <c r="N388" s="4">
        <f>SUMIF($E$8:$E$353,"Water Bill Credits",Q$8:Q$353)</f>
        <v>0</v>
      </c>
      <c r="O388" s="4"/>
      <c r="P388" s="4"/>
      <c r="Q388" s="4"/>
      <c r="R388" s="4">
        <f>SUMIF($E$8:$E$353,"Water Bill Credits",R$8:R$353)</f>
        <v>41737844.200000003</v>
      </c>
    </row>
    <row r="389" spans="1:18">
      <c r="A389" s="53"/>
      <c r="B389" s="53"/>
      <c r="C389" s="53"/>
      <c r="D389" s="53"/>
      <c r="E389" s="53"/>
      <c r="F389" s="184"/>
      <c r="H389" s="70" t="s">
        <v>158</v>
      </c>
      <c r="I389" s="5">
        <f t="shared" ref="I389:N389" si="25">SUM(I383:I388)</f>
        <v>329999100</v>
      </c>
      <c r="J389" s="5">
        <f t="shared" si="25"/>
        <v>100987028.04943751</v>
      </c>
      <c r="K389" s="5">
        <f t="shared" si="25"/>
        <v>141075643.83999997</v>
      </c>
      <c r="L389" s="227">
        <f t="shared" si="25"/>
        <v>65845819.040000007</v>
      </c>
      <c r="M389" s="5">
        <f t="shared" si="25"/>
        <v>26170169.420000017</v>
      </c>
      <c r="N389" s="227">
        <f t="shared" si="25"/>
        <v>55594360.579999998</v>
      </c>
      <c r="O389" s="5"/>
      <c r="P389" s="5"/>
      <c r="Q389" s="5"/>
      <c r="R389" s="5">
        <f>SUM(R383:R388)</f>
        <v>389673020.92943746</v>
      </c>
    </row>
    <row r="390" spans="1:18">
      <c r="A390" s="53"/>
      <c r="B390" s="53"/>
      <c r="C390" s="53"/>
      <c r="D390" s="53"/>
      <c r="E390" s="53"/>
      <c r="F390" s="184"/>
      <c r="H390" s="71"/>
      <c r="I390" s="72" t="str">
        <f>IF(I389=I380,"","oops")</f>
        <v/>
      </c>
      <c r="J390" s="186" t="str">
        <f>IF(ROUND(J389,3)=ROUND(J380,3),"","oops")</f>
        <v/>
      </c>
      <c r="K390" s="72" t="str">
        <f>IF(ROUND(K389,3)=ROUND(K380,3),"","oops")</f>
        <v/>
      </c>
      <c r="L390" s="72" t="str">
        <f>IF(ROUND(L389,0)=ROUND(O354,0),"","oops")</f>
        <v/>
      </c>
      <c r="M390" s="65" t="str">
        <f>IF(ROUND(M389,3)=ROUND(SUM(H354:I354),3),"","oops")</f>
        <v/>
      </c>
      <c r="N390" s="72" t="str">
        <f>IF(ROUND(N389,0)=ROUND(Q354,0),"","oops")</f>
        <v/>
      </c>
      <c r="O390" s="205"/>
      <c r="P390" s="205"/>
      <c r="Q390" s="205"/>
      <c r="R390" s="72" t="str">
        <f>IF(ROUND(R389,3)=ROUND(R380,3),"","oops")</f>
        <v/>
      </c>
    </row>
    <row r="391" spans="1:18" ht="26.25">
      <c r="A391" s="53"/>
      <c r="B391" s="53"/>
      <c r="C391" s="53"/>
      <c r="D391" s="53"/>
      <c r="E391" s="53"/>
      <c r="F391" s="184"/>
      <c r="H391" s="66" t="s">
        <v>796</v>
      </c>
      <c r="I391" s="67" t="s">
        <v>156</v>
      </c>
      <c r="J391" s="194" t="s">
        <v>558</v>
      </c>
      <c r="K391" s="59" t="s">
        <v>559</v>
      </c>
      <c r="L391" s="59" t="s">
        <v>674</v>
      </c>
      <c r="M391" s="60" t="s">
        <v>165</v>
      </c>
      <c r="N391" s="59" t="s">
        <v>870</v>
      </c>
      <c r="O391" s="60"/>
      <c r="P391" s="60"/>
      <c r="Q391" s="60"/>
      <c r="R391" s="60" t="s">
        <v>158</v>
      </c>
    </row>
    <row r="392" spans="1:18">
      <c r="A392" s="53"/>
      <c r="B392" s="53"/>
      <c r="C392" s="53"/>
      <c r="D392" s="53"/>
      <c r="E392" s="53"/>
      <c r="F392" s="184"/>
      <c r="H392" s="69" t="s">
        <v>42</v>
      </c>
      <c r="I392" s="4">
        <f>SUMIF($D$8:$D$353,"PA 143 of 2015",T$8:T$353)</f>
        <v>9350000</v>
      </c>
      <c r="J392" s="192">
        <f>SUMIF($D$8:$D$353,"PA 143 of 2015",K$8:K$353)</f>
        <v>9267590.0399999991</v>
      </c>
      <c r="K392" s="4">
        <f>SUMIF($D$8:$D$353,"PA 143 of 2015",M$8:M$353)</f>
        <v>82016.28</v>
      </c>
      <c r="L392" s="4">
        <f>SUMIF($D$8:$D$353,"PA 143 of 2015",O$8:O$353)</f>
        <v>0</v>
      </c>
      <c r="M392" s="4">
        <f t="shared" ref="M392:M408" si="26">+R392-J392-K392-L392-N392</f>
        <v>1.1932570487260818E-9</v>
      </c>
      <c r="N392" s="4">
        <f>SUMIF($D$8:$D$353,"PA 143 of 2015",Q$8:Q$353)</f>
        <v>0</v>
      </c>
      <c r="O392" s="4"/>
      <c r="P392" s="4"/>
      <c r="Q392" s="4"/>
      <c r="R392" s="4">
        <f>SUMIF($D$8:$D$353,"PA 143 of 2015",R$8:R$353)</f>
        <v>9349606.3200000003</v>
      </c>
    </row>
    <row r="393" spans="1:18">
      <c r="A393" s="53"/>
      <c r="B393" s="53"/>
      <c r="C393" s="53"/>
      <c r="D393" s="53"/>
      <c r="E393" s="53"/>
      <c r="F393" s="184"/>
      <c r="H393" s="69" t="s">
        <v>43</v>
      </c>
      <c r="I393" s="4">
        <f>SUMIF($D$8:$D$353,"PA 3 of 2016",T$8:T$353)</f>
        <v>27688500</v>
      </c>
      <c r="J393" s="192">
        <f>SUMIF($D$8:$D$353,"PA 3 of 2016",K$8:K$353)</f>
        <v>15588901.580000002</v>
      </c>
      <c r="K393" s="4">
        <f>SUMIF($D$8:$D$353,"PA 3 of 2016",M$8:M$353)</f>
        <v>6885060.5</v>
      </c>
      <c r="L393" s="4">
        <f>SUMIF($D$8:$D$353,"PA 3 of 2016",O$8:O$353)</f>
        <v>2471486.42</v>
      </c>
      <c r="M393" s="4">
        <f t="shared" si="26"/>
        <v>-4653.8099999956039</v>
      </c>
      <c r="N393" s="4">
        <f>SUMIF($D$8:$D$353,"PA 3 of 2016",Q$8:Q$353)</f>
        <v>4654.03</v>
      </c>
      <c r="O393" s="4"/>
      <c r="P393" s="4"/>
      <c r="Q393" s="4"/>
      <c r="R393" s="4">
        <f>SUMIF($D$8:$D$353,"PA 3 of 2016",R$8:R$353)</f>
        <v>24945448.720000006</v>
      </c>
    </row>
    <row r="394" spans="1:18">
      <c r="A394" s="53"/>
      <c r="B394" s="53"/>
      <c r="C394" s="53"/>
      <c r="D394" s="53"/>
      <c r="E394" s="53"/>
      <c r="F394" s="184"/>
      <c r="H394" s="69" t="s">
        <v>47</v>
      </c>
      <c r="I394" s="4">
        <f>SUMIF($D$8:$D$353,"PA 24 of 2016",T$8:T$353)</f>
        <v>30000000</v>
      </c>
      <c r="J394" s="192">
        <f>SUMIF($D$8:$D$353,"PA 24 of 2016",K$8:K$353)</f>
        <v>30000000</v>
      </c>
      <c r="K394" s="4">
        <f>SUMIF($D$8:$D$353,"PA 24 of 2016",M$8:M$353)</f>
        <v>0</v>
      </c>
      <c r="L394" s="4">
        <f>SUMIF($D$8:$D$353,"PA 24 of 2016",O$8:O$353)</f>
        <v>0</v>
      </c>
      <c r="M394" s="4">
        <f t="shared" si="26"/>
        <v>0</v>
      </c>
      <c r="N394" s="4">
        <f>SUMIF($D$8:$D$353,"PA 24 of 2016",Q$8:Q$353)</f>
        <v>0</v>
      </c>
      <c r="O394" s="4"/>
      <c r="P394" s="4"/>
      <c r="Q394" s="4"/>
      <c r="R394" s="4">
        <f>SUMIF($D$8:$D$353,"PA 24 of 2016",R$8:R$353)</f>
        <v>30000000</v>
      </c>
    </row>
    <row r="395" spans="1:18">
      <c r="A395" s="53"/>
      <c r="B395" s="53"/>
      <c r="C395" s="53"/>
      <c r="D395" s="53"/>
      <c r="E395" s="53"/>
      <c r="F395" s="184"/>
      <c r="H395" s="69" t="s">
        <v>362</v>
      </c>
      <c r="I395" s="4">
        <f>SUMIF($D$8:$D$353,"PA 268 of 2016",T$8:T$353)</f>
        <v>140579500</v>
      </c>
      <c r="J395" s="192">
        <f>SUMIF($D$8:$D$353,"PA 268 of 2016",K$8:K$353)</f>
        <v>10747842.42</v>
      </c>
      <c r="K395" s="4">
        <f>SUMIF($D$8:$D$353,"PA 268 of 2016",M$8:M$353)</f>
        <v>75828881.289999992</v>
      </c>
      <c r="L395" s="4">
        <f>SUMIF($D$8:$D$353,"PA 268 of 2016",O$8:O$353)</f>
        <v>19501923.199999992</v>
      </c>
      <c r="M395" s="4">
        <f t="shared" si="26"/>
        <v>875874.09999999916</v>
      </c>
      <c r="N395" s="4">
        <f>SUMIF($D$8:$D$353,"PA 268 of 2016",Q$8:Q$353)</f>
        <v>3238643.85</v>
      </c>
      <c r="O395" s="4"/>
      <c r="P395" s="4"/>
      <c r="Q395" s="4"/>
      <c r="R395" s="4">
        <f>SUMIF($D$8:$D$353,"PA 268 of 2016",R$8:R$353)</f>
        <v>110193164.85999998</v>
      </c>
    </row>
    <row r="396" spans="1:18">
      <c r="A396" s="53"/>
      <c r="B396" s="53"/>
      <c r="C396" s="53"/>
      <c r="D396" s="53"/>
      <c r="E396" s="53"/>
      <c r="F396" s="184"/>
      <c r="H396" s="69" t="s">
        <v>396</v>
      </c>
      <c r="I396" s="4">
        <f>SUMIF($D$8:$D$353,"PA 249 of 2016",T$8:T$353)</f>
        <v>21830100</v>
      </c>
      <c r="J396" s="192">
        <f>SUMIF($D$8:$D$353,"PA 249 of 2016",K$8:K$353)</f>
        <v>0</v>
      </c>
      <c r="K396" s="4">
        <f>SUMIF($D$8:$D$353,"PA 249 of 2016",M$8:M$353)</f>
        <v>19852500</v>
      </c>
      <c r="L396" s="4">
        <f>SUMIF($D$8:$D$353,"PA 249 of 2016",O$8:O$353)</f>
        <v>812500</v>
      </c>
      <c r="M396" s="4">
        <f t="shared" si="26"/>
        <v>0</v>
      </c>
      <c r="N396" s="4">
        <f>SUMIF($D$8:$D$353,"PA 249 of 2016",Q$8:Q$353)</f>
        <v>1164300</v>
      </c>
      <c r="O396" s="4"/>
      <c r="P396" s="4"/>
      <c r="Q396" s="4"/>
      <c r="R396" s="4">
        <f>SUMIF($D$8:$D$353,"PA 249 of 2016",R$8:R$353)</f>
        <v>21829300</v>
      </c>
    </row>
    <row r="397" spans="1:18">
      <c r="A397" s="53"/>
      <c r="B397" s="53"/>
      <c r="C397" s="53"/>
      <c r="D397" s="53"/>
      <c r="E397" s="53"/>
      <c r="F397" s="184"/>
      <c r="H397" s="69" t="s">
        <v>506</v>
      </c>
      <c r="I397" s="4">
        <f>SUMIF($D$8:$D$353,"PA 340 of 2016",T$8:T$353)</f>
        <v>13117000</v>
      </c>
      <c r="J397" s="192">
        <f>SUMIF($D$8:$D$353,"PA 340 of 2016",K$8:K$353)</f>
        <v>476834</v>
      </c>
      <c r="K397" s="4">
        <f>SUMIF($D$8:$D$353,"PA 340 of 2016",M$8:M$353)</f>
        <v>1673316</v>
      </c>
      <c r="L397" s="4">
        <f>SUMIF($D$8:$D$353,"PA 340 of 2016",O$8:O$353)</f>
        <v>556938</v>
      </c>
      <c r="M397" s="4">
        <f t="shared" si="26"/>
        <v>142919</v>
      </c>
      <c r="N397" s="4">
        <f>SUMIF($D$8:$D$353,"PA 340 of 2016",Q$8:Q$353)</f>
        <v>100552</v>
      </c>
      <c r="O397" s="4"/>
      <c r="P397" s="4"/>
      <c r="Q397" s="4"/>
      <c r="R397" s="4">
        <f>SUMIF($D$8:$D$353,"PA 340 of 2016",R$8:R$353)</f>
        <v>2950559</v>
      </c>
    </row>
    <row r="398" spans="1:18">
      <c r="A398" s="53"/>
      <c r="B398" s="53"/>
      <c r="C398" s="53"/>
      <c r="D398" s="53"/>
      <c r="E398" s="53"/>
      <c r="F398" s="184"/>
      <c r="H398" s="69" t="s">
        <v>647</v>
      </c>
      <c r="I398" s="4">
        <f>SUMIF($D$8:$D$353,"PA 107 of 2017",T$8:T$353)</f>
        <v>41642000</v>
      </c>
      <c r="J398" s="192">
        <f>SUMIF($D$8:$D$353,"PA 107 of 2017",K$8:K$353)</f>
        <v>0</v>
      </c>
      <c r="K398" s="4">
        <f>SUMIF($D$8:$D$353,"PA 107 of 2017",M8:M$353)</f>
        <v>7146227</v>
      </c>
      <c r="L398" s="4">
        <f>SUMIF($D$8:$D$353,"PA 107 of 2017",O$8:O$353)</f>
        <v>20416571.950000003</v>
      </c>
      <c r="M398" s="4">
        <f t="shared" si="26"/>
        <v>6027048.7099999962</v>
      </c>
      <c r="N398" s="4">
        <f>SUMIF($D$8:$D$353,"PA 107 of 2017",Q$8:Q$353)</f>
        <v>1730274.8800000001</v>
      </c>
      <c r="O398" s="4"/>
      <c r="P398" s="4"/>
      <c r="Q398" s="4"/>
      <c r="R398" s="4">
        <f>SUMIF($D$8:$D$353,"PA 107 of 2017",R8:R$353)</f>
        <v>35320122.539999999</v>
      </c>
    </row>
    <row r="399" spans="1:18">
      <c r="A399" s="53"/>
      <c r="B399" s="53"/>
      <c r="C399" s="53"/>
      <c r="D399" s="53"/>
      <c r="E399" s="53"/>
      <c r="F399" s="184"/>
      <c r="H399" s="69" t="s">
        <v>649</v>
      </c>
      <c r="I399" s="4">
        <f>SUMIF($D$8:$D$353,"PA 108 of 2017",T$8:T$353)</f>
        <v>8730100</v>
      </c>
      <c r="J399" s="192">
        <f>SUMIF($D$8:$D$353,"PA 108 of 2017",K$8:K$353)</f>
        <v>0</v>
      </c>
      <c r="K399" s="4">
        <f>SUMIF($D$8:$D$353,"PA 108 of 2017",M$8:M$353)</f>
        <v>0</v>
      </c>
      <c r="L399" s="4">
        <f>SUMIF($D$8:$D$353,"PA 108 of 2017",O$8:O$353)</f>
        <v>6032452</v>
      </c>
      <c r="M399" s="4">
        <f t="shared" si="26"/>
        <v>0</v>
      </c>
      <c r="N399" s="4">
        <f>SUMIF($D$8:$D$353,"PA 108 of 2017",Q$8:Q$353)</f>
        <v>2697548</v>
      </c>
      <c r="O399" s="4"/>
      <c r="P399" s="4"/>
      <c r="Q399" s="4"/>
      <c r="R399" s="4">
        <f>SUMIF($D$8:$D$353,"PA 108 of 2017",R$8:R$353)</f>
        <v>8730000</v>
      </c>
    </row>
    <row r="400" spans="1:18">
      <c r="A400" s="53"/>
      <c r="B400" s="53"/>
      <c r="C400" s="53"/>
      <c r="D400" s="53"/>
      <c r="E400" s="53"/>
      <c r="F400" s="184"/>
      <c r="H400" s="69" t="s">
        <v>743</v>
      </c>
      <c r="I400" s="4">
        <f>SUMIF($D$8:$D$353,"PA 207 of 2018",T$8:T$353)</f>
        <v>25221600</v>
      </c>
      <c r="J400" s="192">
        <f>SUMIF($D$8:$D$353,"PA 207 of 2018",K$8:K$353)</f>
        <v>0</v>
      </c>
      <c r="K400" s="4">
        <f>SUMIF($D$8:$D$353,"PA 207 of 2018",M$8:M$353)</f>
        <v>0</v>
      </c>
      <c r="L400" s="4">
        <f>SUMIF($D$8:$D$353,"PA 207 of 2018",O$8:O$353)</f>
        <v>816690</v>
      </c>
      <c r="M400" s="4">
        <f t="shared" si="26"/>
        <v>5449300.2199999969</v>
      </c>
      <c r="N400" s="4">
        <f>SUMIF($D$8:$D$353,"PA 207 of 2018",Q$8:Q$353)</f>
        <v>15481551.870000003</v>
      </c>
      <c r="O400" s="4"/>
      <c r="P400" s="4"/>
      <c r="Q400" s="4"/>
      <c r="R400" s="4">
        <f>SUMIF($D$8:$D$353,"PA 207 of 2018",R$8:R$353)</f>
        <v>21747542.09</v>
      </c>
    </row>
    <row r="401" spans="1:18">
      <c r="A401" s="53"/>
      <c r="B401" s="53"/>
      <c r="C401" s="53"/>
      <c r="D401" s="53"/>
      <c r="E401" s="53"/>
      <c r="F401" s="184"/>
      <c r="H401" s="69" t="s">
        <v>866</v>
      </c>
      <c r="I401" s="4">
        <f>SUMIF($D$8:$D$353,"PA 265 of 2018",T$8:T$353)</f>
        <v>7369700</v>
      </c>
      <c r="J401" s="192">
        <f>SUMIF($D$8:$D$353,"PA 265 of 2018",K$8:K$353)</f>
        <v>0</v>
      </c>
      <c r="K401" s="4">
        <f>SUMIF($D$8:$D$353,"PA 265 of 2018",M$8:M$353)</f>
        <v>0</v>
      </c>
      <c r="L401" s="4">
        <f>SUMIF($D$8:$D$353,"PA 265 of 2018",O$8:O$353)</f>
        <v>0</v>
      </c>
      <c r="M401" s="4">
        <f t="shared" si="26"/>
        <v>0</v>
      </c>
      <c r="N401" s="4">
        <f>SUMIF($D$8:$D$353,"PA 265 of 2018",Q$8:Q$353)</f>
        <v>6450299</v>
      </c>
      <c r="O401" s="4"/>
      <c r="P401" s="4"/>
      <c r="Q401" s="4"/>
      <c r="R401" s="4">
        <f>SUMIF($D$8:$D$353,"PA 265 of 2018",R$8:R$353)</f>
        <v>6450299</v>
      </c>
    </row>
    <row r="402" spans="1:18">
      <c r="A402" s="53"/>
      <c r="B402" s="53"/>
      <c r="C402" s="53"/>
      <c r="D402" s="53"/>
      <c r="E402" s="53"/>
      <c r="F402" s="184"/>
      <c r="H402" s="69" t="s">
        <v>353</v>
      </c>
      <c r="I402" s="4">
        <f>SUMIF($D$8:$D$353,"DECF",T$8:T$353)</f>
        <v>0</v>
      </c>
      <c r="J402" s="192">
        <f>SUMIF($D$8:$D$353,"DECF",K$8:K$353)</f>
        <v>1906631.3599999992</v>
      </c>
      <c r="K402" s="4">
        <f>SUMIF($D$8:$D$353,"DECF",M$8:M$353)</f>
        <v>1065269.8699999999</v>
      </c>
      <c r="L402" s="4">
        <f>SUMIF($D$8:$D$353,"DECF",O$8:O$353)</f>
        <v>21789.49</v>
      </c>
      <c r="M402" s="4">
        <f t="shared" si="26"/>
        <v>-1.7462298274040222E-10</v>
      </c>
      <c r="N402" s="4">
        <f>SUMIF($D$8:$D$353,"DECF",Q$8:Q$353)</f>
        <v>65005.33</v>
      </c>
      <c r="O402" s="4"/>
      <c r="P402" s="4"/>
      <c r="Q402" s="4"/>
      <c r="R402" s="4">
        <f>SUMIF($D$8:$D$353,"DECF",R$8:R$353)</f>
        <v>3058696.0499999989</v>
      </c>
    </row>
    <row r="403" spans="1:18">
      <c r="A403" s="53"/>
      <c r="B403" s="53"/>
      <c r="C403" s="53"/>
      <c r="D403" s="53"/>
      <c r="E403" s="53"/>
      <c r="F403" s="184"/>
      <c r="H403" s="69" t="s">
        <v>587</v>
      </c>
      <c r="I403" s="4">
        <f>SUMIF($D$8:$D$353,"AY16 work project",T$8:T$353)</f>
        <v>0</v>
      </c>
      <c r="J403" s="192">
        <f>SUMIF($D$8:$D$353,"AY16 work project",K$8:K$353)</f>
        <v>0</v>
      </c>
      <c r="K403" s="4">
        <f>SUMIF($D$8:$D$353,"AY16 work project",M$8:M$353)</f>
        <v>284199.82999999996</v>
      </c>
      <c r="L403" s="4">
        <f>SUMIF($D$8:$D$353,"AY16 work project",O$8:O$353)</f>
        <v>8315</v>
      </c>
      <c r="M403" s="4">
        <f t="shared" si="26"/>
        <v>24899.999999999971</v>
      </c>
      <c r="N403" s="4">
        <f>SUMIF($D$8:$D$353,"AY16 work project",Q$8:Q$353)</f>
        <v>187716.34</v>
      </c>
      <c r="O403" s="4"/>
      <c r="P403" s="4"/>
      <c r="Q403" s="4"/>
      <c r="R403" s="4">
        <f>SUMIF($D$8:$D$353,"AY16 work project",R$8:R$353)</f>
        <v>505131.16999999993</v>
      </c>
    </row>
    <row r="404" spans="1:18">
      <c r="A404" s="53"/>
      <c r="B404" s="53"/>
      <c r="C404" s="53"/>
      <c r="D404" s="53"/>
      <c r="E404" s="53"/>
      <c r="F404" s="184"/>
      <c r="H404" s="69" t="s">
        <v>167</v>
      </c>
      <c r="I404" s="4">
        <f>SUMIF($D$8:$D$353,"AY15 work project",T$8:T$353)</f>
        <v>0</v>
      </c>
      <c r="J404" s="192">
        <f>SUMIF($D$8:$D$353,"AY15 work project",K$8:K$353)</f>
        <v>1137055</v>
      </c>
      <c r="K404" s="4">
        <f>SUMIF($D$8:$D$353,"AY15 work project",M$8:M$353)</f>
        <v>0</v>
      </c>
      <c r="L404" s="4">
        <f>SUMIF($D$8:$D$353,"AY15 work project",O$8:O$353)</f>
        <v>0</v>
      </c>
      <c r="M404" s="4">
        <f t="shared" si="26"/>
        <v>0</v>
      </c>
      <c r="N404" s="4">
        <f>SUMIF($D$8:$D$353,"AY15 work project",Q$8:Q$353)</f>
        <v>0</v>
      </c>
      <c r="O404" s="4"/>
      <c r="P404" s="4"/>
      <c r="Q404" s="4"/>
      <c r="R404" s="4">
        <f>SUMIF($D$8:$D$353,"AY15 work project",R$8:R$353)</f>
        <v>1137055</v>
      </c>
    </row>
    <row r="405" spans="1:18">
      <c r="A405" s="53"/>
      <c r="B405" s="53"/>
      <c r="C405" s="53"/>
      <c r="D405" s="53"/>
      <c r="E405" s="53"/>
      <c r="F405" s="184"/>
      <c r="H405" s="69" t="s">
        <v>358</v>
      </c>
      <c r="I405" s="4">
        <f>SUMIF($D$8:$D$353,"AY13 work project",T$8:T$353)</f>
        <v>0</v>
      </c>
      <c r="J405" s="192">
        <f>SUMIF($D$8:$D$353,"AY13 work project",K$8:K$353)</f>
        <v>229571</v>
      </c>
      <c r="K405" s="4">
        <f>SUMIF($D$8:$D$353,"AY13 work project",M$8:M$353)</f>
        <v>138903.19</v>
      </c>
      <c r="L405" s="4">
        <f>SUMIF($D$8:$D$353,"AY13 work project",O$8:O$353)</f>
        <v>0</v>
      </c>
      <c r="M405" s="4">
        <f t="shared" si="26"/>
        <v>25130.000000000058</v>
      </c>
      <c r="N405" s="4">
        <f>SUMIF($D$8:$D$353,"AY13 work project",Q$8:Q$353)</f>
        <v>0</v>
      </c>
      <c r="O405" s="4"/>
      <c r="P405" s="4"/>
      <c r="Q405" s="4"/>
      <c r="R405" s="4">
        <f>SUMIF($D$8:$D$353,"AY13 work project",R$8:R$353)</f>
        <v>393604.19000000006</v>
      </c>
    </row>
    <row r="406" spans="1:18">
      <c r="A406" s="53"/>
      <c r="B406" s="53"/>
      <c r="C406" s="53"/>
      <c r="D406" s="53"/>
      <c r="E406" s="53"/>
      <c r="F406" s="184"/>
      <c r="H406" s="69" t="s">
        <v>706</v>
      </c>
      <c r="I406" s="4">
        <f>SUMIF($D$8:$D$353,"AY17 work project",T$8:T$353)</f>
        <v>0</v>
      </c>
      <c r="J406" s="192">
        <f>SUMIF($D$8:$D$353,"AY17 work project",K$8:K$353)</f>
        <v>0</v>
      </c>
      <c r="K406" s="4">
        <f>SUMIF($D$8:$D$353,"AY17 work project",M$8:M$353)</f>
        <v>233464.16</v>
      </c>
      <c r="L406" s="4">
        <f>SUMIF($D$8:$D$353,"AY17 work project",O$8:O$353)</f>
        <v>385020.28</v>
      </c>
      <c r="M406" s="4">
        <f t="shared" si="26"/>
        <v>0</v>
      </c>
      <c r="N406" s="4">
        <f>SUMIF($D$8:$D$353,"AY17 work project",Q$8:Q$353)</f>
        <v>288329.59000000003</v>
      </c>
      <c r="O406" s="4"/>
      <c r="P406" s="4"/>
      <c r="Q406" s="4"/>
      <c r="R406" s="4">
        <f>SUMIF($D$8:$D$353,"AY17 work project",R$8:R$353)</f>
        <v>906814.03000000014</v>
      </c>
    </row>
    <row r="407" spans="1:18">
      <c r="A407" s="53"/>
      <c r="B407" s="53"/>
      <c r="C407" s="53"/>
      <c r="D407" s="53"/>
      <c r="E407" s="53"/>
      <c r="F407" s="184"/>
      <c r="H407" s="69" t="s">
        <v>19</v>
      </c>
      <c r="I407" s="4">
        <f>SUMIF($D$8:$D$353,"Current Approps",T$8:T$353)</f>
        <v>4470600</v>
      </c>
      <c r="J407" s="195">
        <f>SUMIF($D$8:$D$353,"Current Approps",K$8:K$353)</f>
        <v>29952590.649437502</v>
      </c>
      <c r="K407" s="165">
        <f>SUMIF($D$8:$D$353,"Current Approps",M$8:M$353)</f>
        <v>23787775.93</v>
      </c>
      <c r="L407" s="165">
        <f>SUMIF($D$8:$D$353,"Current Approps",O$8:O$353)</f>
        <v>14819138.699999999</v>
      </c>
      <c r="M407" s="4">
        <f t="shared" si="26"/>
        <v>10429651.200000003</v>
      </c>
      <c r="N407" s="165">
        <f>SUMIF($D$8:$D$353,"Current Approps",Q$8:Q$353)</f>
        <v>24185485.689999998</v>
      </c>
      <c r="O407" s="4"/>
      <c r="P407" s="4"/>
      <c r="Q407" s="4"/>
      <c r="R407" s="4">
        <f>SUMIF($D$8:$D$353,"Current Approps",R$8:R$353)</f>
        <v>103174642.1694375</v>
      </c>
    </row>
    <row r="408" spans="1:18">
      <c r="A408" s="53"/>
      <c r="B408" s="53"/>
      <c r="C408" s="53"/>
      <c r="D408" s="53"/>
      <c r="E408" s="53"/>
      <c r="F408" s="184"/>
      <c r="H408" s="69" t="s">
        <v>174</v>
      </c>
      <c r="I408" s="4">
        <f>SUMIF($D$8:$D$353,"Component Unit",T$8:T$353)</f>
        <v>0</v>
      </c>
      <c r="J408" s="192">
        <f>SUMIF($D$8:$D$353,"Component Unit",K$8:K$353)</f>
        <v>1680012</v>
      </c>
      <c r="K408" s="4">
        <f>SUMIF($D$8:$D$353,"Component Unit",M$8:M$353)</f>
        <v>4098029.79</v>
      </c>
      <c r="L408" s="4">
        <f>SUMIF($D$8:$D$353,"Component Unit",O$8:O$353)</f>
        <v>2994</v>
      </c>
      <c r="M408" s="4">
        <f t="shared" si="26"/>
        <v>3199999.9999999991</v>
      </c>
      <c r="N408" s="4">
        <f>SUMIF($D$8:$D$353,"Component Unit",Q$8:Q$353)</f>
        <v>0</v>
      </c>
      <c r="O408" s="4"/>
      <c r="P408" s="4"/>
      <c r="Q408" s="4"/>
      <c r="R408" s="4">
        <f>SUMIF($D$10:$D$353,"Component Unit",R$10:R$353)</f>
        <v>8981035.7899999991</v>
      </c>
    </row>
    <row r="409" spans="1:18">
      <c r="A409" s="53"/>
      <c r="B409" s="53"/>
      <c r="C409" s="53"/>
      <c r="D409" s="53"/>
      <c r="E409" s="53"/>
      <c r="F409" s="184"/>
      <c r="H409" s="70" t="s">
        <v>158</v>
      </c>
      <c r="I409" s="5">
        <f t="shared" ref="I409:N409" si="27">SUM(I392:I408)</f>
        <v>329999100</v>
      </c>
      <c r="J409" s="5">
        <f t="shared" si="27"/>
        <v>100987028.04943751</v>
      </c>
      <c r="K409" s="5">
        <f t="shared" si="27"/>
        <v>141075643.83999997</v>
      </c>
      <c r="L409" s="5">
        <f t="shared" si="27"/>
        <v>65845819.039999992</v>
      </c>
      <c r="M409" s="5">
        <f t="shared" si="27"/>
        <v>26170169.420000002</v>
      </c>
      <c r="N409" s="5">
        <f t="shared" si="27"/>
        <v>55594360.579999998</v>
      </c>
      <c r="O409" s="5"/>
      <c r="P409" s="5"/>
      <c r="Q409" s="5"/>
      <c r="R409" s="5">
        <f>SUM(R392:R408)</f>
        <v>389673020.92943746</v>
      </c>
    </row>
    <row r="410" spans="1:18">
      <c r="A410" s="53"/>
      <c r="B410" s="53"/>
      <c r="C410" s="53"/>
      <c r="D410" s="53"/>
      <c r="E410" s="53"/>
      <c r="F410" s="184"/>
      <c r="H410" s="10"/>
      <c r="I410" s="10" t="str">
        <f>IF(I409=I389,"","oops")</f>
        <v/>
      </c>
      <c r="J410" s="30" t="str">
        <f>IF(ROUND(J409,2)=ROUND(J389,2),"","oops")</f>
        <v/>
      </c>
      <c r="K410" s="10" t="str">
        <f>IF(K409=K389,"","oops")</f>
        <v/>
      </c>
      <c r="L410" s="10" t="str">
        <f>IF(L409=L389,"","oops")</f>
        <v/>
      </c>
      <c r="M410" s="10" t="str">
        <f t="shared" ref="M410:N410" si="28">IF(M409=M389,"","oops")</f>
        <v/>
      </c>
      <c r="N410" s="10" t="str">
        <f t="shared" si="28"/>
        <v/>
      </c>
      <c r="O410" s="10"/>
      <c r="P410" s="10"/>
      <c r="Q410" s="10"/>
      <c r="R410" s="10" t="str">
        <f>IF(ROUND(R409,0)=ROUND(R389,0),"","oops")</f>
        <v/>
      </c>
    </row>
    <row r="411" spans="1:18">
      <c r="A411" s="53"/>
      <c r="B411" s="53"/>
      <c r="C411" s="53"/>
      <c r="D411" s="53"/>
      <c r="E411" s="53"/>
      <c r="F411" s="184"/>
      <c r="H411" s="53"/>
      <c r="I411" s="52"/>
      <c r="J411" s="55"/>
      <c r="M411" s="10"/>
      <c r="N411" s="10"/>
      <c r="O411" s="10"/>
      <c r="P411" s="10"/>
      <c r="Q411" s="10"/>
      <c r="R411" s="73"/>
    </row>
    <row r="412" spans="1:18">
      <c r="A412" s="53"/>
      <c r="B412" s="53"/>
      <c r="C412" s="53"/>
      <c r="D412" s="53"/>
      <c r="E412" s="53"/>
      <c r="F412" s="184"/>
      <c r="H412" s="53"/>
      <c r="I412" s="53"/>
      <c r="J412" s="55"/>
      <c r="L412" s="53"/>
      <c r="M412" s="53"/>
      <c r="N412" s="53"/>
      <c r="O412" s="53"/>
      <c r="P412" s="53"/>
      <c r="Q412" s="53"/>
      <c r="R412" s="53"/>
    </row>
    <row r="413" spans="1:18">
      <c r="A413" s="53"/>
      <c r="B413" s="53"/>
      <c r="C413" s="53"/>
      <c r="D413" s="53"/>
      <c r="E413" s="53"/>
      <c r="F413" s="184"/>
      <c r="H413" s="53"/>
      <c r="I413" s="52">
        <f t="shared" ref="I413:R413" si="29">+I409-I389</f>
        <v>0</v>
      </c>
      <c r="J413" s="52">
        <f t="shared" si="29"/>
        <v>0</v>
      </c>
      <c r="K413" s="52">
        <f t="shared" si="29"/>
        <v>0</v>
      </c>
      <c r="L413" s="52">
        <f t="shared" si="29"/>
        <v>0</v>
      </c>
      <c r="M413" s="52">
        <f t="shared" si="29"/>
        <v>0</v>
      </c>
      <c r="N413" s="52">
        <f t="shared" si="29"/>
        <v>0</v>
      </c>
      <c r="O413" s="52"/>
      <c r="P413" s="52"/>
      <c r="Q413" s="52"/>
      <c r="R413" s="52">
        <f t="shared" si="29"/>
        <v>0</v>
      </c>
    </row>
    <row r="414" spans="1:18">
      <c r="A414" s="53"/>
      <c r="B414" s="53"/>
      <c r="C414" s="53"/>
      <c r="D414" s="53"/>
      <c r="E414" s="53"/>
      <c r="F414" s="184"/>
      <c r="H414" s="53"/>
      <c r="I414" s="53"/>
      <c r="J414" s="55"/>
      <c r="L414" s="53"/>
      <c r="M414" s="53"/>
      <c r="N414" s="53"/>
      <c r="O414" s="53"/>
      <c r="P414" s="53"/>
      <c r="Q414" s="53"/>
      <c r="R414" s="53"/>
    </row>
    <row r="415" spans="1:18">
      <c r="A415" s="53"/>
      <c r="B415" s="53"/>
      <c r="C415" s="53"/>
      <c r="D415" s="53"/>
      <c r="E415" s="53"/>
      <c r="F415" s="184"/>
      <c r="H415" s="53"/>
      <c r="I415" s="53"/>
      <c r="J415" s="55"/>
      <c r="K415" s="53"/>
      <c r="L415" s="53"/>
      <c r="M415" s="53"/>
      <c r="N415" s="53"/>
      <c r="O415" s="53"/>
      <c r="P415" s="53"/>
      <c r="Q415" s="53"/>
      <c r="R415" s="53"/>
    </row>
  </sheetData>
  <sortState xmlns:xlrd2="http://schemas.microsoft.com/office/spreadsheetml/2017/richdata2" ref="A351:Y351">
    <sortCondition ref="B351"/>
  </sortState>
  <mergeCells count="8">
    <mergeCell ref="J6:K6"/>
    <mergeCell ref="S6:T6"/>
    <mergeCell ref="U6:Y6"/>
    <mergeCell ref="B6:F6"/>
    <mergeCell ref="H6:I6"/>
    <mergeCell ref="L6:M6"/>
    <mergeCell ref="N6:O6"/>
    <mergeCell ref="P6:Q6"/>
  </mergeCells>
  <printOptions horizontalCentered="1"/>
  <pageMargins left="0" right="0" top="0.75" bottom="0.75" header="0.3" footer="0.3"/>
  <pageSetup paperSize="5" scale="50" fitToHeight="0" orientation="landscape" r:id="rId1"/>
  <headerFooter>
    <oddFooter>&amp;L&amp;8&amp;D  &amp;T&amp;C&amp;8&amp;P  of  &amp;N</oddFooter>
  </headerFooter>
  <rowBreaks count="1" manualBreakCount="1">
    <brk id="390" max="16383" man="1"/>
  </rowBreaks>
  <drawing r:id="rId2"/>
  <legacyDrawing r:id="rId3"/>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00000000-0002-0000-0400-000000000000}">
          <x14:formula1>
            <xm:f>'S:\Library\Flint Tracking\April 29, 2016 Reports\[SBO Flint Tracking Doc 042816_DMVA.xlsx]drop down boxes'!#REF!</xm:f>
          </x14:formula1>
          <xm:sqref>D215:E215</xm:sqref>
        </x14:dataValidation>
        <x14:dataValidation type="list" allowBlank="1" showInputMessage="1" showErrorMessage="1" xr:uid="{B14648A9-E395-4561-8126-7035C24F5473}">
          <x14:formula1>
            <xm:f>'C:\Library\Flint Tracking\Nov 28, 2016 Reports\Reports\[SBO Flint Tracking Doc 112816_DMVA.xlsx]drop down boxes'!#REF!</xm:f>
          </x14:formula1>
          <xm:sqref>E214</xm:sqref>
        </x14:dataValidation>
        <x14:dataValidation type="list" allowBlank="1" showInputMessage="1" showErrorMessage="1" xr:uid="{C0AA154F-36FC-4287-93AF-1D791E4EBA2B}">
          <x14:formula1>
            <xm:f>'C:\Library\Flint Tracking\Dec 31, 2016 reports\reports\[SBO Flint Tracking Doc 123116_DMVA.xlsx]drop down boxes'!#REF!</xm:f>
          </x14:formula1>
          <xm:sqref>D210:E213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U66"/>
  <sheetViews>
    <sheetView workbookViewId="0">
      <pane ySplit="5" topLeftCell="A36" activePane="bottomLeft" state="frozen"/>
      <selection pane="bottomLeft"/>
    </sheetView>
  </sheetViews>
  <sheetFormatPr defaultColWidth="9.140625" defaultRowHeight="15"/>
  <cols>
    <col min="1" max="1" width="4.140625" style="10" customWidth="1"/>
    <col min="2" max="2" width="9" style="10" customWidth="1"/>
    <col min="3" max="3" width="7" style="10" customWidth="1"/>
    <col min="4" max="4" width="11.5703125" style="10" customWidth="1"/>
    <col min="5" max="5" width="10.7109375" style="10" customWidth="1"/>
    <col min="6" max="6" width="9.28515625" style="185" customWidth="1"/>
    <col min="7" max="7" width="17.42578125" style="30" customWidth="1"/>
    <col min="8" max="8" width="12.42578125" style="30" bestFit="1" customWidth="1"/>
    <col min="9" max="9" width="12.5703125" style="191" customWidth="1"/>
    <col min="10" max="12" width="14.28515625" style="31" customWidth="1"/>
    <col min="13" max="13" width="11.7109375" style="31" bestFit="1" customWidth="1"/>
    <col min="14" max="14" width="15.5703125" style="31" bestFit="1" customWidth="1"/>
    <col min="15" max="15" width="12.85546875" style="31" customWidth="1"/>
    <col min="16" max="16" width="14.140625" style="31" customWidth="1"/>
    <col min="17" max="17" width="12.5703125" style="31" customWidth="1"/>
    <col min="18" max="18" width="16.42578125" style="31" customWidth="1"/>
    <col min="19" max="19" width="15.28515625" style="31" customWidth="1"/>
    <col min="20" max="20" width="21.7109375" style="31" customWidth="1"/>
    <col min="21" max="21" width="21.28515625" style="31" customWidth="1"/>
    <col min="22" max="16384" width="9.140625" style="51"/>
  </cols>
  <sheetData>
    <row r="1" spans="1:14">
      <c r="B1" s="27" t="s">
        <v>10</v>
      </c>
      <c r="C1" s="27"/>
      <c r="E1" s="28" t="s">
        <v>61</v>
      </c>
      <c r="F1" s="180"/>
    </row>
    <row r="2" spans="1:14">
      <c r="B2" s="27" t="s">
        <v>62</v>
      </c>
      <c r="C2" s="27"/>
      <c r="E2" s="35">
        <f>+'Flint Water Exp &amp; Act Track'!E2</f>
        <v>43665</v>
      </c>
      <c r="F2" s="35"/>
    </row>
    <row r="3" spans="1:14">
      <c r="B3" s="27" t="s">
        <v>63</v>
      </c>
      <c r="C3" s="27"/>
      <c r="E3" s="35">
        <f>+'Flint Water Exp &amp; Act Track'!E3</f>
        <v>43677</v>
      </c>
      <c r="F3" s="35"/>
    </row>
    <row r="4" spans="1:14" ht="15.75" customHeight="1">
      <c r="B4" s="27" t="s">
        <v>9</v>
      </c>
      <c r="C4" s="27"/>
      <c r="E4" s="35" t="str">
        <f>+'Flint Water Exp &amp; Act Track'!E4</f>
        <v>Cumulative through June 30, 2019</v>
      </c>
      <c r="F4" s="181"/>
    </row>
    <row r="5" spans="1:14" ht="14.25" customHeight="1">
      <c r="A5" s="197"/>
      <c r="B5" s="197"/>
      <c r="C5" s="197"/>
      <c r="D5" s="198"/>
      <c r="E5" s="198"/>
      <c r="F5" s="198"/>
      <c r="G5" s="191"/>
    </row>
    <row r="6" spans="1:14" s="31" customFormat="1">
      <c r="A6" s="53"/>
      <c r="B6" s="53"/>
      <c r="C6" s="53"/>
      <c r="D6" s="53"/>
      <c r="E6" s="53"/>
      <c r="F6" s="184"/>
      <c r="G6" s="55"/>
      <c r="H6" s="55"/>
      <c r="I6" s="191"/>
      <c r="J6" s="57"/>
      <c r="K6" s="57"/>
      <c r="L6" s="57"/>
      <c r="M6" s="57"/>
    </row>
    <row r="7" spans="1:14" s="31" customFormat="1">
      <c r="A7" s="53"/>
      <c r="B7" s="53"/>
      <c r="C7" s="53"/>
      <c r="D7" s="53"/>
      <c r="E7" s="53"/>
      <c r="F7" s="184"/>
      <c r="G7" s="55"/>
      <c r="H7" s="55"/>
      <c r="I7" s="191"/>
    </row>
    <row r="8" spans="1:14" s="31" customFormat="1" ht="39">
      <c r="A8" s="53"/>
      <c r="C8" s="33"/>
      <c r="E8" s="53"/>
      <c r="F8" s="184"/>
      <c r="G8" s="58" t="s">
        <v>155</v>
      </c>
      <c r="H8" s="60" t="s">
        <v>156</v>
      </c>
      <c r="I8" s="60" t="s">
        <v>676</v>
      </c>
      <c r="J8" s="60" t="s">
        <v>675</v>
      </c>
      <c r="K8" s="60" t="s">
        <v>677</v>
      </c>
      <c r="L8" s="60" t="s">
        <v>871</v>
      </c>
      <c r="M8" s="60" t="s">
        <v>157</v>
      </c>
      <c r="N8" s="60" t="s">
        <v>215</v>
      </c>
    </row>
    <row r="9" spans="1:14" s="31" customFormat="1" ht="15.75">
      <c r="A9" s="53"/>
      <c r="B9" s="32" t="s">
        <v>56</v>
      </c>
      <c r="C9" s="36"/>
      <c r="E9" s="53"/>
      <c r="F9" s="184"/>
      <c r="G9" s="61" t="s">
        <v>15</v>
      </c>
      <c r="H9" s="4">
        <f>SUMIF('Flint Water Exp &amp; Act Track'!$B$8:$B$353,"MDARD",'Flint Water Exp &amp; Act Track'!$T$8:$T$353)</f>
        <v>100</v>
      </c>
      <c r="I9" s="4">
        <f>SUMIF('Flint Water Exp &amp; Act Track'!$B$8:$B$353,"MDARD",'Flint Water Exp &amp; Act Track'!$K$8:$K$353)</f>
        <v>450834</v>
      </c>
      <c r="J9" s="4">
        <f>SUMIF('Flint Water Exp &amp; Act Track'!$B$8:$B$353,"MDARD",'Flint Water Exp &amp; Act Track'!$M$8:$M$353)</f>
        <v>14082.79</v>
      </c>
      <c r="K9" s="4">
        <f>SUMIF('Flint Water Exp &amp; Act Track'!$B$8:$B$353,"MDARD",'Flint Water Exp &amp; Act Track'!$O$8:$O$353)</f>
        <v>0</v>
      </c>
      <c r="L9" s="4">
        <f>SUMIF('Flint Water Exp &amp; Act Track'!$B$8:$B$353,"MDARD",'Flint Water Exp &amp; Act Track'!$Q$8:$Q$353)</f>
        <v>0</v>
      </c>
      <c r="M9" s="4">
        <f>+N9-J9-I9-K9-L9</f>
        <v>0</v>
      </c>
      <c r="N9" s="4">
        <f>SUMIF('Flint Water Exp &amp; Act Track'!$B$8:$B$353,"MDARD",'Flint Water Exp &amp; Act Track'!$R$8:$R$353)</f>
        <v>464916.79</v>
      </c>
    </row>
    <row r="10" spans="1:14" s="31" customFormat="1" ht="15.75">
      <c r="A10" s="53"/>
      <c r="B10" s="38" t="s">
        <v>57</v>
      </c>
      <c r="C10" s="36"/>
      <c r="D10" s="37"/>
      <c r="E10" s="53"/>
      <c r="F10" s="184"/>
      <c r="G10" s="61" t="s">
        <v>301</v>
      </c>
      <c r="H10" s="4">
        <f>SUMIF('Flint Water Exp &amp; Act Track'!$B$8:$B$353,"ag",'Flint Water Exp &amp; Act Track'!$T$8:$T$353)</f>
        <v>9100000</v>
      </c>
      <c r="I10" s="4">
        <f>SUMIF('Flint Water Exp &amp; Act Track'!$B$8:$B$353,"ag",'Flint Water Exp &amp; Act Track'!$K$8:$K$353)</f>
        <v>2746861.23</v>
      </c>
      <c r="J10" s="4">
        <f>SUMIF('Flint Water Exp &amp; Act Track'!$B$8:$B$353,"ag",'Flint Water Exp &amp; Act Track'!$M$8:$M$353)</f>
        <v>3436582.76</v>
      </c>
      <c r="K10" s="4">
        <f>SUMIF('Flint Water Exp &amp; Act Track'!$B$8:$B$353,"ag",'Flint Water Exp &amp; Act Track'!$O$8:$O$353)</f>
        <v>3373807.8000000007</v>
      </c>
      <c r="L10" s="4">
        <f>SUMIF('Flint Water Exp &amp; Act Track'!$B$8:$B$353,"ag",'Flint Water Exp &amp; Act Track'!$Q$8:$Q$353)</f>
        <v>1479057.2300000002</v>
      </c>
      <c r="M10" s="4">
        <f t="shared" ref="M10:M30" si="0">+N10-J10-I10-K10-L10</f>
        <v>0</v>
      </c>
      <c r="N10" s="4">
        <f>SUMIF('Flint Water Exp &amp; Act Track'!$B$8:$B$353,"ag",'Flint Water Exp &amp; Act Track'!$R$8:$R$353)</f>
        <v>11036309.020000001</v>
      </c>
    </row>
    <row r="11" spans="1:14" s="31" customFormat="1" ht="15.75">
      <c r="A11" s="53"/>
      <c r="B11" s="32" t="s">
        <v>58</v>
      </c>
      <c r="C11" s="53"/>
      <c r="D11" s="53"/>
      <c r="E11" s="53"/>
      <c r="F11" s="184"/>
      <c r="G11" s="61" t="s">
        <v>159</v>
      </c>
      <c r="H11" s="4">
        <f>SUMIF('Flint Water Exp &amp; Act Track'!$B$8:$B$353,"MDCR",'Flint Water Exp &amp; Act Track'!$T$8:$T$353)</f>
        <v>0</v>
      </c>
      <c r="I11" s="4">
        <f>SUMIF('Flint Water Exp &amp; Act Track'!$B$8:$B$353,"MDCR",'Flint Water Exp &amp; Act Track'!$K$8:$K$353)</f>
        <v>41517</v>
      </c>
      <c r="J11" s="4">
        <f>SUMIF('Flint Water Exp &amp; Act Track'!$B$8:$B$353,"MDCR",'Flint Water Exp &amp; Act Track'!$M$8:$M$353)</f>
        <v>6590</v>
      </c>
      <c r="K11" s="4">
        <f>SUMIF('Flint Water Exp &amp; Act Track'!$B$8:$B$353,"MDCR",'Flint Water Exp &amp; Act Track'!$O$8:$O$353)</f>
        <v>0</v>
      </c>
      <c r="L11" s="4">
        <f>SUMIF('Flint Water Exp &amp; Act Track'!$B$8:$B$353,"MDCR",'Flint Water Exp &amp; Act Track'!$Q$8:$Q$353)</f>
        <v>0</v>
      </c>
      <c r="M11" s="4">
        <f t="shared" si="0"/>
        <v>0</v>
      </c>
      <c r="N11" s="4">
        <f>SUMIF('Flint Water Exp &amp; Act Track'!$B$8:$B$353,"MDCR",'Flint Water Exp &amp; Act Track'!$R$8:$R$353)</f>
        <v>48107</v>
      </c>
    </row>
    <row r="12" spans="1:14" s="31" customFormat="1" ht="15.75">
      <c r="A12" s="53"/>
      <c r="B12" s="32" t="s">
        <v>55</v>
      </c>
      <c r="C12" s="53"/>
      <c r="D12" s="53"/>
      <c r="E12" s="53"/>
      <c r="F12" s="184"/>
      <c r="G12" s="61" t="s">
        <v>160</v>
      </c>
      <c r="H12" s="4">
        <f>SUMIF('Flint Water Exp &amp; Act Track'!$B$8:$B$353,"DOC",'Flint Water Exp &amp; Act Track'!$T$8:$T$353)</f>
        <v>0</v>
      </c>
      <c r="I12" s="4">
        <f>SUMIF('Flint Water Exp &amp; Act Track'!$B$8:$B$353,"DOC",'Flint Water Exp &amp; Act Track'!$K$8:$K$353)</f>
        <v>831289.27</v>
      </c>
      <c r="J12" s="4">
        <f>SUMIF('Flint Water Exp &amp; Act Track'!$B$8:$B$353,"DOC",'Flint Water Exp &amp; Act Track'!$M$8:$M$353)</f>
        <v>145242</v>
      </c>
      <c r="K12" s="4">
        <f>SUMIF('Flint Water Exp &amp; Act Track'!$B$8:$B$353,"DOC",'Flint Water Exp &amp; Act Track'!$O$8:$O$353)</f>
        <v>0</v>
      </c>
      <c r="L12" s="4">
        <f>SUMIF('Flint Water Exp &amp; Act Track'!$B$8:$B$353,"DOC",'Flint Water Exp &amp; Act Track'!$Q$8:$Q$353)</f>
        <v>0</v>
      </c>
      <c r="M12" s="4">
        <f t="shared" si="0"/>
        <v>0</v>
      </c>
      <c r="N12" s="4">
        <f>SUMIF('Flint Water Exp &amp; Act Track'!$B$8:$B$353,"DOC",'Flint Water Exp &amp; Act Track'!$R$8:$R$353)</f>
        <v>976531.27</v>
      </c>
    </row>
    <row r="13" spans="1:14" s="31" customFormat="1" ht="15.75">
      <c r="A13" s="53"/>
      <c r="B13" s="32" t="s">
        <v>170</v>
      </c>
      <c r="C13" s="53"/>
      <c r="D13" s="53"/>
      <c r="E13" s="53"/>
      <c r="F13" s="184"/>
      <c r="G13" s="61" t="s">
        <v>161</v>
      </c>
      <c r="H13" s="4">
        <f>SUMIF('Flint Water Exp &amp; Act Track'!$B$8:$B$353,"MDE",'Flint Water Exp &amp; Act Track'!$T$8:$T$353)</f>
        <v>36335300</v>
      </c>
      <c r="I13" s="4">
        <f>SUMIF('Flint Water Exp &amp; Act Track'!$B$8:$B$353,"MDE",'Flint Water Exp &amp; Act Track'!$K$8:$K$353)</f>
        <v>1985278.17</v>
      </c>
      <c r="J13" s="4">
        <f>SUMIF('Flint Water Exp &amp; Act Track'!$B$8:$B$353,"MDE",'Flint Water Exp &amp; Act Track'!$M$8:$M$353)</f>
        <v>6222369.2300000004</v>
      </c>
      <c r="K13" s="4">
        <f>SUMIF('Flint Water Exp &amp; Act Track'!$B$8:$B$353,"MDE",'Flint Water Exp &amp; Act Track'!$O$8:$O$353)</f>
        <v>10383473</v>
      </c>
      <c r="L13" s="4">
        <f>SUMIF('Flint Water Exp &amp; Act Track'!$B$8:$B$353,"MDE",'Flint Water Exp &amp; Act Track'!$Q$8:$Q$353)</f>
        <v>2452905.5</v>
      </c>
      <c r="M13" s="4">
        <f t="shared" si="0"/>
        <v>0.21999999694526196</v>
      </c>
      <c r="N13" s="4">
        <f>SUMIF('Flint Water Exp &amp; Act Track'!$B$8:$B$353,"MDE",'Flint Water Exp &amp; Act Track'!$R$8:$R$353)</f>
        <v>21044026.119999997</v>
      </c>
    </row>
    <row r="14" spans="1:14" s="31" customFormat="1">
      <c r="A14" s="53"/>
      <c r="B14" s="53"/>
      <c r="C14" s="53"/>
      <c r="D14" s="53"/>
      <c r="E14" s="53"/>
      <c r="F14" s="184"/>
      <c r="G14" s="61" t="s">
        <v>29</v>
      </c>
      <c r="H14" s="4">
        <f>SUMIF('Flint Water Exp &amp; Act Track'!$B$8:$B$353,"DEQ",'Flint Water Exp &amp; Act Track'!$T$8:$T$353)</f>
        <v>79953800</v>
      </c>
      <c r="I14" s="4">
        <f>SUMIF('Flint Water Exp &amp; Act Track'!$B$8:$B$353,"DEQ",'Flint Water Exp &amp; Act Track'!$K$8:$K$353)</f>
        <v>18044316.59</v>
      </c>
      <c r="J14" s="4">
        <f>SUMIF('Flint Water Exp &amp; Act Track'!$B$8:$B$353,"DEQ",'Flint Water Exp &amp; Act Track'!$M$8:$M$353)</f>
        <v>37359133</v>
      </c>
      <c r="K14" s="4">
        <f>SUMIF('Flint Water Exp &amp; Act Track'!$B$8:$B$353,"DEQ",'Flint Water Exp &amp; Act Track'!$O$8:$O$353)</f>
        <v>6479540</v>
      </c>
      <c r="L14" s="4">
        <f>SUMIF('Flint Water Exp &amp; Act Track'!$B$8:$B$353,"DEQ",'Flint Water Exp &amp; Act Track'!$Q$8:$Q$353)</f>
        <v>13930716</v>
      </c>
      <c r="M14" s="4">
        <f t="shared" si="0"/>
        <v>6196065.0000000037</v>
      </c>
      <c r="N14" s="4">
        <f>SUMIF('Flint Water Exp &amp; Act Track'!$B$8:$B$353,"DEQ",'Flint Water Exp &amp; Act Track'!$R$8:$R$353)</f>
        <v>82009770.590000004</v>
      </c>
    </row>
    <row r="15" spans="1:14" s="31" customFormat="1">
      <c r="A15" s="53"/>
      <c r="B15" s="53"/>
      <c r="C15" s="53"/>
      <c r="D15" s="53"/>
      <c r="E15" s="53"/>
      <c r="F15" s="184"/>
      <c r="G15" s="61" t="s">
        <v>30</v>
      </c>
      <c r="H15" s="4">
        <f>SUMIF('Flint Water Exp &amp; Act Track'!$B$8:$B$353,"DHHS",'Flint Water Exp &amp; Act Track'!$T$8:$T$353)</f>
        <v>77868500</v>
      </c>
      <c r="I15" s="4">
        <f>SUMIF('Flint Water Exp &amp; Act Track'!$B$8:$B$353,"DHHS",'Flint Water Exp &amp; Act Track'!$K$8:$K$353)</f>
        <v>12608119.220000001</v>
      </c>
      <c r="J15" s="4">
        <f>SUMIF('Flint Water Exp &amp; Act Track'!$B$8:$B$353,"DHHS",'Flint Water Exp &amp; Act Track'!$M$8:$M$353)</f>
        <v>23251268.07</v>
      </c>
      <c r="K15" s="4">
        <f>SUMIF('Flint Water Exp &amp; Act Track'!$B$8:$B$353,"DHHS",'Flint Water Exp &amp; Act Track'!$O$8:$O$353)</f>
        <v>23095363.16</v>
      </c>
      <c r="L15" s="4">
        <f>SUMIF('Flint Water Exp &amp; Act Track'!$B$8:$B$353,"DHHS",'Flint Water Exp &amp; Act Track'!$Q$8:$Q$353)</f>
        <v>8496522.1799999997</v>
      </c>
      <c r="M15" s="4">
        <f t="shared" si="0"/>
        <v>8293007.7999999784</v>
      </c>
      <c r="N15" s="4">
        <f>SUMIF('Flint Water Exp &amp; Act Track'!$B$8:$B$353,"DHHS",'Flint Water Exp &amp; Act Track'!$R$8:$R$353)</f>
        <v>75744280.429999977</v>
      </c>
    </row>
    <row r="16" spans="1:14" s="31" customFormat="1">
      <c r="A16" s="53"/>
      <c r="B16" s="53"/>
      <c r="C16" s="53"/>
      <c r="D16" s="53"/>
      <c r="E16" s="53"/>
      <c r="F16" s="184"/>
      <c r="G16" s="61" t="s">
        <v>46</v>
      </c>
      <c r="H16" s="4">
        <f>SUMIF('Flint Water Exp &amp; Act Track'!$B$8:$B$353,"DIFS",'Flint Water Exp &amp; Act Track'!$T$8:$T$353)</f>
        <v>0</v>
      </c>
      <c r="I16" s="4">
        <f>SUMIF('Flint Water Exp &amp; Act Track'!$B$8:$B$353,"DIFS",'Flint Water Exp &amp; Act Track'!$K$8:$K$353)</f>
        <v>5658.5694375000003</v>
      </c>
      <c r="J16" s="4">
        <f>SUMIF('Flint Water Exp &amp; Act Track'!$B$8:$B$353,"DIFS",'Flint Water Exp &amp; Act Track'!$M$8:$M$353)</f>
        <v>0</v>
      </c>
      <c r="K16" s="4">
        <f>SUMIF('Flint Water Exp &amp; Act Track'!$B$8:$B$353,"DIFS",'Flint Water Exp &amp; Act Track'!$O$8:$O$353)</f>
        <v>0</v>
      </c>
      <c r="L16" s="4">
        <f>SUMIF('Flint Water Exp &amp; Act Track'!$B$8:$B$353,"DIFS",'Flint Water Exp &amp; Act Track'!$Q$8:$Q$353)</f>
        <v>0</v>
      </c>
      <c r="M16" s="4">
        <f t="shared" si="0"/>
        <v>0</v>
      </c>
      <c r="N16" s="4">
        <f>SUMIF('Flint Water Exp &amp; Act Track'!$B$8:$B$353,"DIFS",'Flint Water Exp &amp; Act Track'!$R$8:$R$353)</f>
        <v>5658.5694375000003</v>
      </c>
    </row>
    <row r="17" spans="1:15" s="31" customFormat="1">
      <c r="A17" s="53"/>
      <c r="B17" s="53"/>
      <c r="C17" s="53"/>
      <c r="D17" s="53"/>
      <c r="E17" s="53"/>
      <c r="F17" s="184"/>
      <c r="G17" s="61" t="s">
        <v>32</v>
      </c>
      <c r="H17" s="4">
        <f>SUMIF('Flint Water Exp &amp; Act Track'!$B$8:$B$353,"LARA",'Flint Water Exp &amp; Act Track'!$T$8:$T$353)</f>
        <v>1860000</v>
      </c>
      <c r="I17" s="4">
        <f>SUMIF('Flint Water Exp &amp; Act Track'!$B$8:$B$353,"LARA",'Flint Water Exp &amp; Act Track'!$K$8:$K$353)</f>
        <v>1293856.3999999999</v>
      </c>
      <c r="J17" s="4">
        <f>SUMIF('Flint Water Exp &amp; Act Track'!$B$8:$B$353,"LARA",'Flint Water Exp &amp; Act Track'!$M$8:$M$353)</f>
        <v>449717</v>
      </c>
      <c r="K17" s="4">
        <f>SUMIF('Flint Water Exp &amp; Act Track'!$B$8:$B$353,"LARA",'Flint Water Exp &amp; Act Track'!$O$8:$O$353)</f>
        <v>92448</v>
      </c>
      <c r="L17" s="4">
        <f>SUMIF('Flint Water Exp &amp; Act Track'!$B$8:$B$353,"LARA",'Flint Water Exp &amp; Act Track'!$Q$8:$Q$353)</f>
        <v>0</v>
      </c>
      <c r="M17" s="4">
        <f t="shared" si="0"/>
        <v>0</v>
      </c>
      <c r="N17" s="4">
        <f>SUMIF('Flint Water Exp &amp; Act Track'!$B$8:$B$353,"LARA",'Flint Water Exp &amp; Act Track'!$R$8:$R$353)</f>
        <v>1836021.4</v>
      </c>
    </row>
    <row r="18" spans="1:15" s="31" customFormat="1">
      <c r="A18" s="53"/>
      <c r="B18" s="53"/>
      <c r="C18" s="53"/>
      <c r="D18" s="53"/>
      <c r="E18" s="53"/>
      <c r="F18" s="184"/>
      <c r="G18" s="61" t="s">
        <v>33</v>
      </c>
      <c r="H18" s="4">
        <f>SUMIF('Flint Water Exp &amp; Act Track'!$B$8:$B$353,"DMVA",'Flint Water Exp &amp; Act Track'!$T$8:$T$353)</f>
        <v>2500000</v>
      </c>
      <c r="I18" s="4">
        <f>SUMIF('Flint Water Exp &amp; Act Track'!$B$8:$B$353,"DMVA",'Flint Water Exp &amp; Act Track'!$K$8:$K$353)</f>
        <v>2541945.17</v>
      </c>
      <c r="J18" s="4">
        <f>SUMIF('Flint Water Exp &amp; Act Track'!$B$8:$B$353,"DMVA",'Flint Water Exp &amp; Act Track'!$M$8:$M$353)</f>
        <v>0</v>
      </c>
      <c r="K18" s="4">
        <f>SUMIF('Flint Water Exp &amp; Act Track'!$B$8:$B$353,"DMVA",'Flint Water Exp &amp; Act Track'!$O$8:$O$353)</f>
        <v>0</v>
      </c>
      <c r="L18" s="4">
        <f>SUMIF('Flint Water Exp &amp; Act Track'!$B$8:$B$353,"DMVA",'Flint Water Exp &amp; Act Track'!$Q$8:$Q$353)</f>
        <v>0</v>
      </c>
      <c r="M18" s="4">
        <f t="shared" si="0"/>
        <v>0</v>
      </c>
      <c r="N18" s="4">
        <f>SUMIF('Flint Water Exp &amp; Act Track'!$B$8:$B$353,"DMVA",'Flint Water Exp &amp; Act Track'!$R$8:$R$353)</f>
        <v>2541945.17</v>
      </c>
    </row>
    <row r="19" spans="1:15" s="31" customFormat="1">
      <c r="A19" s="53"/>
      <c r="B19" s="53"/>
      <c r="C19" s="53"/>
      <c r="D19" s="53"/>
      <c r="E19" s="53"/>
      <c r="F19" s="184"/>
      <c r="G19" s="61" t="s">
        <v>34</v>
      </c>
      <c r="H19" s="4">
        <f>SUMIF('Flint Water Exp &amp; Act Track'!$B$8:$B$353,"DNR",'Flint Water Exp &amp; Act Track'!$T$8:$T$353)</f>
        <v>250000</v>
      </c>
      <c r="I19" s="4">
        <f>SUMIF('Flint Water Exp &amp; Act Track'!$B$8:$B$353,"DNR",'Flint Water Exp &amp; Act Track'!$K$8:$K$353)</f>
        <v>250019.10000000059</v>
      </c>
      <c r="J19" s="4">
        <f>SUMIF('Flint Water Exp &amp; Act Track'!$B$8:$B$353,"DNR",'Flint Water Exp &amp; Act Track'!$M$8:$M$353)</f>
        <v>3370.3700000000003</v>
      </c>
      <c r="K19" s="4">
        <f>SUMIF('Flint Water Exp &amp; Act Track'!$B$8:$B$353,"DNR",'Flint Water Exp &amp; Act Track'!$O$8:$O$353)</f>
        <v>0</v>
      </c>
      <c r="L19" s="4">
        <f>SUMIF('Flint Water Exp &amp; Act Track'!$B$8:$B$353,"DNR",'Flint Water Exp &amp; Act Track'!$Q$8:$Q$353)</f>
        <v>0</v>
      </c>
      <c r="M19" s="4">
        <f t="shared" si="0"/>
        <v>0</v>
      </c>
      <c r="N19" s="4">
        <f>SUMIF('Flint Water Exp &amp; Act Track'!$B$8:$B$353,"DNR",'Flint Water Exp &amp; Act Track'!$R$8:$R$353)</f>
        <v>253389.47000000058</v>
      </c>
    </row>
    <row r="20" spans="1:15" s="31" customFormat="1">
      <c r="A20" s="53"/>
      <c r="B20" s="53"/>
      <c r="C20" s="53"/>
      <c r="D20" s="53"/>
      <c r="E20" s="53"/>
      <c r="F20" s="184"/>
      <c r="G20" s="61" t="s">
        <v>395</v>
      </c>
      <c r="H20" s="4">
        <f>SUMIF('Flint Water Exp &amp; Act Track'!$B$8:$B$353,"School Aid",'Flint Water Exp &amp; Act Track'!$T$8:$T$353)</f>
        <v>37929900</v>
      </c>
      <c r="I20" s="4">
        <f>SUMIF('Flint Water Exp &amp; Act Track'!$B$8:$B$353,"School Aid",'Flint Water Exp &amp; Act Track'!$K$8:$K$353)</f>
        <v>0</v>
      </c>
      <c r="J20" s="4">
        <f>SUMIF('Flint Water Exp &amp; Act Track'!$B$8:$B$353,"School Aid",'Flint Water Exp &amp; Act Track'!$M$8:$M$353)</f>
        <v>19852500</v>
      </c>
      <c r="K20" s="4">
        <f>SUMIF('Flint Water Exp &amp; Act Track'!$B$8:$B$353,"School Aid",'Flint Water Exp &amp; Act Track'!$O$8:$O$353)</f>
        <v>6844952</v>
      </c>
      <c r="L20" s="4">
        <f>SUMIF('Flint Water Exp &amp; Act Track'!$B$8:$B$353,"School Aid",'Flint Water Exp &amp; Act Track'!$Q$8:$Q$353)</f>
        <v>10312147</v>
      </c>
      <c r="M20" s="4">
        <f t="shared" si="0"/>
        <v>0</v>
      </c>
      <c r="N20" s="4">
        <f>SUMIF('Flint Water Exp &amp; Act Track'!$B$8:$B$353,"School Aid",'Flint Water Exp &amp; Act Track'!$R$8:$R$353)</f>
        <v>37009599</v>
      </c>
    </row>
    <row r="21" spans="1:15" s="31" customFormat="1">
      <c r="A21" s="53"/>
      <c r="B21" s="53"/>
      <c r="C21" s="53"/>
      <c r="D21" s="53"/>
      <c r="E21" s="53"/>
      <c r="F21" s="184"/>
      <c r="G21" s="61" t="s">
        <v>162</v>
      </c>
      <c r="H21" s="4">
        <f>SUMIF('Flint Water Exp &amp; Act Track'!$B$8:$B$353,"MDOS",'Flint Water Exp &amp; Act Track'!$T$8:$T$353)</f>
        <v>0</v>
      </c>
      <c r="I21" s="4">
        <f>SUMIF('Flint Water Exp &amp; Act Track'!$B$8:$B$353,"MDOS",'Flint Water Exp &amp; Act Track'!$K$8:$K$353)</f>
        <v>3131</v>
      </c>
      <c r="J21" s="4">
        <f>SUMIF('Flint Water Exp &amp; Act Track'!$B$8:$B$353,"MDOS",'Flint Water Exp &amp; Act Track'!$M$8:$M$353)</f>
        <v>0</v>
      </c>
      <c r="K21" s="4">
        <f>SUMIF('Flint Water Exp &amp; Act Track'!$B$8:$B$353,"MDOS",'Flint Water Exp &amp; Act Track'!$O$8:$O$353)</f>
        <v>0</v>
      </c>
      <c r="L21" s="4">
        <f>SUMIF('Flint Water Exp &amp; Act Track'!$B$8:$B$353,"MDOS",'Flint Water Exp &amp; Act Track'!$Q$8:$Q$353)</f>
        <v>0</v>
      </c>
      <c r="M21" s="4">
        <f t="shared" si="0"/>
        <v>0</v>
      </c>
      <c r="N21" s="4">
        <f>SUMIF('Flint Water Exp &amp; Act Track'!$B$8:$B$353,"MDOS",'Flint Water Exp &amp; Act Track'!$R$8:$R$353)</f>
        <v>3131</v>
      </c>
    </row>
    <row r="22" spans="1:15" s="31" customFormat="1">
      <c r="A22" s="53"/>
      <c r="B22" s="53"/>
      <c r="C22" s="53"/>
      <c r="D22" s="53"/>
      <c r="E22" s="53"/>
      <c r="F22" s="184"/>
      <c r="G22" s="61" t="s">
        <v>36</v>
      </c>
      <c r="H22" s="4">
        <f>SUMIF('Flint Water Exp &amp; Act Track'!$B$8:$B$353,"MSP",'Flint Water Exp &amp; Act Track'!$T$8:$T$353)</f>
        <v>10008100</v>
      </c>
      <c r="I22" s="4">
        <f>SUMIF('Flint Water Exp &amp; Act Track'!$B$8:$B$353,"MSP",'Flint Water Exp &amp; Act Track'!$K$8:$K$353)</f>
        <v>12016956.07</v>
      </c>
      <c r="J22" s="4">
        <f>SUMIF('Flint Water Exp &amp; Act Track'!$B$8:$B$353,"MSP",'Flint Water Exp &amp; Act Track'!$M$8:$M$353)</f>
        <v>7794774.2400000002</v>
      </c>
      <c r="K22" s="4">
        <f>SUMIF('Flint Water Exp &amp; Act Track'!$B$8:$B$353,"MSP",'Flint Water Exp &amp; Act Track'!$O$8:$O$353)</f>
        <v>21789.49</v>
      </c>
      <c r="L22" s="4">
        <f>SUMIF('Flint Water Exp &amp; Act Track'!$B$8:$B$353,"MSP",'Flint Water Exp &amp; Act Track'!$Q$8:$Q$353)</f>
        <v>65005.33</v>
      </c>
      <c r="M22" s="4">
        <f t="shared" si="0"/>
        <v>-1.57160684466362E-9</v>
      </c>
      <c r="N22" s="4">
        <f>SUMIF('Flint Water Exp &amp; Act Track'!$B$8:$B$353,"MSP",'Flint Water Exp &amp; Act Track'!$R$8:$R$353)</f>
        <v>19898525.129999999</v>
      </c>
    </row>
    <row r="23" spans="1:15" s="31" customFormat="1">
      <c r="A23" s="53"/>
      <c r="B23" s="53"/>
      <c r="C23" s="53"/>
      <c r="D23" s="53"/>
      <c r="E23" s="53"/>
      <c r="F23" s="184"/>
      <c r="G23" s="61" t="s">
        <v>143</v>
      </c>
      <c r="H23" s="4">
        <f>SUMIF('Flint Water Exp &amp; Act Track'!$B$8:$B$353,"TED",'Flint Water Exp &amp; Act Track'!$T$8:$T$353)</f>
        <v>100</v>
      </c>
      <c r="I23" s="4">
        <f>SUMIF('Flint Water Exp &amp; Act Track'!$B$8:$B$353,"TED",'Flint Water Exp &amp; Act Track'!$K$8:$K$353)</f>
        <v>2173926.02</v>
      </c>
      <c r="J23" s="4">
        <f>SUMIF('Flint Water Exp &amp; Act Track'!$B$8:$B$353,"TED",'Flint Water Exp &amp; Act Track'!$M$8:$M$353)</f>
        <v>13709309.01</v>
      </c>
      <c r="K23" s="4">
        <f>SUMIF('Flint Water Exp &amp; Act Track'!$B$8:$B$353,"TED",'Flint Water Exp &amp; Act Track'!$O$8:$O$353)</f>
        <v>3989715</v>
      </c>
      <c r="L23" s="4">
        <f>SUMIF('Flint Water Exp &amp; Act Track'!$B$8:$B$353,"TED",'Flint Water Exp &amp; Act Track'!$Q$8:$Q$353)</f>
        <v>19154</v>
      </c>
      <c r="M23" s="4">
        <f t="shared" si="0"/>
        <v>-2.3283064365386963E-9</v>
      </c>
      <c r="N23" s="4">
        <f>SUMIF('Flint Water Exp &amp; Act Track'!$B$8:$B$353,"TED",'Flint Water Exp &amp; Act Track'!$R$8:$R$353)</f>
        <v>19892104.029999997</v>
      </c>
    </row>
    <row r="24" spans="1:15" s="31" customFormat="1">
      <c r="A24" s="53"/>
      <c r="B24" s="53"/>
      <c r="C24" s="53"/>
      <c r="D24" s="53"/>
      <c r="E24" s="53"/>
      <c r="F24" s="184"/>
      <c r="G24" s="61" t="s">
        <v>275</v>
      </c>
      <c r="H24" s="4">
        <f>SUMIF('Flint Water Exp &amp; Act Track'!$B$8:$B$353,"MSF",'Flint Water Exp &amp; Act Track'!$T$8:$T$353)</f>
        <v>0</v>
      </c>
      <c r="I24" s="4">
        <f>SUMIF('Flint Water Exp &amp; Act Track'!$B$8:$B$353,"MSF",'Flint Water Exp &amp; Act Track'!$K$8:$K$353)</f>
        <v>12500000</v>
      </c>
      <c r="J24" s="4">
        <f>SUMIF('Flint Water Exp &amp; Act Track'!$B$8:$B$353,"MSF",'Flint Water Exp &amp; Act Track'!$M$8:$M$353)</f>
        <v>4447005.79</v>
      </c>
      <c r="K24" s="4">
        <f>SUMIF('Flint Water Exp &amp; Act Track'!$B$8:$B$353,"MSF",'Flint Water Exp &amp; Act Track'!$O$8:$O$353)</f>
        <v>1197994</v>
      </c>
      <c r="L24" s="4">
        <f>SUMIF('Flint Water Exp &amp; Act Track'!$B$8:$B$353,"MSF",'Flint Water Exp &amp; Act Track'!$Q$8:$Q$353)</f>
        <v>18146084</v>
      </c>
      <c r="M24" s="4">
        <f t="shared" si="0"/>
        <v>10091391</v>
      </c>
      <c r="N24" s="4">
        <f>SUMIF('Flint Water Exp &amp; Act Track'!$B$8:$B$353,"MSF",'Flint Water Exp &amp; Act Track'!$R$8:$R$353)</f>
        <v>46382474.789999999</v>
      </c>
    </row>
    <row r="25" spans="1:15" s="31" customFormat="1">
      <c r="A25" s="53"/>
      <c r="B25" s="53"/>
      <c r="C25" s="53"/>
      <c r="D25" s="53"/>
      <c r="E25" s="53"/>
      <c r="F25" s="184"/>
      <c r="G25" s="61" t="s">
        <v>171</v>
      </c>
      <c r="H25" s="4">
        <f>SUMIF('Flint Water Exp &amp; Act Track'!$B$8:$B$353,"MEDC",'Flint Water Exp &amp; Act Track'!$T$8:$T$353)</f>
        <v>0</v>
      </c>
      <c r="I25" s="4">
        <f>SUMIF('Flint Water Exp &amp; Act Track'!$B$8:$B$353,"MEDC",'Flint Water Exp &amp; Act Track'!$K$8:$K$353)</f>
        <v>70000</v>
      </c>
      <c r="J25" s="4">
        <f>SUMIF('Flint Water Exp &amp; Act Track'!$B$8:$B$353,"MEDC",'Flint Water Exp &amp; Act Track'!$M$8:$M$353)</f>
        <v>0</v>
      </c>
      <c r="K25" s="4">
        <f>SUMIF('Flint Water Exp &amp; Act Track'!$B$8:$B$353,"MEDC",'Flint Water Exp &amp; Act Track'!$O$8:$O$353)</f>
        <v>0</v>
      </c>
      <c r="L25" s="4">
        <f>SUMIF('Flint Water Exp &amp; Act Track'!$B$8:$B$353,"MEDC",'Flint Water Exp &amp; Act Track'!$Q$8:$Q$353)</f>
        <v>0</v>
      </c>
      <c r="M25" s="4">
        <f t="shared" si="0"/>
        <v>0</v>
      </c>
      <c r="N25" s="4">
        <f>SUMIF('Flint Water Exp &amp; Act Track'!$B$8:$B$353,"MEDC",'Flint Water Exp &amp; Act Track'!$R$8:$R$353)</f>
        <v>70000</v>
      </c>
    </row>
    <row r="26" spans="1:15" s="31" customFormat="1">
      <c r="A26" s="53"/>
      <c r="B26" s="53"/>
      <c r="C26" s="53"/>
      <c r="D26" s="53"/>
      <c r="E26" s="53"/>
      <c r="F26" s="184"/>
      <c r="G26" s="61" t="s">
        <v>172</v>
      </c>
      <c r="H26" s="4">
        <f>SUMIF('Flint Water Exp &amp; Act Track'!$B$8:$B$353,"MSHDA",'Flint Water Exp &amp; Act Track'!$T$8:$T$353)</f>
        <v>0</v>
      </c>
      <c r="I26" s="4">
        <f>SUMIF('Flint Water Exp &amp; Act Track'!$B$8:$B$353,"MSHDA",'Flint Water Exp &amp; Act Track'!$K$8:$K$353)</f>
        <v>110012</v>
      </c>
      <c r="J26" s="4">
        <f>SUMIF('Flint Water Exp &amp; Act Track'!$B$8:$B$353,"MSHDA",'Flint Water Exp &amp; Act Track'!$M$8:$M$353)</f>
        <v>1024</v>
      </c>
      <c r="K26" s="4">
        <f>SUMIF('Flint Water Exp &amp; Act Track'!$B$8:$B$353,"MSHDA",'Flint Water Exp &amp; Act Track'!$O$8:$O$353)</f>
        <v>0</v>
      </c>
      <c r="L26" s="4">
        <f>SUMIF('Flint Water Exp &amp; Act Track'!$B$8:$B$353,"MSHDA",'Flint Water Exp &amp; Act Track'!$Q$8:$Q$353)</f>
        <v>0</v>
      </c>
      <c r="M26" s="4">
        <f t="shared" si="0"/>
        <v>0</v>
      </c>
      <c r="N26" s="4">
        <f>SUMIF('Flint Water Exp &amp; Act Track'!$B$8:$B$353,"MSHDA",'Flint Water Exp &amp; Act Track'!$R$8:$R$353)</f>
        <v>111036</v>
      </c>
    </row>
    <row r="27" spans="1:15" s="31" customFormat="1">
      <c r="A27" s="53"/>
      <c r="B27" s="53"/>
      <c r="C27" s="53"/>
      <c r="D27" s="53"/>
      <c r="E27" s="53"/>
      <c r="F27" s="184"/>
      <c r="G27" s="61" t="s">
        <v>37</v>
      </c>
      <c r="H27" s="4">
        <f>SUMIF('Flint Water Exp &amp; Act Track'!$B$8:$B$353,"DTMB",'Flint Water Exp &amp; Act Track'!$T$8:$T$353)</f>
        <v>500100</v>
      </c>
      <c r="I27" s="4">
        <f>SUMIF('Flint Water Exp &amp; Act Track'!$B$8:$B$353,"DTMB",'Flint Water Exp &amp; Act Track'!$K$8:$K$353)</f>
        <v>0</v>
      </c>
      <c r="J27" s="4">
        <f>SUMIF('Flint Water Exp &amp; Act Track'!$B$8:$B$353,"DTMB",'Flint Water Exp &amp; Act Track'!$M$8:$M$353)</f>
        <v>0</v>
      </c>
      <c r="K27" s="4">
        <f>SUMIF('Flint Water Exp &amp; Act Track'!$B$8:$B$353,"DTMB",'Flint Water Exp &amp; Act Track'!$O$8:$O$353)</f>
        <v>1358421.5899999999</v>
      </c>
      <c r="L27" s="4">
        <f>SUMIF('Flint Water Exp &amp; Act Track'!$B$8:$B$353,"DTMB",'Flint Water Exp &amp; Act Track'!$Q$8:$Q$353)</f>
        <v>0</v>
      </c>
      <c r="M27" s="4">
        <f t="shared" si="0"/>
        <v>753961.19999999972</v>
      </c>
      <c r="N27" s="4">
        <f>SUMIF('Flint Water Exp &amp; Act Track'!$B$8:$B$353,"DTMB",'Flint Water Exp &amp; Act Track'!$R$8:$R$353)</f>
        <v>2112382.7899999996</v>
      </c>
    </row>
    <row r="28" spans="1:15" s="31" customFormat="1">
      <c r="A28" s="53"/>
      <c r="B28" s="53"/>
      <c r="C28" s="53"/>
      <c r="D28" s="53"/>
      <c r="E28" s="53"/>
      <c r="F28" s="184"/>
      <c r="G28" s="61" t="s">
        <v>38</v>
      </c>
      <c r="H28" s="4">
        <f>SUMIF('Flint Water Exp &amp; Act Track'!$B$8:$B$353,"MDOT",'Flint Water Exp &amp; Act Track'!$T$8:$T$353)</f>
        <v>0</v>
      </c>
      <c r="I28" s="4">
        <f>SUMIF('Flint Water Exp &amp; Act Track'!$B$8:$B$353,"MDOT",'Flint Water Exp &amp; Act Track'!$K$8:$K$353)</f>
        <v>39.239999999990687</v>
      </c>
      <c r="J28" s="4">
        <f>SUMIF('Flint Water Exp &amp; Act Track'!$B$8:$B$353,"MDOT",'Flint Water Exp &amp; Act Track'!$M$8:$M$353)</f>
        <v>0</v>
      </c>
      <c r="K28" s="4">
        <f>SUMIF('Flint Water Exp &amp; Act Track'!$B$8:$B$353,"MDOT",'Flint Water Exp &amp; Act Track'!$O$8:$O$353)</f>
        <v>0</v>
      </c>
      <c r="L28" s="4">
        <f>SUMIF('Flint Water Exp &amp; Act Track'!$B$8:$B$353,"MDOT",'Flint Water Exp &amp; Act Track'!$Q$8:$Q$353)</f>
        <v>0</v>
      </c>
      <c r="M28" s="4">
        <f t="shared" si="0"/>
        <v>0</v>
      </c>
      <c r="N28" s="4">
        <f>SUMIF('Flint Water Exp &amp; Act Track'!$B$8:$B$353,"MDOT",'Flint Water Exp &amp; Act Track'!$R$8:$R$353)</f>
        <v>39.239999999990687</v>
      </c>
    </row>
    <row r="29" spans="1:15" s="31" customFormat="1">
      <c r="A29" s="53"/>
      <c r="B29" s="53"/>
      <c r="C29" s="53"/>
      <c r="D29" s="53"/>
      <c r="E29" s="53"/>
      <c r="F29" s="184"/>
      <c r="G29" s="61" t="s">
        <v>39</v>
      </c>
      <c r="H29" s="4">
        <f>SUMIF('Flint Water Exp &amp; Act Track'!$B$8:$B$353,"Treasury",'Flint Water Exp &amp; Act Track'!$T$8:$T$353)</f>
        <v>73693200</v>
      </c>
      <c r="I29" s="4">
        <f>SUMIF('Flint Water Exp &amp; Act Track'!$B$8:$B$353,"Treasury",'Flint Water Exp &amp; Act Track'!$K$8:$K$353)</f>
        <v>33309728</v>
      </c>
      <c r="J29" s="4">
        <f>SUMIF('Flint Water Exp &amp; Act Track'!$B$8:$B$353,"Treasury",'Flint Water Exp &amp; Act Track'!$M$8:$M$353)</f>
        <v>24382675.579999994</v>
      </c>
      <c r="K29" s="4">
        <f>SUMIF('Flint Water Exp &amp; Act Track'!$B$8:$B$353,"Treasury",'Flint Water Exp &amp; Act Track'!$O$8:$O$353)</f>
        <v>9008315</v>
      </c>
      <c r="L29" s="4">
        <f>SUMIF('Flint Water Exp &amp; Act Track'!$B$8:$B$353,"Treasury",'Flint Water Exp &amp; Act Track'!$Q$8:$Q$353)</f>
        <v>692769.34</v>
      </c>
      <c r="M29" s="4">
        <f t="shared" si="0"/>
        <v>835744.19999999169</v>
      </c>
      <c r="N29" s="4">
        <f>SUMIF('Flint Water Exp &amp; Act Track'!$B$8:$B$353,"Treasury",'Flint Water Exp &amp; Act Track'!$R$8:$R$353)</f>
        <v>68229232.11999999</v>
      </c>
    </row>
    <row r="30" spans="1:15" s="31" customFormat="1">
      <c r="A30" s="53"/>
      <c r="B30" s="53"/>
      <c r="C30" s="53"/>
      <c r="D30" s="53"/>
      <c r="E30" s="53"/>
      <c r="F30" s="184"/>
      <c r="G30" s="62" t="s">
        <v>163</v>
      </c>
      <c r="H30" s="4">
        <f>SUMIF('Flint Water Exp &amp; Act Track'!$B$8:$B$353,"MGCB",'Flint Water Exp &amp; Act Track'!$T$8:$T$353)</f>
        <v>0</v>
      </c>
      <c r="I30" s="4">
        <f>SUMIF('Flint Water Exp &amp; Act Track'!$B$8:$B$353,"MGCB",'Flint Water Exp &amp; Act Track'!$K$8:$K$353)</f>
        <v>3541</v>
      </c>
      <c r="J30" s="4">
        <f>SUMIF('Flint Water Exp &amp; Act Track'!$B$8:$B$353,"MGCB",'Flint Water Exp &amp; Act Track'!$M$8:$M$353)</f>
        <v>0</v>
      </c>
      <c r="K30" s="4">
        <f>SUMIF('Flint Water Exp &amp; Act Track'!$B$8:$B$353,"MGCB",'Flint Water Exp &amp; Act Track'!$O$8:$O$353)</f>
        <v>0</v>
      </c>
      <c r="L30" s="4">
        <f>SUMIF('Flint Water Exp &amp; Act Track'!$B$8:$B$353,"MGCB",'Flint Water Exp &amp; Act Track'!$Q$8:$Q$353)</f>
        <v>0</v>
      </c>
      <c r="M30" s="4">
        <f t="shared" si="0"/>
        <v>0</v>
      </c>
      <c r="N30" s="4">
        <f>SUMIF('Flint Water Exp &amp; Act Track'!$B$8:$B$353,"MGCB",'Flint Water Exp &amp; Act Track'!$R$8:$R$353)</f>
        <v>3541</v>
      </c>
    </row>
    <row r="31" spans="1:15" s="31" customFormat="1">
      <c r="A31" s="53"/>
      <c r="B31" s="53"/>
      <c r="C31" s="53"/>
      <c r="D31" s="53"/>
      <c r="E31" s="53"/>
      <c r="F31" s="184"/>
      <c r="G31" s="63" t="s">
        <v>158</v>
      </c>
      <c r="H31" s="64">
        <f t="shared" ref="H31:N31" si="1">SUM(H9:H30)</f>
        <v>329999100</v>
      </c>
      <c r="I31" s="5">
        <f t="shared" si="1"/>
        <v>100987028.04943749</v>
      </c>
      <c r="J31" s="64">
        <f t="shared" si="1"/>
        <v>141075643.84</v>
      </c>
      <c r="K31" s="64">
        <f t="shared" si="1"/>
        <v>65845819.040000007</v>
      </c>
      <c r="L31" s="64">
        <f t="shared" si="1"/>
        <v>55594360.579999998</v>
      </c>
      <c r="M31" s="64">
        <f t="shared" si="1"/>
        <v>26170169.419999965</v>
      </c>
      <c r="N31" s="64">
        <f t="shared" si="1"/>
        <v>389673020.92943752</v>
      </c>
    </row>
    <row r="32" spans="1:15" s="31" customFormat="1">
      <c r="A32" s="53"/>
      <c r="B32" s="53"/>
      <c r="C32" s="53"/>
      <c r="D32" s="53"/>
      <c r="E32" s="53"/>
      <c r="F32" s="184"/>
      <c r="G32" s="65"/>
      <c r="H32" s="65" t="str">
        <f>IF(H31='Flint Water Exp &amp; Act Track'!T354,"","oops")</f>
        <v/>
      </c>
      <c r="I32" s="193" t="str">
        <f>IF(ROUND(I31,3)=ROUND('Flint Water Exp &amp; Act Track'!K354,3),"","oops")</f>
        <v/>
      </c>
      <c r="J32" s="65" t="str">
        <f>IF(ROUND(J31,3)=ROUND('Flint Water Exp &amp; Act Track'!M354,3),"","oops")</f>
        <v/>
      </c>
      <c r="K32" s="65" t="str">
        <f>IF(ROUND(K31,3)=ROUND('Flint Water Exp &amp; Act Track'!O354,3),"","oops")</f>
        <v/>
      </c>
      <c r="L32" s="65" t="str">
        <f>IF(ROUND(L31,3)=ROUND('Flint Water Exp &amp; Act Track'!Q354,3),"","oops")</f>
        <v/>
      </c>
      <c r="M32" s="65" t="str">
        <f>IF(ROUND(M31,3)=ROUND('Flint Water Exp &amp; Act Track'!H354+'Flint Water Exp &amp; Act Track'!I354,3),"","oops")</f>
        <v/>
      </c>
      <c r="N32" s="65" t="str">
        <f>IF(ROUND(N31,5)=ROUND('Flint Water Exp &amp; Act Track'!R354,5),"","oops")</f>
        <v/>
      </c>
      <c r="O32" s="57"/>
    </row>
    <row r="33" spans="1:14" s="31" customFormat="1" ht="39">
      <c r="A33" s="53"/>
      <c r="B33" s="53"/>
      <c r="C33" s="53"/>
      <c r="D33" s="53"/>
      <c r="E33" s="53"/>
      <c r="F33" s="184"/>
      <c r="G33" s="66" t="s">
        <v>164</v>
      </c>
      <c r="H33" s="67" t="s">
        <v>156</v>
      </c>
      <c r="I33" s="60" t="s">
        <v>676</v>
      </c>
      <c r="J33" s="60" t="s">
        <v>675</v>
      </c>
      <c r="K33" s="60" t="s">
        <v>677</v>
      </c>
      <c r="L33" s="60" t="s">
        <v>871</v>
      </c>
      <c r="M33" s="60" t="s">
        <v>157</v>
      </c>
      <c r="N33" s="60" t="s">
        <v>215</v>
      </c>
    </row>
    <row r="34" spans="1:14" s="31" customFormat="1">
      <c r="A34" s="53"/>
      <c r="B34" s="53"/>
      <c r="C34" s="53"/>
      <c r="D34" s="53"/>
      <c r="E34" s="53"/>
      <c r="F34" s="184"/>
      <c r="G34" s="68" t="s">
        <v>173</v>
      </c>
      <c r="H34" s="4">
        <f>SUMIF('Flint Water Exp &amp; Act Track'!$E$8:$E$353,"Econ Develop",'Flint Water Exp &amp; Act Track'!$T$8:$T$353)</f>
        <v>0</v>
      </c>
      <c r="I34" s="4">
        <f>SUMIF('Flint Water Exp &amp; Act Track'!$E$8:$E$353,"Econ Develop",'Flint Water Exp &amp; Act Track'!$K$8:$K$353)</f>
        <v>14813462.02</v>
      </c>
      <c r="J34" s="4">
        <f>SUMIF('Flint Water Exp &amp; Act Track'!$E$8:$E$353,"Econ Develop",'Flint Water Exp &amp; Act Track'!$M$8:$M$353)</f>
        <v>18157338.799999997</v>
      </c>
      <c r="K34" s="4">
        <f>SUMIF('Flint Water Exp &amp; Act Track'!$E$8:$E$353,"Econ Develop",'Flint Water Exp &amp; Act Track'!$O$8:$O$353)</f>
        <v>5187709</v>
      </c>
      <c r="L34" s="4">
        <f>SUMIF('Flint Water Exp &amp; Act Track'!$E$8:$E$353,"Econ Develop",'Flint Water Exp &amp; Act Track'!$Q$8:$Q$353)</f>
        <v>18165238</v>
      </c>
      <c r="M34" s="4">
        <f t="shared" ref="M34:M39" si="2">+N34-J34-I34-K34-L34</f>
        <v>10091391.000000004</v>
      </c>
      <c r="N34" s="4">
        <f>SUMIF('Flint Water Exp &amp; Act Track'!$E$8:$E$353,"Econ Develop",'Flint Water Exp &amp; Act Track'!$R$8:$R$353)</f>
        <v>66415138.82</v>
      </c>
    </row>
    <row r="35" spans="1:14" s="31" customFormat="1">
      <c r="A35" s="53"/>
      <c r="B35" s="53"/>
      <c r="C35" s="53"/>
      <c r="D35" s="53"/>
      <c r="E35" s="53"/>
      <c r="F35" s="184"/>
      <c r="G35" s="69" t="s">
        <v>8</v>
      </c>
      <c r="H35" s="4">
        <f>SUMIF('Flint Water Exp &amp; Act Track'!$E$8:$E$353,"Food",'Flint Water Exp &amp; Act Track'!$T$8:$T$353)</f>
        <v>31519200</v>
      </c>
      <c r="I35" s="4">
        <f>SUMIF('Flint Water Exp &amp; Act Track'!$E$8:$E$353,"Food",'Flint Water Exp &amp; Act Track'!$K$8:$K$353)</f>
        <v>1507189.58</v>
      </c>
      <c r="J35" s="4">
        <f>SUMIF('Flint Water Exp &amp; Act Track'!$E$8:$E$353,"Food",'Flint Water Exp &amp; Act Track'!$M$8:$M$353)</f>
        <v>13028645.130000001</v>
      </c>
      <c r="K35" s="4">
        <f>SUMIF('Flint Water Exp &amp; Act Track'!$E$8:$E$353,"Food",'Flint Water Exp &amp; Act Track'!$O$8:$O$353)</f>
        <v>8417032.0899999999</v>
      </c>
      <c r="L35" s="4">
        <f>SUMIF('Flint Water Exp &amp; Act Track'!$E$8:$E$353,"Food",'Flint Water Exp &amp; Act Track'!$Q$8:$Q$353)</f>
        <v>1598532.3</v>
      </c>
      <c r="M35" s="4">
        <f t="shared" si="2"/>
        <v>1845254.1499999992</v>
      </c>
      <c r="N35" s="4">
        <f>SUMIF('Flint Water Exp &amp; Act Track'!$E$8:$E$353,"Food",'Flint Water Exp &amp; Act Track'!$R$8:$R$353)</f>
        <v>26396653.25</v>
      </c>
    </row>
    <row r="36" spans="1:14" s="31" customFormat="1">
      <c r="A36" s="53"/>
      <c r="B36" s="53"/>
      <c r="C36" s="53"/>
      <c r="D36" s="53"/>
      <c r="E36" s="53"/>
      <c r="F36" s="184"/>
      <c r="G36" s="69" t="s">
        <v>28</v>
      </c>
      <c r="H36" s="4">
        <f>SUMIF('Flint Water Exp &amp; Act Track'!$E$8:$E$353,"Physical",'Flint Water Exp &amp; Act Track'!$T$8:$T$353)</f>
        <v>30435600</v>
      </c>
      <c r="I36" s="4">
        <f>SUMIF('Flint Water Exp &amp; Act Track'!$E$8:$E$353,"Physical",'Flint Water Exp &amp; Act Track'!$K$8:$K$353)</f>
        <v>4508200.62</v>
      </c>
      <c r="J36" s="4">
        <f>SUMIF('Flint Water Exp &amp; Act Track'!$E$8:$E$353,"Physical",'Flint Water Exp &amp; Act Track'!$M$8:$M$353)</f>
        <v>13539042.039999999</v>
      </c>
      <c r="K36" s="4">
        <f>SUMIF('Flint Water Exp &amp; Act Track'!$E$8:$E$353,"Physical",'Flint Water Exp &amp; Act Track'!$O$8:$O$353)</f>
        <v>11571885.32</v>
      </c>
      <c r="L36" s="4">
        <f>SUMIF('Flint Water Exp &amp; Act Track'!$E$8:$E$353,"Physical",'Flint Water Exp &amp; Act Track'!$Q$8:$Q$353)</f>
        <v>12317463.629999999</v>
      </c>
      <c r="M36" s="4">
        <f t="shared" si="2"/>
        <v>4906323.4899999946</v>
      </c>
      <c r="N36" s="4">
        <f>SUMIF('Flint Water Exp &amp; Act Track'!$E$8:$E$353,"Physical",'Flint Water Exp &amp; Act Track'!$R$8:$R$353)</f>
        <v>46842915.099999994</v>
      </c>
    </row>
    <row r="37" spans="1:14" s="31" customFormat="1">
      <c r="A37" s="53"/>
      <c r="B37" s="53"/>
      <c r="C37" s="53"/>
      <c r="D37" s="53"/>
      <c r="E37" s="53"/>
      <c r="F37" s="184"/>
      <c r="G37" s="69" t="s">
        <v>25</v>
      </c>
      <c r="H37" s="4">
        <f>SUMIF('Flint Water Exp &amp; Act Track'!$E$8:$E$353,"Social",'Flint Water Exp &amp; Act Track'!$T$8:$T$353)</f>
        <v>84962400</v>
      </c>
      <c r="I37" s="4">
        <f>SUMIF('Flint Water Exp &amp; Act Track'!$E$8:$E$353,"Social",'Flint Water Exp &amp; Act Track'!$K$8:$K$353)</f>
        <v>6283854.069437501</v>
      </c>
      <c r="J37" s="4">
        <f>SUMIF('Flint Water Exp &amp; Act Track'!$E$8:$E$353,"Social",'Flint Water Exp &amp; Act Track'!$M$8:$M$353)</f>
        <v>26017019.25</v>
      </c>
      <c r="K37" s="4">
        <f>SUMIF('Flint Water Exp &amp; Act Track'!$E$8:$E$353,"Social",'Flint Water Exp &amp; Act Track'!$O$8:$O$353)</f>
        <v>20988134.290000003</v>
      </c>
      <c r="L37" s="4">
        <f>SUMIF('Flint Water Exp &amp; Act Track'!$E$8:$E$353,"Social",'Flint Water Exp &amp; Act Track'!$Q$8:$Q$353)</f>
        <v>8566164.620000001</v>
      </c>
      <c r="M37" s="4">
        <f t="shared" si="2"/>
        <v>1541430.3799999915</v>
      </c>
      <c r="N37" s="4">
        <f>SUMIF('Flint Water Exp &amp; Act Track'!$E$8:$E$353,"Social",'Flint Water Exp &amp; Act Track'!$R$8:$R$353)</f>
        <v>63396602.609437495</v>
      </c>
    </row>
    <row r="38" spans="1:14" s="31" customFormat="1">
      <c r="A38" s="53"/>
      <c r="B38" s="53"/>
      <c r="C38" s="53"/>
      <c r="D38" s="53"/>
      <c r="E38" s="53"/>
      <c r="F38" s="184"/>
      <c r="G38" s="69" t="s">
        <v>7</v>
      </c>
      <c r="H38" s="4">
        <f>SUMIF('Flint Water Exp &amp; Act Track'!$E$8:$E$353,"Water",'Flint Water Exp &amp; Act Track'!$T$8:$T$353)</f>
        <v>140331900</v>
      </c>
      <c r="I38" s="4">
        <f>SUMIF('Flint Water Exp &amp; Act Track'!$E$8:$E$353,"Water",'Flint Water Exp &amp; Act Track'!$K$8:$K$353)</f>
        <v>42794164.760000005</v>
      </c>
      <c r="J38" s="4">
        <f>SUMIF('Flint Water Exp &amp; Act Track'!$E$8:$E$353,"Water",'Flint Water Exp &amp; Act Track'!$M$8:$M$353)</f>
        <v>60461625.619999982</v>
      </c>
      <c r="K38" s="4">
        <f>SUMIF('Flint Water Exp &amp; Act Track'!$E$8:$E$353,"Water",'Flint Water Exp &amp; Act Track'!$O$8:$O$353)</f>
        <v>19681058.340000004</v>
      </c>
      <c r="L38" s="4">
        <f>SUMIF('Flint Water Exp &amp; Act Track'!$E$8:$E$353,"Water",'Flint Water Exp &amp; Act Track'!$Q$8:$Q$353)</f>
        <v>14946962.029999999</v>
      </c>
      <c r="M38" s="4">
        <f t="shared" si="2"/>
        <v>7000056.2000000346</v>
      </c>
      <c r="N38" s="4">
        <f>SUMIF('Flint Water Exp &amp; Act Track'!$E$8:$E$353,"Water",'Flint Water Exp &amp; Act Track'!$R$8:$R$353)</f>
        <v>144883866.95000002</v>
      </c>
    </row>
    <row r="39" spans="1:14" s="31" customFormat="1">
      <c r="A39" s="53"/>
      <c r="B39" s="53"/>
      <c r="C39" s="53"/>
      <c r="D39" s="53"/>
      <c r="E39" s="53"/>
      <c r="F39" s="184"/>
      <c r="G39" s="69" t="s">
        <v>41</v>
      </c>
      <c r="H39" s="4">
        <f>SUMIF('Flint Water Exp &amp; Act Track'!$E$8:$E$353,"Water Bill Credits",'Flint Water Exp &amp; Act Track'!$T$8:$T$353)</f>
        <v>42750000</v>
      </c>
      <c r="I39" s="4">
        <f>SUMIF('Flint Water Exp &amp; Act Track'!$E$8:$E$353,"Water Bill Credits",'Flint Water Exp &amp; Act Track'!$K$8:$K$353)</f>
        <v>31080157</v>
      </c>
      <c r="J39" s="4">
        <f>SUMIF('Flint Water Exp &amp; Act Track'!$E$8:$E$353,"Water Bill Credits",'Flint Water Exp &amp; Act Track'!$M$8:$M$353)</f>
        <v>9871973</v>
      </c>
      <c r="K39" s="4">
        <f>SUMIF('Flint Water Exp &amp; Act Track'!$E$8:$E$353,"Water Bill Credits",'Flint Water Exp &amp; Act Track'!$O$8:$O$353)</f>
        <v>0</v>
      </c>
      <c r="L39" s="4">
        <f>SUMIF('Flint Water Exp &amp; Act Track'!$E$8:$E$353,"Water Bill Credits",'Flint Water Exp &amp; Act Track'!$Q$8:$Q$353)</f>
        <v>0</v>
      </c>
      <c r="M39" s="4">
        <f t="shared" si="2"/>
        <v>785714.20000000298</v>
      </c>
      <c r="N39" s="4">
        <f>SUMIF('Flint Water Exp &amp; Act Track'!$E$8:$E$353,"Water Bill Credits",'Flint Water Exp &amp; Act Track'!$R$8:$R$353)</f>
        <v>41737844.200000003</v>
      </c>
    </row>
    <row r="40" spans="1:14" s="31" customFormat="1">
      <c r="A40" s="53"/>
      <c r="B40" s="53"/>
      <c r="C40" s="53"/>
      <c r="D40" s="53"/>
      <c r="E40" s="53"/>
      <c r="F40" s="184"/>
      <c r="G40" s="70" t="s">
        <v>158</v>
      </c>
      <c r="H40" s="5">
        <f t="shared" ref="H40:N40" si="3">SUM(H34:H39)</f>
        <v>329999100</v>
      </c>
      <c r="I40" s="5">
        <f t="shared" si="3"/>
        <v>100987028.04943751</v>
      </c>
      <c r="J40" s="5">
        <f t="shared" si="3"/>
        <v>141075643.83999997</v>
      </c>
      <c r="K40" s="5">
        <f t="shared" si="3"/>
        <v>65845819.040000007</v>
      </c>
      <c r="L40" s="5">
        <f t="shared" si="3"/>
        <v>55594360.579999998</v>
      </c>
      <c r="M40" s="5">
        <f t="shared" si="3"/>
        <v>26170169.420000024</v>
      </c>
      <c r="N40" s="5">
        <f t="shared" si="3"/>
        <v>389673020.92943746</v>
      </c>
    </row>
    <row r="41" spans="1:14" s="31" customFormat="1">
      <c r="A41" s="53"/>
      <c r="B41" s="53"/>
      <c r="C41" s="53"/>
      <c r="D41" s="53"/>
      <c r="E41" s="53"/>
      <c r="F41" s="184"/>
      <c r="G41" s="199"/>
      <c r="H41" s="200" t="str">
        <f>IF(H40=H31,"","oops")</f>
        <v/>
      </c>
      <c r="I41" s="201" t="str">
        <f>IF(ROUND(I40,3)=ROUND(I31,3),"","oops")</f>
        <v/>
      </c>
      <c r="J41" s="200" t="str">
        <f>IF(ROUND(J40,3)=ROUND(J31,3),"","oops")</f>
        <v/>
      </c>
      <c r="K41" s="200" t="str">
        <f>IF(ROUND(K40,3)=ROUND(K31,3),"","oops")</f>
        <v/>
      </c>
      <c r="L41" s="200" t="str">
        <f>IF(ROUND(L40,3)=ROUND(L31,3),"","oops")</f>
        <v/>
      </c>
      <c r="M41" s="200" t="str">
        <f t="shared" ref="M41:N41" si="4">IF(ROUND(M40,3)=ROUND(M31,3),"","oops")</f>
        <v/>
      </c>
      <c r="N41" s="200" t="str">
        <f t="shared" si="4"/>
        <v/>
      </c>
    </row>
    <row r="42" spans="1:14" s="31" customFormat="1" ht="39">
      <c r="A42" s="53"/>
      <c r="B42" s="53"/>
      <c r="C42" s="53"/>
      <c r="D42" s="53"/>
      <c r="E42" s="53"/>
      <c r="F42" s="184"/>
      <c r="G42" s="66" t="s">
        <v>166</v>
      </c>
      <c r="H42" s="67" t="s">
        <v>156</v>
      </c>
      <c r="I42" s="60" t="s">
        <v>676</v>
      </c>
      <c r="J42" s="60" t="s">
        <v>675</v>
      </c>
      <c r="K42" s="60" t="s">
        <v>677</v>
      </c>
      <c r="L42" s="60" t="s">
        <v>677</v>
      </c>
      <c r="M42" s="60" t="s">
        <v>157</v>
      </c>
      <c r="N42" s="60" t="s">
        <v>215</v>
      </c>
    </row>
    <row r="43" spans="1:14" s="31" customFormat="1">
      <c r="A43" s="53"/>
      <c r="B43" s="53"/>
      <c r="C43" s="53"/>
      <c r="D43" s="53"/>
      <c r="E43" s="53"/>
      <c r="F43" s="184"/>
      <c r="G43" s="69" t="s">
        <v>42</v>
      </c>
      <c r="H43" s="4">
        <f>SUMIF('Flint Water Exp &amp; Act Track'!$D$8:$D$353,"PA 143 of 2015",'Flint Water Exp &amp; Act Track'!$T$8:$T$353)</f>
        <v>9350000</v>
      </c>
      <c r="I43" s="4">
        <f>SUMIF('Flint Water Exp &amp; Act Track'!$D$8:$D$353,"PA 143 of 2015",'Flint Water Exp &amp; Act Track'!$K$8:$K$353)</f>
        <v>9267590.0399999991</v>
      </c>
      <c r="J43" s="4">
        <f>SUMIF('Flint Water Exp &amp; Act Track'!$D$8:$D$353,"PA 143 of 2015",'Flint Water Exp &amp; Act Track'!$M$8:$M$353)</f>
        <v>82016.28</v>
      </c>
      <c r="K43" s="4">
        <f>SUMIF('Flint Water Exp &amp; Act Track'!$D$8:$D$353,"PA 143 of 2015",'Flint Water Exp &amp; Act Track'!$O$8:$O$353)</f>
        <v>0</v>
      </c>
      <c r="L43" s="4">
        <f>SUMIF('Flint Water Exp &amp; Act Track'!$D$8:$D$353,"PA 143 of 2015",'Flint Water Exp &amp; Act Track'!$Q$8:$Q$353)</f>
        <v>0</v>
      </c>
      <c r="M43" s="4">
        <f>+N43-J43-I43-K43-L43</f>
        <v>1.862645149230957E-9</v>
      </c>
      <c r="N43" s="4">
        <f>SUMIF('Flint Water Exp &amp; Act Track'!$D$8:$D$353,"PA 143 of 2015",'Flint Water Exp &amp; Act Track'!$R$8:$R$353)</f>
        <v>9349606.3200000003</v>
      </c>
    </row>
    <row r="44" spans="1:14" s="31" customFormat="1">
      <c r="A44" s="53"/>
      <c r="B44" s="53"/>
      <c r="C44" s="53"/>
      <c r="D44" s="53"/>
      <c r="E44" s="53"/>
      <c r="F44" s="184"/>
      <c r="G44" s="69" t="s">
        <v>43</v>
      </c>
      <c r="H44" s="4">
        <f>SUMIF('Flint Water Exp &amp; Act Track'!$D$8:$D$353,"PA 3 of 2016",'Flint Water Exp &amp; Act Track'!$T$8:$T$353)</f>
        <v>27688500</v>
      </c>
      <c r="I44" s="4">
        <f>SUMIF('Flint Water Exp &amp; Act Track'!$D$8:$D$353,"PA 3 of 2016",'Flint Water Exp &amp; Act Track'!$K$8:$K$353)</f>
        <v>15588901.580000002</v>
      </c>
      <c r="J44" s="4">
        <f>SUMIF('Flint Water Exp &amp; Act Track'!$D$8:$D$353,"PA 3 of 2016",'Flint Water Exp &amp; Act Track'!$M$8:$M$353)</f>
        <v>6885060.5</v>
      </c>
      <c r="K44" s="4">
        <f>SUMIF('Flint Water Exp &amp; Act Track'!$D$8:$D$353,"PA 3 of 2016",'Flint Water Exp &amp; Act Track'!$O$8:$O$353)</f>
        <v>2471486.42</v>
      </c>
      <c r="L44" s="4">
        <f>SUMIF('Flint Water Exp &amp; Act Track'!$D$8:$D$353,"PA 3 of 2016",'Flint Water Exp &amp; Act Track'!$Q$8:$Q$353)</f>
        <v>4654.03</v>
      </c>
      <c r="M44" s="4">
        <f t="shared" ref="M44:M59" si="5">+N44-J44-I44-K44-L44</f>
        <v>-4653.8099999956039</v>
      </c>
      <c r="N44" s="4">
        <f>SUMIF('Flint Water Exp &amp; Act Track'!$D$8:$D$353,"PA 3 of 2016",'Flint Water Exp &amp; Act Track'!$R$8:$R$353)</f>
        <v>24945448.720000006</v>
      </c>
    </row>
    <row r="45" spans="1:14" s="31" customFormat="1">
      <c r="A45" s="53"/>
      <c r="B45" s="53"/>
      <c r="C45" s="53"/>
      <c r="D45" s="53"/>
      <c r="E45" s="53"/>
      <c r="F45" s="184"/>
      <c r="G45" s="69" t="s">
        <v>47</v>
      </c>
      <c r="H45" s="4">
        <f>SUMIF('Flint Water Exp &amp; Act Track'!$D$8:$D$353,"PA 24 of 2016",'Flint Water Exp &amp; Act Track'!$T$8:$T$353)</f>
        <v>30000000</v>
      </c>
      <c r="I45" s="4">
        <f>SUMIF('Flint Water Exp &amp; Act Track'!$D$8:$D$353,"PA 24 of 2016",'Flint Water Exp &amp; Act Track'!$K$8:$K$353)</f>
        <v>30000000</v>
      </c>
      <c r="J45" s="4">
        <f>SUMIF('Flint Water Exp &amp; Act Track'!$D$8:$D$353,"PA 24 of 2016",'Flint Water Exp &amp; Act Track'!$M$8:$M$353)</f>
        <v>0</v>
      </c>
      <c r="K45" s="4">
        <f>SUMIF('Flint Water Exp &amp; Act Track'!$D$8:$D$353,"PA 24 of 2016",'Flint Water Exp &amp; Act Track'!$O$8:$O$353)</f>
        <v>0</v>
      </c>
      <c r="L45" s="4">
        <f>SUMIF('Flint Water Exp &amp; Act Track'!$D$8:$D$353,"PA 24 of 2016",'Flint Water Exp &amp; Act Track'!$Q$8:$Q$353)</f>
        <v>0</v>
      </c>
      <c r="M45" s="4">
        <f t="shared" si="5"/>
        <v>0</v>
      </c>
      <c r="N45" s="4">
        <f>SUMIF('Flint Water Exp &amp; Act Track'!$D$8:$D$353,"PA 24 of 2016",'Flint Water Exp &amp; Act Track'!$R$8:$R$353)</f>
        <v>30000000</v>
      </c>
    </row>
    <row r="46" spans="1:14" s="31" customFormat="1">
      <c r="A46" s="53"/>
      <c r="B46" s="53"/>
      <c r="C46" s="53"/>
      <c r="D46" s="53"/>
      <c r="E46" s="53"/>
      <c r="F46" s="184"/>
      <c r="G46" s="69" t="s">
        <v>362</v>
      </c>
      <c r="H46" s="4">
        <f>SUMIF('Flint Water Exp &amp; Act Track'!$D$8:$D$353,"PA 268 of 2016",'Flint Water Exp &amp; Act Track'!$T$8:$T$353)</f>
        <v>140579500</v>
      </c>
      <c r="I46" s="4">
        <f>SUMIF('Flint Water Exp &amp; Act Track'!$D$8:$D$353,"PA 268 of 2016",'Flint Water Exp &amp; Act Track'!$K$8:$K$353)</f>
        <v>10747842.42</v>
      </c>
      <c r="J46" s="4">
        <f>SUMIF('Flint Water Exp &amp; Act Track'!$D$8:$D$353,"PA 268 of 2016",'Flint Water Exp &amp; Act Track'!$M$8:$M$353)</f>
        <v>75828881.289999992</v>
      </c>
      <c r="K46" s="4">
        <f>SUMIF('Flint Water Exp &amp; Act Track'!$D$8:$D$353,"PA 268 of 2016",'Flint Water Exp &amp; Act Track'!$O$8:$O$353)</f>
        <v>19501923.199999992</v>
      </c>
      <c r="L46" s="4">
        <f>SUMIF('Flint Water Exp &amp; Act Track'!$D$8:$D$353,"PA 268 of 2016",'Flint Water Exp &amp; Act Track'!$Q$8:$Q$353)</f>
        <v>3238643.85</v>
      </c>
      <c r="M46" s="4">
        <f t="shared" si="5"/>
        <v>875874.09999999916</v>
      </c>
      <c r="N46" s="4">
        <f>SUMIF('Flint Water Exp &amp; Act Track'!$D$8:$D$353,"PA 268 of 2016",'Flint Water Exp &amp; Act Track'!$R$8:$R$353)</f>
        <v>110193164.85999998</v>
      </c>
    </row>
    <row r="47" spans="1:14" s="31" customFormat="1">
      <c r="A47" s="53"/>
      <c r="B47" s="53"/>
      <c r="C47" s="53"/>
      <c r="D47" s="53"/>
      <c r="E47" s="53"/>
      <c r="F47" s="184"/>
      <c r="G47" s="69" t="s">
        <v>396</v>
      </c>
      <c r="H47" s="4">
        <f>SUMIF('Flint Water Exp &amp; Act Track'!$D$8:$D$353,"PA 249 of 2016",'Flint Water Exp &amp; Act Track'!$T$8:$T$353)</f>
        <v>21830100</v>
      </c>
      <c r="I47" s="4">
        <f>SUMIF('Flint Water Exp &amp; Act Track'!$D$8:$D$353,"PA 249 of 2016",'Flint Water Exp &amp; Act Track'!$K$8:$K$353)</f>
        <v>0</v>
      </c>
      <c r="J47" s="4">
        <f>SUMIF('Flint Water Exp &amp; Act Track'!$D$8:$D$353,"PA 249 of 2016",'Flint Water Exp &amp; Act Track'!$M$8:$M$353)</f>
        <v>19852500</v>
      </c>
      <c r="K47" s="4">
        <f>SUMIF('Flint Water Exp &amp; Act Track'!$D$8:$D$353,"PA 249 of 2016",'Flint Water Exp &amp; Act Track'!$O$8:$O$353)</f>
        <v>812500</v>
      </c>
      <c r="L47" s="4">
        <f>SUMIF('Flint Water Exp &amp; Act Track'!$D$8:$D$353,"PA 249 of 2016",'Flint Water Exp &amp; Act Track'!$Q$8:$Q$353)</f>
        <v>1164300</v>
      </c>
      <c r="M47" s="4">
        <f t="shared" si="5"/>
        <v>0</v>
      </c>
      <c r="N47" s="4">
        <f>SUMIF('Flint Water Exp &amp; Act Track'!$D$8:$D$353,"PA 249 of 2016",'Flint Water Exp &amp; Act Track'!$R$8:$R$353)</f>
        <v>21829300</v>
      </c>
    </row>
    <row r="48" spans="1:14" s="31" customFormat="1">
      <c r="A48" s="53"/>
      <c r="B48" s="53"/>
      <c r="C48" s="53"/>
      <c r="D48" s="53"/>
      <c r="E48" s="53"/>
      <c r="F48" s="184"/>
      <c r="G48" s="69" t="s">
        <v>506</v>
      </c>
      <c r="H48" s="4">
        <f>SUMIF('Flint Water Exp &amp; Act Track'!$D$8:$D$353,"PA 340 of 2016",'Flint Water Exp &amp; Act Track'!$T$8:$T$353)</f>
        <v>13117000</v>
      </c>
      <c r="I48" s="4">
        <f>SUMIF('Flint Water Exp &amp; Act Track'!$D$8:$D$353,"PA 340 of 2016",'Flint Water Exp &amp; Act Track'!$K$8:$K$353)</f>
        <v>476834</v>
      </c>
      <c r="J48" s="4">
        <f>SUMIF('Flint Water Exp &amp; Act Track'!$D$8:$D$353,"PA 340 of 2016",'Flint Water Exp &amp; Act Track'!$M$8:$M$353)</f>
        <v>1673316</v>
      </c>
      <c r="K48" s="4">
        <f>SUMIF('Flint Water Exp &amp; Act Track'!$D$8:$D$353,"PA 340 of 2016",'Flint Water Exp &amp; Act Track'!$O$8:$O$353)</f>
        <v>556938</v>
      </c>
      <c r="L48" s="4">
        <f>SUMIF('Flint Water Exp &amp; Act Track'!$D$8:$D$353,"PA 340 of 2016",'Flint Water Exp &amp; Act Track'!$Q$8:$Q$353)</f>
        <v>100552</v>
      </c>
      <c r="M48" s="4">
        <f t="shared" si="5"/>
        <v>142919</v>
      </c>
      <c r="N48" s="4">
        <f>SUMIF('Flint Water Exp &amp; Act Track'!$D$8:$D$353,"PA 340 of 2016",'Flint Water Exp &amp; Act Track'!$R$8:$R$353)</f>
        <v>2950559</v>
      </c>
    </row>
    <row r="49" spans="1:14" s="31" customFormat="1">
      <c r="A49" s="53"/>
      <c r="B49" s="53"/>
      <c r="C49" s="53"/>
      <c r="D49" s="53"/>
      <c r="E49" s="53"/>
      <c r="F49" s="184"/>
      <c r="G49" s="69" t="s">
        <v>647</v>
      </c>
      <c r="H49" s="4">
        <f>SUMIF('Flint Water Exp &amp; Act Track'!$D$8:$D$353,"PA 107 of 2017",'Flint Water Exp &amp; Act Track'!$T$8:$T$353)</f>
        <v>41642000</v>
      </c>
      <c r="I49" s="4">
        <f>SUMIF('Flint Water Exp &amp; Act Track'!$D$8:$D$353,"PA 107 of 2017",'Flint Water Exp &amp; Act Track'!$K$8:$K$353)</f>
        <v>0</v>
      </c>
      <c r="J49" s="4">
        <f>SUMIF('Flint Water Exp &amp; Act Track'!$D$8:$D$353,"PA 107 of 2017",'Flint Water Exp &amp; Act Track'!$M$8:$M$353)</f>
        <v>7146227</v>
      </c>
      <c r="K49" s="4">
        <f>SUMIF('Flint Water Exp &amp; Act Track'!$D$8:$D$353,"PA 107 of 2017",'Flint Water Exp &amp; Act Track'!$O$8:$O$353)</f>
        <v>20416571.950000003</v>
      </c>
      <c r="L49" s="4">
        <f>SUMIF('Flint Water Exp &amp; Act Track'!$D$8:$D$353,"PA 107 of 2017",'Flint Water Exp &amp; Act Track'!$Q$8:$Q$353)</f>
        <v>1730274.8800000001</v>
      </c>
      <c r="M49" s="4">
        <f t="shared" si="5"/>
        <v>6027048.7099999962</v>
      </c>
      <c r="N49" s="4">
        <f>SUMIF('Flint Water Exp &amp; Act Track'!$D$8:$D$353,"PA 107 of 2017",'Flint Water Exp &amp; Act Track'!$R$8:$R$353)</f>
        <v>35320122.539999999</v>
      </c>
    </row>
    <row r="50" spans="1:14" s="31" customFormat="1">
      <c r="A50" s="53"/>
      <c r="B50" s="53"/>
      <c r="C50" s="53"/>
      <c r="D50" s="53"/>
      <c r="E50" s="53"/>
      <c r="F50" s="184"/>
      <c r="G50" s="69" t="s">
        <v>649</v>
      </c>
      <c r="H50" s="4">
        <f>SUMIF('Flint Water Exp &amp; Act Track'!$D$8:$D$353,"PA 108 of 2017",'Flint Water Exp &amp; Act Track'!$T$8:$T$353)</f>
        <v>8730100</v>
      </c>
      <c r="I50" s="4">
        <f>SUMIF('Flint Water Exp &amp; Act Track'!$D$8:$D$353,"PA 108 of 2017",'Flint Water Exp &amp; Act Track'!$K$8:$K$353)</f>
        <v>0</v>
      </c>
      <c r="J50" s="4">
        <f>SUMIF('Flint Water Exp &amp; Act Track'!$D$8:$D$353,"PA 108 of 2017",'Flint Water Exp &amp; Act Track'!$M$8:$M$353)</f>
        <v>0</v>
      </c>
      <c r="K50" s="4">
        <f>SUMIF('Flint Water Exp &amp; Act Track'!$D$8:$D$353,"PA 108 of 2017",'Flint Water Exp &amp; Act Track'!$O$8:$O$353)</f>
        <v>6032452</v>
      </c>
      <c r="L50" s="4">
        <f>SUMIF('Flint Water Exp &amp; Act Track'!$D$8:$D$353,"PA 108 of 2017",'Flint Water Exp &amp; Act Track'!$Q$8:$Q$353)</f>
        <v>2697548</v>
      </c>
      <c r="M50" s="4">
        <f t="shared" si="5"/>
        <v>0</v>
      </c>
      <c r="N50" s="4">
        <f>SUMIF('Flint Water Exp &amp; Act Track'!$D$8:$D$353,"PA 108 of 2017",'Flint Water Exp &amp; Act Track'!$R$8:$R$353)</f>
        <v>8730000</v>
      </c>
    </row>
    <row r="51" spans="1:14" s="31" customFormat="1">
      <c r="A51" s="53"/>
      <c r="B51" s="53"/>
      <c r="C51" s="53"/>
      <c r="D51" s="53"/>
      <c r="E51" s="53"/>
      <c r="F51" s="184"/>
      <c r="G51" s="69" t="s">
        <v>743</v>
      </c>
      <c r="H51" s="4">
        <f>SUMIF('Flint Water Exp &amp; Act Track'!$D$8:$D$353,"PA 207 of 2018",'Flint Water Exp &amp; Act Track'!$T$8:$T$353)</f>
        <v>25221600</v>
      </c>
      <c r="I51" s="4">
        <f>SUMIF('Flint Water Exp &amp; Act Track'!$D$8:$D$353,"PA 207 of 2018",'Flint Water Exp &amp; Act Track'!$K$8:$K$353)</f>
        <v>0</v>
      </c>
      <c r="J51" s="4">
        <f>SUMIF('Flint Water Exp &amp; Act Track'!$D$8:$D$353,"PA 207 of 2018",'Flint Water Exp &amp; Act Track'!$M$8:$M$353)</f>
        <v>0</v>
      </c>
      <c r="K51" s="4">
        <f>SUMIF('Flint Water Exp &amp; Act Track'!$D$8:$D$353,"PA 207 of 2018",'Flint Water Exp &amp; Act Track'!$O$8:$O$353)</f>
        <v>816690</v>
      </c>
      <c r="L51" s="4">
        <f>SUMIF('Flint Water Exp &amp; Act Track'!$D$8:$D$353,"PA 207 of 2018",'Flint Water Exp &amp; Act Track'!$Q$8:$Q$353)</f>
        <v>15481551.870000003</v>
      </c>
      <c r="M51" s="4">
        <f t="shared" si="5"/>
        <v>5449300.2199999969</v>
      </c>
      <c r="N51" s="4">
        <f>SUMIF('Flint Water Exp &amp; Act Track'!$D$8:$D$353,"PA 207 of 2018",'Flint Water Exp &amp; Act Track'!$R$8:$R$353)</f>
        <v>21747542.09</v>
      </c>
    </row>
    <row r="52" spans="1:14" s="31" customFormat="1">
      <c r="A52" s="53"/>
      <c r="B52" s="53"/>
      <c r="C52" s="53"/>
      <c r="D52" s="53"/>
      <c r="E52" s="53"/>
      <c r="F52" s="184"/>
      <c r="G52" s="69" t="s">
        <v>866</v>
      </c>
      <c r="H52" s="4">
        <f>SUMIF('Flint Water Exp &amp; Act Track'!$D$8:$D$353,"PA 265 of 2018",'Flint Water Exp &amp; Act Track'!$T$8:$T$353)</f>
        <v>7369700</v>
      </c>
      <c r="I52" s="4">
        <f>SUMIF('Flint Water Exp &amp; Act Track'!$D$8:$D$353,"PA 265 of 2018",'Flint Water Exp &amp; Act Track'!$K$8:$K$353)</f>
        <v>0</v>
      </c>
      <c r="J52" s="4">
        <f>SUMIF('Flint Water Exp &amp; Act Track'!$D$8:$D$353,"PA 265 of 2018",'Flint Water Exp &amp; Act Track'!$M$8:$M$353)</f>
        <v>0</v>
      </c>
      <c r="K52" s="4">
        <f>SUMIF('Flint Water Exp &amp; Act Track'!$D$8:$D$353,"PA 265 of 2018",'Flint Water Exp &amp; Act Track'!$O$8:$O$353)</f>
        <v>0</v>
      </c>
      <c r="L52" s="4">
        <f>SUMIF('Flint Water Exp &amp; Act Track'!$D$8:$D$353,"PA 265 of 2018",'Flint Water Exp &amp; Act Track'!$Q$8:$Q$353)</f>
        <v>6450299</v>
      </c>
      <c r="M52" s="4">
        <f t="shared" si="5"/>
        <v>0</v>
      </c>
      <c r="N52" s="4">
        <f>SUMIF('Flint Water Exp &amp; Act Track'!$D$8:$D$353,"PA 265 of 2018",'Flint Water Exp &amp; Act Track'!$R$8:$R$353)</f>
        <v>6450299</v>
      </c>
    </row>
    <row r="53" spans="1:14" s="31" customFormat="1">
      <c r="A53" s="53"/>
      <c r="B53" s="53"/>
      <c r="C53" s="53"/>
      <c r="D53" s="53"/>
      <c r="E53" s="53"/>
      <c r="F53" s="184"/>
      <c r="G53" s="69" t="s">
        <v>353</v>
      </c>
      <c r="H53" s="4">
        <f>SUMIF('Flint Water Exp &amp; Act Track'!$D$8:$D$353,"DECF",'Flint Water Exp &amp; Act Track'!$T$8:$T$353)</f>
        <v>0</v>
      </c>
      <c r="I53" s="4">
        <f>SUMIF('Flint Water Exp &amp; Act Track'!$D$8:$D$353,"DECF",'Flint Water Exp &amp; Act Track'!$K$8:$K$353)</f>
        <v>1906631.3599999992</v>
      </c>
      <c r="J53" s="4">
        <f>SUMIF('Flint Water Exp &amp; Act Track'!$D$8:$D$353,"DECF",'Flint Water Exp &amp; Act Track'!$M$8:$M$353)</f>
        <v>1065269.8699999999</v>
      </c>
      <c r="K53" s="4">
        <f>SUMIF('Flint Water Exp &amp; Act Track'!$D$8:$D$353,"DECF",'Flint Water Exp &amp; Act Track'!$O$8:$O$353)</f>
        <v>21789.49</v>
      </c>
      <c r="L53" s="4">
        <f>SUMIF('Flint Water Exp &amp; Act Track'!$D$8:$D$353,"DECF",'Flint Water Exp &amp; Act Track'!$Q$8:$Q$353)</f>
        <v>65005.33</v>
      </c>
      <c r="M53" s="4">
        <f t="shared" si="5"/>
        <v>-1.7462298274040222E-10</v>
      </c>
      <c r="N53" s="4">
        <f>SUMIF('Flint Water Exp &amp; Act Track'!$D$8:$D$353,"DECF",'Flint Water Exp &amp; Act Track'!$R$8:$R$353)</f>
        <v>3058696.0499999989</v>
      </c>
    </row>
    <row r="54" spans="1:14" s="31" customFormat="1">
      <c r="A54" s="53"/>
      <c r="B54" s="53"/>
      <c r="C54" s="53"/>
      <c r="D54" s="53"/>
      <c r="E54" s="53"/>
      <c r="F54" s="184"/>
      <c r="G54" s="69" t="s">
        <v>587</v>
      </c>
      <c r="H54" s="4">
        <f>SUMIF('Flint Water Exp &amp; Act Track'!$D$8:$D$353,"Ay16 work project",'Flint Water Exp &amp; Act Track'!$T$8:$T$353)</f>
        <v>0</v>
      </c>
      <c r="I54" s="4">
        <f>SUMIF('Flint Water Exp &amp; Act Track'!$D$8:$D$353,"Ay16 work project",'Flint Water Exp &amp; Act Track'!$K$8:$K$353)</f>
        <v>0</v>
      </c>
      <c r="J54" s="4">
        <f>SUMIF('Flint Water Exp &amp; Act Track'!$D$8:$D$353,"Ay16 work project",'Flint Water Exp &amp; Act Track'!$M$8:$M$353)</f>
        <v>284199.82999999996</v>
      </c>
      <c r="K54" s="4">
        <f>SUMIF('Flint Water Exp &amp; Act Track'!$D$8:$D$353,"Ay16 work project",'Flint Water Exp &amp; Act Track'!$O$8:$O$353)</f>
        <v>8315</v>
      </c>
      <c r="L54" s="4">
        <f>SUMIF('Flint Water Exp &amp; Act Track'!$D$8:$D$353,"Ay16 work project",'Flint Water Exp &amp; Act Track'!$Q$8:$Q$353)</f>
        <v>187716.34</v>
      </c>
      <c r="M54" s="4">
        <f t="shared" si="5"/>
        <v>24899.999999999971</v>
      </c>
      <c r="N54" s="4">
        <f>SUMIF('Flint Water Exp &amp; Act Track'!$D$8:$D$353,"Ay16 work project",'Flint Water Exp &amp; Act Track'!$R$8:$R$353)</f>
        <v>505131.16999999993</v>
      </c>
    </row>
    <row r="55" spans="1:14" s="31" customFormat="1">
      <c r="A55" s="53"/>
      <c r="B55" s="53"/>
      <c r="C55" s="53"/>
      <c r="D55" s="53"/>
      <c r="E55" s="53"/>
      <c r="F55" s="184"/>
      <c r="G55" s="69" t="s">
        <v>167</v>
      </c>
      <c r="H55" s="4">
        <f>SUMIF('Flint Water Exp &amp; Act Track'!$D$8:$D$353,"Ay15 work project",'Flint Water Exp &amp; Act Track'!$T$8:$T$353)</f>
        <v>0</v>
      </c>
      <c r="I55" s="4">
        <f>SUMIF('Flint Water Exp &amp; Act Track'!$D$8:$D$353,"Ay15 work project",'Flint Water Exp &amp; Act Track'!$K$8:$K$353)</f>
        <v>1137055</v>
      </c>
      <c r="J55" s="4">
        <f>SUMIF('Flint Water Exp &amp; Act Track'!$D$8:$D$353,"Ay15 work project",'Flint Water Exp &amp; Act Track'!$M$8:$M$353)</f>
        <v>0</v>
      </c>
      <c r="K55" s="4">
        <f>SUMIF('Flint Water Exp &amp; Act Track'!$D$8:$D$353,"Ay15 work project",'Flint Water Exp &amp; Act Track'!$O$8:$O$353)</f>
        <v>0</v>
      </c>
      <c r="L55" s="4">
        <f>SUMIF('Flint Water Exp &amp; Act Track'!$D$8:$D$353,"Ay15 work project",'Flint Water Exp &amp; Act Track'!$Q$8:$Q$353)</f>
        <v>0</v>
      </c>
      <c r="M55" s="4">
        <f t="shared" si="5"/>
        <v>0</v>
      </c>
      <c r="N55" s="4">
        <f>SUMIF('Flint Water Exp &amp; Act Track'!$D$8:$D$353,"Ay15 work project",'Flint Water Exp &amp; Act Track'!$R$8:$R$353)</f>
        <v>1137055</v>
      </c>
    </row>
    <row r="56" spans="1:14" s="31" customFormat="1">
      <c r="A56" s="53"/>
      <c r="B56" s="53"/>
      <c r="C56" s="53"/>
      <c r="D56" s="53"/>
      <c r="E56" s="53"/>
      <c r="F56" s="184"/>
      <c r="G56" s="69" t="s">
        <v>358</v>
      </c>
      <c r="H56" s="4">
        <f>SUMIF('Flint Water Exp &amp; Act Track'!$D$8:$D$353,"Ay13 work project",'Flint Water Exp &amp; Act Track'!$T$8:$T$353)</f>
        <v>0</v>
      </c>
      <c r="I56" s="4">
        <f>SUMIF('Flint Water Exp &amp; Act Track'!$D$8:$D$353,"Ay13 work project",'Flint Water Exp &amp; Act Track'!$K$8:$K$353)</f>
        <v>229571</v>
      </c>
      <c r="J56" s="4">
        <f>SUMIF('Flint Water Exp &amp; Act Track'!$D$8:$D$353,"Ay13 work project",'Flint Water Exp &amp; Act Track'!$M$8:$M$353)</f>
        <v>138903.19</v>
      </c>
      <c r="K56" s="4">
        <f>SUMIF('Flint Water Exp &amp; Act Track'!$D$8:$D$353,"Ay13 work project",'Flint Water Exp &amp; Act Track'!$O$8:$O$353)</f>
        <v>0</v>
      </c>
      <c r="L56" s="4">
        <f>SUMIF('Flint Water Exp &amp; Act Track'!$D$8:$D$353,"Ay13 work project",'Flint Water Exp &amp; Act Track'!$Q$8:$Q$353)</f>
        <v>0</v>
      </c>
      <c r="M56" s="4">
        <f t="shared" si="5"/>
        <v>25130.000000000058</v>
      </c>
      <c r="N56" s="4">
        <f>SUMIF('Flint Water Exp &amp; Act Track'!$D$8:$D$353,"Ay13 work project",'Flint Water Exp &amp; Act Track'!$R$8:$R$353)</f>
        <v>393604.19000000006</v>
      </c>
    </row>
    <row r="57" spans="1:14" s="31" customFormat="1">
      <c r="A57" s="53"/>
      <c r="B57" s="53"/>
      <c r="C57" s="53"/>
      <c r="D57" s="53"/>
      <c r="E57" s="53"/>
      <c r="F57" s="184"/>
      <c r="G57" s="69" t="s">
        <v>706</v>
      </c>
      <c r="H57" s="4">
        <f>SUMIF('Flint Water Exp &amp; Act Track'!$D$8:$D$353,"AY17 work project",'Flint Water Exp &amp; Act Track'!$T$8:$T$353)</f>
        <v>0</v>
      </c>
      <c r="I57" s="4">
        <f>SUMIF('Flint Water Exp &amp; Act Track'!$D$8:$D$353,"AY17 work project",'Flint Water Exp &amp; Act Track'!$K$8:$K$353)</f>
        <v>0</v>
      </c>
      <c r="J57" s="4">
        <f>SUMIF('Flint Water Exp &amp; Act Track'!$D$8:$D$353,"AY17 work project",'Flint Water Exp &amp; Act Track'!$M$8:$M$353)</f>
        <v>233464.16</v>
      </c>
      <c r="K57" s="4">
        <f>SUMIF('Flint Water Exp &amp; Act Track'!$D$8:$D$353,"AY17 work project",'Flint Water Exp &amp; Act Track'!$O$8:$O$353)</f>
        <v>385020.28</v>
      </c>
      <c r="L57" s="4">
        <f>SUMIF('Flint Water Exp &amp; Act Track'!$D$8:$D$353,"AY17 work project",'Flint Water Exp &amp; Act Track'!$Q$8:$Q$353)</f>
        <v>288329.59000000003</v>
      </c>
      <c r="M57" s="4">
        <f t="shared" si="5"/>
        <v>0</v>
      </c>
      <c r="N57" s="4">
        <f>SUMIF('Flint Water Exp &amp; Act Track'!$D$8:$D$353,"AY17 work project",'Flint Water Exp &amp; Act Track'!$R$8:$R$353)</f>
        <v>906814.03000000014</v>
      </c>
    </row>
    <row r="58" spans="1:14" s="31" customFormat="1">
      <c r="A58" s="53"/>
      <c r="B58" s="53"/>
      <c r="C58" s="53"/>
      <c r="D58" s="53"/>
      <c r="E58" s="53"/>
      <c r="F58" s="184"/>
      <c r="G58" s="69" t="s">
        <v>19</v>
      </c>
      <c r="H58" s="4">
        <f>SUMIF('Flint Water Exp &amp; Act Track'!$D$8:$D$353,"Current Approps",'Flint Water Exp &amp; Act Track'!$T$8:$T$353)</f>
        <v>4470600</v>
      </c>
      <c r="I58" s="4">
        <f>SUMIF('Flint Water Exp &amp; Act Track'!$D$8:$D$353,"Current Approps",'Flint Water Exp &amp; Act Track'!$K$8:$K$353)</f>
        <v>29952590.649437502</v>
      </c>
      <c r="J58" s="4">
        <f>SUMIF('Flint Water Exp &amp; Act Track'!$D$8:$D$353,"Current Approps",'Flint Water Exp &amp; Act Track'!$M$8:$M$353)</f>
        <v>23787775.93</v>
      </c>
      <c r="K58" s="4">
        <f>SUMIF('Flint Water Exp &amp; Act Track'!$D$8:$D$353,"Current Approps",'Flint Water Exp &amp; Act Track'!$O$8:$O$353)</f>
        <v>14819138.699999999</v>
      </c>
      <c r="L58" s="4">
        <f>SUMIF('Flint Water Exp &amp; Act Track'!$D$8:$D$353,"Current Approps",'Flint Water Exp &amp; Act Track'!$Q$8:$Q$353)</f>
        <v>24185485.689999998</v>
      </c>
      <c r="M58" s="4">
        <f t="shared" si="5"/>
        <v>10429651.199999988</v>
      </c>
      <c r="N58" s="4">
        <f>SUMIF('Flint Water Exp &amp; Act Track'!$D$8:$D$353,"Current Approps",'Flint Water Exp &amp; Act Track'!$R$8:$R$353)</f>
        <v>103174642.1694375</v>
      </c>
    </row>
    <row r="59" spans="1:14" s="31" customFormat="1">
      <c r="A59" s="53"/>
      <c r="B59" s="53"/>
      <c r="C59" s="53"/>
      <c r="D59" s="53"/>
      <c r="E59" s="53"/>
      <c r="F59" s="184"/>
      <c r="G59" s="69" t="s">
        <v>174</v>
      </c>
      <c r="H59" s="4">
        <f>SUMIF('Flint Water Exp &amp; Act Track'!$D$8:$D$353,"Component Unit",'Flint Water Exp &amp; Act Track'!$T$8:$T$353)</f>
        <v>0</v>
      </c>
      <c r="I59" s="4">
        <f>SUMIF('Flint Water Exp &amp; Act Track'!$D$8:$D$353,"Component Unit",'Flint Water Exp &amp; Act Track'!$K$8:$K$353)</f>
        <v>1680012</v>
      </c>
      <c r="J59" s="4">
        <f>SUMIF('Flint Water Exp &amp; Act Track'!$D$8:$D$353,"Component Unit",'Flint Water Exp &amp; Act Track'!$M$8:$M$353)</f>
        <v>4098029.79</v>
      </c>
      <c r="K59" s="4">
        <f>SUMIF('Flint Water Exp &amp; Act Track'!$D$8:$D$353,"Component Unit",'Flint Water Exp &amp; Act Track'!$O$8:$O$353)</f>
        <v>2994</v>
      </c>
      <c r="L59" s="4">
        <f>SUMIF('Flint Water Exp &amp; Act Track'!$D$8:$D$353,"Component Unit",'Flint Water Exp &amp; Act Track'!$Q$8:$Q$353)</f>
        <v>0</v>
      </c>
      <c r="M59" s="4">
        <f t="shared" si="5"/>
        <v>3199999.9999999991</v>
      </c>
      <c r="N59" s="4">
        <f>SUMIF('Flint Water Exp &amp; Act Track'!$D$8:$D$353,"Component Unit",'Flint Water Exp &amp; Act Track'!$R$8:$R$353)</f>
        <v>8981035.7899999991</v>
      </c>
    </row>
    <row r="60" spans="1:14" s="31" customFormat="1">
      <c r="A60" s="53"/>
      <c r="B60" s="53"/>
      <c r="C60" s="53"/>
      <c r="D60" s="53"/>
      <c r="E60" s="53"/>
      <c r="F60" s="184"/>
      <c r="G60" s="70" t="s">
        <v>158</v>
      </c>
      <c r="H60" s="5">
        <f t="shared" ref="H60:N60" si="6">SUM(H43:H59)</f>
        <v>329999100</v>
      </c>
      <c r="I60" s="5">
        <f t="shared" si="6"/>
        <v>100987028.04943751</v>
      </c>
      <c r="J60" s="5">
        <f t="shared" si="6"/>
        <v>141075643.83999997</v>
      </c>
      <c r="K60" s="5">
        <f t="shared" si="6"/>
        <v>65845819.039999992</v>
      </c>
      <c r="L60" s="5">
        <f t="shared" si="6"/>
        <v>55594360.579999998</v>
      </c>
      <c r="M60" s="5">
        <f t="shared" si="6"/>
        <v>26170169.419999987</v>
      </c>
      <c r="N60" s="5">
        <f t="shared" si="6"/>
        <v>389673020.92943746</v>
      </c>
    </row>
    <row r="61" spans="1:14" s="31" customFormat="1">
      <c r="A61" s="53"/>
      <c r="B61" s="53"/>
      <c r="C61" s="53"/>
      <c r="D61" s="53"/>
      <c r="E61" s="53"/>
      <c r="F61" s="184"/>
      <c r="G61" s="10"/>
      <c r="H61" s="202" t="str">
        <f>IF(ROUND(H60,2)=ROUND(H40,2),"","oops")</f>
        <v/>
      </c>
      <c r="I61" s="202" t="str">
        <f>IF(ROUND(I60,2)=ROUND(I40,2),"","oops")</f>
        <v/>
      </c>
      <c r="J61" s="202" t="str">
        <f t="shared" ref="J61:N61" si="7">IF(ROUND(J60,2)=ROUND(J40,2),"","oops")</f>
        <v/>
      </c>
      <c r="K61" s="202" t="str">
        <f t="shared" si="7"/>
        <v/>
      </c>
      <c r="L61" s="202" t="str">
        <f t="shared" si="7"/>
        <v/>
      </c>
      <c r="M61" s="202" t="str">
        <f t="shared" si="7"/>
        <v/>
      </c>
      <c r="N61" s="202" t="str">
        <f t="shared" si="7"/>
        <v/>
      </c>
    </row>
    <row r="62" spans="1:14" s="31" customFormat="1">
      <c r="A62" s="53"/>
      <c r="B62" s="53"/>
      <c r="C62" s="53"/>
      <c r="D62" s="53"/>
      <c r="E62" s="53"/>
      <c r="F62" s="184"/>
      <c r="G62" s="53"/>
      <c r="H62" s="53"/>
      <c r="I62" s="203"/>
      <c r="M62" s="10"/>
      <c r="N62" s="73"/>
    </row>
    <row r="63" spans="1:14" s="31" customFormat="1">
      <c r="A63" s="53"/>
      <c r="B63" s="53"/>
      <c r="C63" s="53"/>
      <c r="D63" s="53"/>
      <c r="E63" s="53"/>
      <c r="F63" s="184"/>
      <c r="G63" s="53"/>
      <c r="H63" s="53"/>
      <c r="I63" s="203"/>
      <c r="M63" s="53"/>
      <c r="N63" s="52"/>
    </row>
    <row r="64" spans="1:14" s="31" customFormat="1">
      <c r="A64" s="53"/>
      <c r="B64" s="53"/>
      <c r="C64" s="53"/>
      <c r="D64" s="53"/>
      <c r="E64" s="53"/>
      <c r="F64" s="184"/>
      <c r="G64" s="53"/>
      <c r="H64" s="52"/>
      <c r="I64" s="204"/>
      <c r="J64" s="52"/>
      <c r="K64" s="52"/>
      <c r="L64" s="52"/>
      <c r="M64" s="52"/>
      <c r="N64" s="52"/>
    </row>
    <row r="65" spans="1:14" s="31" customFormat="1">
      <c r="A65" s="53"/>
      <c r="B65" s="53"/>
      <c r="C65" s="53"/>
      <c r="D65" s="53"/>
      <c r="E65" s="53"/>
      <c r="F65" s="184"/>
      <c r="G65" s="53"/>
      <c r="H65" s="53"/>
      <c r="I65" s="55"/>
      <c r="M65" s="53"/>
      <c r="N65" s="53"/>
    </row>
    <row r="66" spans="1:14" s="31" customFormat="1">
      <c r="A66" s="53"/>
      <c r="B66" s="53"/>
      <c r="C66" s="53"/>
      <c r="D66" s="53"/>
      <c r="E66" s="53"/>
      <c r="F66" s="184"/>
      <c r="G66" s="53"/>
      <c r="H66" s="53"/>
      <c r="I66" s="55"/>
      <c r="J66" s="53"/>
      <c r="K66" s="53"/>
      <c r="L66" s="53"/>
      <c r="M66" s="53"/>
      <c r="N66" s="53"/>
    </row>
  </sheetData>
  <printOptions horizontalCentered="1"/>
  <pageMargins left="0" right="0" top="0.75" bottom="0.75" header="0.3" footer="0.3"/>
  <pageSetup paperSize="5" fitToHeight="0" orientation="landscape" r:id="rId1"/>
  <headerFooter>
    <oddFooter>&amp;L&amp;8&amp;D  &amp;T&amp;C&amp;8&amp;P  of  &amp;N</oddFooter>
  </headerFooter>
  <rowBreaks count="1" manualBreakCount="1">
    <brk id="41" max="1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5"/>
  <sheetViews>
    <sheetView topLeftCell="A28" workbookViewId="0">
      <selection activeCell="S40" sqref="S40"/>
    </sheetView>
  </sheetViews>
  <sheetFormatPr defaultRowHeight="15"/>
  <cols>
    <col min="1" max="1" width="33.42578125" bestFit="1" customWidth="1"/>
    <col min="2" max="2" width="12.7109375" style="13" customWidth="1"/>
    <col min="3" max="3" width="16.85546875" style="13" customWidth="1"/>
  </cols>
  <sheetData>
    <row r="1" spans="1:3" ht="45">
      <c r="A1" s="17" t="s">
        <v>164</v>
      </c>
      <c r="B1" s="18" t="s">
        <v>156</v>
      </c>
      <c r="C1" s="19" t="s">
        <v>45</v>
      </c>
    </row>
    <row r="2" spans="1:3">
      <c r="A2" t="s">
        <v>235</v>
      </c>
      <c r="B2" s="14">
        <f>+'Flint Water Exp &amp; Act Track'!I383</f>
        <v>0</v>
      </c>
      <c r="C2" s="14">
        <f>+'spend by department and outcome'!P90</f>
        <v>66415139</v>
      </c>
    </row>
    <row r="3" spans="1:3">
      <c r="A3" t="s">
        <v>183</v>
      </c>
      <c r="B3" s="14">
        <f>+'Flint Water Exp &amp; Act Track'!I384</f>
        <v>31519200</v>
      </c>
      <c r="C3" s="14">
        <f>+'spend by department and outcome'!P50</f>
        <v>26396654</v>
      </c>
    </row>
    <row r="4" spans="1:3">
      <c r="A4" t="s">
        <v>212</v>
      </c>
      <c r="B4" s="14">
        <f>+'Flint Water Exp &amp; Act Track'!I385</f>
        <v>30435600</v>
      </c>
      <c r="C4" s="14">
        <f>+'spend by department and outcome'!P78</f>
        <v>46842916</v>
      </c>
    </row>
    <row r="5" spans="1:3">
      <c r="A5" t="s">
        <v>487</v>
      </c>
      <c r="B5" s="14">
        <f>+'Flint Water Exp &amp; Act Track'!I386</f>
        <v>84962400</v>
      </c>
      <c r="C5" s="14">
        <f>+'spend by department and outcome'!P66</f>
        <v>63396604</v>
      </c>
    </row>
    <row r="6" spans="1:3">
      <c r="A6" t="s">
        <v>182</v>
      </c>
      <c r="B6" s="14">
        <f>+'Flint Water Exp &amp; Act Track'!I387</f>
        <v>140331900</v>
      </c>
      <c r="C6" s="14">
        <f>+'spend by department and outcome'!P40</f>
        <v>144883863</v>
      </c>
    </row>
    <row r="7" spans="1:3">
      <c r="A7" t="s">
        <v>41</v>
      </c>
      <c r="B7" s="25">
        <f>+'Flint Water Exp &amp; Act Track'!I388</f>
        <v>42750000</v>
      </c>
      <c r="C7" s="25">
        <f>+'spend by department and outcome'!P84</f>
        <v>41737844</v>
      </c>
    </row>
    <row r="8" spans="1:3" s="23" customFormat="1">
      <c r="A8" s="23" t="s">
        <v>158</v>
      </c>
      <c r="B8" s="22">
        <f>SUM(B2:B7)</f>
        <v>329999100</v>
      </c>
      <c r="C8" s="22">
        <f>SUM(C2:C7)</f>
        <v>389673020</v>
      </c>
    </row>
    <row r="10" spans="1:3" ht="45">
      <c r="A10" s="17" t="s">
        <v>155</v>
      </c>
      <c r="B10" s="18" t="s">
        <v>156</v>
      </c>
      <c r="C10" s="19" t="s">
        <v>45</v>
      </c>
    </row>
    <row r="11" spans="1:3">
      <c r="A11" s="15" t="s">
        <v>15</v>
      </c>
      <c r="B11" s="16">
        <f>+'Flint Water Exp &amp; Act Track'!I358</f>
        <v>100</v>
      </c>
      <c r="C11" s="172">
        <f>+'overall spend by department'!N5</f>
        <v>464917</v>
      </c>
    </row>
    <row r="12" spans="1:3">
      <c r="A12" s="15" t="s">
        <v>426</v>
      </c>
      <c r="B12" s="16">
        <f>+'Flint Water Exp &amp; Act Track'!I359</f>
        <v>9100000</v>
      </c>
      <c r="C12" s="173">
        <f>+'overall spend by department'!N7</f>
        <v>11036309</v>
      </c>
    </row>
    <row r="13" spans="1:3">
      <c r="A13" s="15" t="s">
        <v>159</v>
      </c>
      <c r="B13" s="16">
        <f>+'Flint Water Exp &amp; Act Track'!I360</f>
        <v>0</v>
      </c>
      <c r="C13" s="173">
        <f>+'overall spend by department'!N9</f>
        <v>48107</v>
      </c>
    </row>
    <row r="14" spans="1:3">
      <c r="A14" s="15" t="s">
        <v>489</v>
      </c>
      <c r="B14" s="16">
        <f>+'Flint Water Exp &amp; Act Track'!I361</f>
        <v>0</v>
      </c>
      <c r="C14" s="173">
        <f>+'overall spend by department'!N11</f>
        <v>1731680</v>
      </c>
    </row>
    <row r="15" spans="1:3">
      <c r="A15" s="15" t="s">
        <v>161</v>
      </c>
      <c r="B15" s="16">
        <f>+'Flint Water Exp &amp; Act Track'!I362</f>
        <v>36335300</v>
      </c>
      <c r="C15" s="173">
        <f>+'overall spend by department'!N13</f>
        <v>21052490</v>
      </c>
    </row>
    <row r="16" spans="1:3">
      <c r="A16" s="15" t="s">
        <v>29</v>
      </c>
      <c r="B16" s="16">
        <f>+'Flint Water Exp &amp; Act Track'!I363</f>
        <v>79953800</v>
      </c>
      <c r="C16" s="173">
        <f>+'overall spend by department'!N15</f>
        <v>82802641</v>
      </c>
    </row>
    <row r="17" spans="1:16">
      <c r="A17" s="15" t="s">
        <v>30</v>
      </c>
      <c r="B17" s="16">
        <f>+'Flint Water Exp &amp; Act Track'!I364</f>
        <v>77868500</v>
      </c>
      <c r="C17" s="173">
        <f>+'overall spend by department'!N17</f>
        <v>78232028</v>
      </c>
    </row>
    <row r="18" spans="1:16">
      <c r="A18" s="15" t="s">
        <v>46</v>
      </c>
      <c r="B18" s="16">
        <f>+'Flint Water Exp &amp; Act Track'!I365</f>
        <v>0</v>
      </c>
      <c r="C18" s="173">
        <f>+'overall spend by department'!N19</f>
        <v>5659</v>
      </c>
    </row>
    <row r="19" spans="1:16">
      <c r="A19" s="15" t="s">
        <v>32</v>
      </c>
      <c r="B19" s="16">
        <f>+'Flint Water Exp &amp; Act Track'!I366</f>
        <v>1860000</v>
      </c>
      <c r="C19" s="173">
        <f>+'overall spend by department'!N21</f>
        <v>1859605</v>
      </c>
    </row>
    <row r="20" spans="1:16">
      <c r="A20" s="15" t="s">
        <v>33</v>
      </c>
      <c r="B20" s="16">
        <f>+'Flint Water Exp &amp; Act Track'!I367</f>
        <v>2500000</v>
      </c>
      <c r="C20" s="173">
        <f>+'overall spend by department'!N23</f>
        <v>2541945</v>
      </c>
    </row>
    <row r="21" spans="1:16">
      <c r="A21" s="15" t="s">
        <v>34</v>
      </c>
      <c r="B21" s="16">
        <f>+'Flint Water Exp &amp; Act Track'!I368</f>
        <v>250000</v>
      </c>
      <c r="C21" s="173">
        <f>+'overall spend by department'!N25</f>
        <v>253389</v>
      </c>
    </row>
    <row r="22" spans="1:16">
      <c r="A22" s="15" t="s">
        <v>395</v>
      </c>
      <c r="B22" s="16">
        <f>+'Flint Water Exp &amp; Act Track'!I369</f>
        <v>37929900</v>
      </c>
      <c r="C22" s="173">
        <f>+'overall spend by department'!N27</f>
        <v>37009599</v>
      </c>
    </row>
    <row r="23" spans="1:16">
      <c r="A23" s="15" t="s">
        <v>162</v>
      </c>
      <c r="B23" s="16">
        <f>+'Flint Water Exp &amp; Act Track'!I370</f>
        <v>0</v>
      </c>
      <c r="C23" s="173">
        <f>+'overall spend by department'!N29</f>
        <v>3131</v>
      </c>
    </row>
    <row r="24" spans="1:16">
      <c r="A24" s="15" t="s">
        <v>36</v>
      </c>
      <c r="B24" s="16">
        <f>+'Flint Water Exp &amp; Act Track'!I371</f>
        <v>10008100</v>
      </c>
      <c r="C24" s="173">
        <f>+'overall spend by department'!N31</f>
        <v>11575839</v>
      </c>
    </row>
    <row r="25" spans="1:16">
      <c r="A25" s="15" t="s">
        <v>143</v>
      </c>
      <c r="B25" s="16">
        <f>+'Flint Water Exp &amp; Act Track'!I372+'Flint Water Exp &amp; Act Track'!I373+'Flint Water Exp &amp; Act Track'!I374+'Flint Water Exp &amp; Act Track'!I375</f>
        <v>100</v>
      </c>
      <c r="C25" s="173">
        <f>+'overall spend by department'!N33</f>
        <v>66455615</v>
      </c>
    </row>
    <row r="26" spans="1:16">
      <c r="A26" s="15" t="s">
        <v>37</v>
      </c>
      <c r="B26" s="16">
        <f>+'Flint Water Exp &amp; Act Track'!I376</f>
        <v>500100</v>
      </c>
      <c r="C26" s="173">
        <f>+'overall spend by department'!N35</f>
        <v>5673159</v>
      </c>
    </row>
    <row r="27" spans="1:16">
      <c r="A27" s="15" t="s">
        <v>38</v>
      </c>
      <c r="B27" s="16">
        <f>+'Flint Water Exp &amp; Act Track'!I377</f>
        <v>0</v>
      </c>
      <c r="C27" s="173">
        <f>+'overall spend by department'!N37</f>
        <v>694135</v>
      </c>
    </row>
    <row r="28" spans="1:16">
      <c r="A28" s="15" t="s">
        <v>39</v>
      </c>
      <c r="B28" s="26">
        <f>+'Flint Water Exp &amp; Act Track'!I378+'Flint Water Exp &amp; Act Track'!I379</f>
        <v>73693200</v>
      </c>
      <c r="C28" s="26">
        <f>+'overall spend by department'!N39</f>
        <v>68232772</v>
      </c>
    </row>
    <row r="29" spans="1:16" s="23" customFormat="1">
      <c r="A29" s="24" t="s">
        <v>158</v>
      </c>
      <c r="B29" s="22">
        <f>SUM(B11:B28)</f>
        <v>329999100</v>
      </c>
      <c r="C29" s="22">
        <f>SUM(C11:C28)</f>
        <v>389673020</v>
      </c>
    </row>
    <row r="31" spans="1:16" ht="45">
      <c r="A31" s="20" t="s">
        <v>488</v>
      </c>
      <c r="B31" s="18" t="s">
        <v>156</v>
      </c>
      <c r="C31" s="19" t="s">
        <v>45</v>
      </c>
      <c r="P31" t="s">
        <v>137</v>
      </c>
    </row>
    <row r="32" spans="1:16">
      <c r="A32" s="1" t="s">
        <v>42</v>
      </c>
      <c r="B32" s="14">
        <f>+'Flint Water Exp &amp; Act Track'!I392</f>
        <v>9350000</v>
      </c>
      <c r="C32" s="14">
        <f>+'Flint Water Exp &amp; Act Track'!R392</f>
        <v>9349606.3200000003</v>
      </c>
    </row>
    <row r="33" spans="1:11">
      <c r="A33" s="1" t="s">
        <v>43</v>
      </c>
      <c r="B33" s="14">
        <f>+'Flint Water Exp &amp; Act Track'!I393</f>
        <v>27688500</v>
      </c>
      <c r="C33" s="14">
        <f>+'Flint Water Exp &amp; Act Track'!R393</f>
        <v>24945448.720000006</v>
      </c>
    </row>
    <row r="34" spans="1:11">
      <c r="A34" s="1" t="s">
        <v>47</v>
      </c>
      <c r="B34" s="14">
        <f>+'Flint Water Exp &amp; Act Track'!I394</f>
        <v>30000000</v>
      </c>
      <c r="C34" s="14">
        <f>+'Flint Water Exp &amp; Act Track'!R394</f>
        <v>30000000</v>
      </c>
    </row>
    <row r="35" spans="1:11">
      <c r="A35" s="1" t="s">
        <v>362</v>
      </c>
      <c r="B35" s="14">
        <f>+'Flint Water Exp &amp; Act Track'!I395</f>
        <v>140579500</v>
      </c>
      <c r="C35" s="14">
        <f>+'Flint Water Exp &amp; Act Track'!R395</f>
        <v>110193164.85999998</v>
      </c>
    </row>
    <row r="36" spans="1:11">
      <c r="A36" s="1" t="s">
        <v>396</v>
      </c>
      <c r="B36" s="14">
        <f>+'Flint Water Exp &amp; Act Track'!I396</f>
        <v>21830100</v>
      </c>
      <c r="C36" s="14">
        <f>+'Flint Water Exp &amp; Act Track'!R396</f>
        <v>21829300</v>
      </c>
    </row>
    <row r="37" spans="1:11" s="12" customFormat="1">
      <c r="A37" s="1" t="s">
        <v>506</v>
      </c>
      <c r="B37" s="14">
        <f>+'Flint Water Exp &amp; Act Track'!I397</f>
        <v>13117000</v>
      </c>
      <c r="C37" s="14">
        <f>+'Flint Water Exp &amp; Act Track'!R397</f>
        <v>2950559</v>
      </c>
    </row>
    <row r="38" spans="1:11" s="12" customFormat="1">
      <c r="A38" s="1" t="s">
        <v>647</v>
      </c>
      <c r="B38" s="14">
        <f>+'Flint Water Exp &amp; Act Track'!I398</f>
        <v>41642000</v>
      </c>
      <c r="C38" s="14">
        <f>+'Flint Water Exp &amp; Act Track'!R398</f>
        <v>35320122.539999999</v>
      </c>
    </row>
    <row r="39" spans="1:11" s="12" customFormat="1">
      <c r="A39" s="1" t="s">
        <v>649</v>
      </c>
      <c r="B39" s="14">
        <f>+'Flint Water Exp &amp; Act Track'!I399</f>
        <v>8730100</v>
      </c>
      <c r="C39" s="14">
        <f>+'Flint Water Exp &amp; Act Track'!R399</f>
        <v>8730000</v>
      </c>
    </row>
    <row r="40" spans="1:11" s="12" customFormat="1">
      <c r="A40" s="1" t="s">
        <v>866</v>
      </c>
      <c r="B40" s="14">
        <f>+'Flint Water Exp &amp; Act Track'!I401</f>
        <v>7369700</v>
      </c>
      <c r="C40" s="14">
        <f>+'Flint Water Exp &amp; Act Track'!R401</f>
        <v>6450299</v>
      </c>
    </row>
    <row r="41" spans="1:11" s="12" customFormat="1">
      <c r="A41" s="1" t="s">
        <v>743</v>
      </c>
      <c r="B41" s="14">
        <f>+'Flint Water Exp &amp; Act Track'!I400</f>
        <v>25221600</v>
      </c>
      <c r="C41" s="14">
        <f>+'Flint Water Exp &amp; Act Track'!R400</f>
        <v>21747542.09</v>
      </c>
    </row>
    <row r="42" spans="1:11">
      <c r="A42" s="1" t="s">
        <v>19</v>
      </c>
      <c r="B42" s="14">
        <f>+'Flint Water Exp &amp; Act Track'!I402+'Flint Water Exp &amp; Act Track'!I404+'Flint Water Exp &amp; Act Track'!I405+'Flint Water Exp &amp; Act Track'!I407</f>
        <v>4470600</v>
      </c>
      <c r="C42" s="14">
        <f>+'Flint Water Exp &amp; Act Track'!R402+'Flint Water Exp &amp; Act Track'!R403+'Flint Water Exp &amp; Act Track'!R404+'Flint Water Exp &amp; Act Track'!R405+'Flint Water Exp &amp; Act Track'!R407+'Flint Water Exp &amp; Act Track'!R406</f>
        <v>109175942.6094375</v>
      </c>
    </row>
    <row r="43" spans="1:11">
      <c r="A43" s="1" t="s">
        <v>174</v>
      </c>
      <c r="B43" s="25">
        <f>+'Flint Water Exp &amp; Act Track'!I408</f>
        <v>0</v>
      </c>
      <c r="C43" s="25">
        <f>+'Flint Water Exp &amp; Act Track'!R408</f>
        <v>8981035.7899999991</v>
      </c>
    </row>
    <row r="44" spans="1:11" s="23" customFormat="1">
      <c r="A44" s="21" t="s">
        <v>158</v>
      </c>
      <c r="B44" s="22">
        <f>SUM(B32:B43)</f>
        <v>329999100</v>
      </c>
      <c r="C44" s="22">
        <f>SUM(C32:C43)</f>
        <v>389673020.92943746</v>
      </c>
    </row>
    <row r="46" spans="1:11">
      <c r="K46" t="s">
        <v>137</v>
      </c>
    </row>
    <row r="48" spans="1:11">
      <c r="A48" s="12" t="s">
        <v>156</v>
      </c>
      <c r="B48" s="174">
        <f>+'overall spend by category'!B17</f>
        <v>329999100</v>
      </c>
    </row>
    <row r="49" spans="1:2">
      <c r="A49" s="12" t="s">
        <v>571</v>
      </c>
      <c r="B49" s="174">
        <f>+'overall spend by category'!C17+'overall spend by category'!F17+'overall spend by category'!G17</f>
        <v>373594242.68943751</v>
      </c>
    </row>
    <row r="50" spans="1:2">
      <c r="A50" s="12" t="s">
        <v>572</v>
      </c>
      <c r="B50" s="174">
        <f>+'overall spend by category'!D17</f>
        <v>16078778.420000017</v>
      </c>
    </row>
    <row r="51" spans="1:2">
      <c r="A51" s="12" t="s">
        <v>573</v>
      </c>
      <c r="B51" s="174">
        <f>+B48-SUM('spend by department and outcome'!D92:M92)</f>
        <v>58483059</v>
      </c>
    </row>
    <row r="52" spans="1:2">
      <c r="A52" s="12" t="s">
        <v>574</v>
      </c>
      <c r="B52" s="175">
        <f>+B51/B48</f>
        <v>0.1772218742414752</v>
      </c>
    </row>
    <row r="53" spans="1:2">
      <c r="B53" s="176"/>
    </row>
    <row r="55" spans="1:2">
      <c r="B55" s="176"/>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overall spend by category</vt:lpstr>
      <vt:lpstr>overall spend by department</vt:lpstr>
      <vt:lpstr>spend by department and outcome</vt:lpstr>
      <vt:lpstr>Flint Water Exp &amp; Act Track</vt:lpstr>
      <vt:lpstr>summary</vt:lpstr>
      <vt:lpstr>graph data</vt:lpstr>
      <vt:lpstr>'Flint Water Exp &amp; Act Track'!Print_Area</vt:lpstr>
      <vt:lpstr>'overall spend by category'!Print_Area</vt:lpstr>
      <vt:lpstr>'overall spend by department'!Print_Area</vt:lpstr>
      <vt:lpstr>'spend by department and outcome'!Print_Area</vt:lpstr>
      <vt:lpstr>summary!Print_Area</vt:lpstr>
      <vt:lpstr>'Flint Water Exp &amp; Act Track'!Print_Titles</vt:lpstr>
      <vt:lpstr>'spend by department and outcome'!Print_Titles</vt:lpstr>
      <vt:lpstr>summary!Print_Titles</vt:lpstr>
      <vt:lpstr>'Flint Water Exp &amp; Act Track'!Purchase_of_bottled_water__faucet_filters__and_water_mounts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2019-07-25T20:15:06Z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ativeLinkConverted">
    <vt:bool>true</vt:bool>
  </property>
</Properties>
</file>