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9615" windowHeight="12090"/>
  </bookViews>
  <sheets>
    <sheet name="Instructions A-D" sheetId="1" r:id="rId1"/>
    <sheet name="Data Entry" sheetId="2" r:id="rId2"/>
    <sheet name="Revenues" sheetId="3" r:id="rId3"/>
    <sheet name="Expenditures" sheetId="7" r:id="rId4"/>
    <sheet name="Compensation" sheetId="4" r:id="rId5"/>
    <sheet name="Equity &amp; Reserves" sheetId="5" r:id="rId6"/>
    <sheet name="Debt" sheetId="6" r:id="rId7"/>
    <sheet name="Pensions and OPEB" sheetId="8" r:id="rId8"/>
    <sheet name="Budget Gap" sheetId="11" r:id="rId9"/>
  </sheets>
  <calcPr calcId="125725"/>
</workbook>
</file>

<file path=xl/calcChain.xml><?xml version="1.0" encoding="utf-8"?>
<calcChain xmlns="http://schemas.openxmlformats.org/spreadsheetml/2006/main">
  <c r="A12" i="6"/>
  <c r="K5"/>
  <c r="A7" i="4"/>
  <c r="K8" i="6"/>
  <c r="K7"/>
  <c r="K6"/>
  <c r="G18" i="11" l="1"/>
  <c r="D62"/>
  <c r="E62"/>
  <c r="F62"/>
  <c r="G62"/>
  <c r="H62"/>
  <c r="I62"/>
  <c r="J62"/>
  <c r="K62"/>
  <c r="D63"/>
  <c r="E63"/>
  <c r="F63"/>
  <c r="G63"/>
  <c r="H63"/>
  <c r="I63"/>
  <c r="J63"/>
  <c r="K63"/>
  <c r="C63"/>
  <c r="C62"/>
  <c r="H8" i="6" l="1"/>
  <c r="A18" i="11" l="1"/>
  <c r="J9" i="6"/>
  <c r="D8" i="11"/>
  <c r="E8"/>
  <c r="F8"/>
  <c r="G8"/>
  <c r="H8"/>
  <c r="I8"/>
  <c r="J8"/>
  <c r="K8"/>
  <c r="C8"/>
  <c r="D7"/>
  <c r="E7"/>
  <c r="F7"/>
  <c r="G7"/>
  <c r="H7"/>
  <c r="I7"/>
  <c r="J7"/>
  <c r="K7"/>
  <c r="C7"/>
  <c r="D5"/>
  <c r="E5"/>
  <c r="F5"/>
  <c r="G5"/>
  <c r="H5"/>
  <c r="I5"/>
  <c r="J5"/>
  <c r="K5"/>
  <c r="C5"/>
  <c r="D4"/>
  <c r="D6" s="1"/>
  <c r="D9" s="1"/>
  <c r="E4"/>
  <c r="F4"/>
  <c r="F6" s="1"/>
  <c r="G4"/>
  <c r="G6" s="1"/>
  <c r="H4"/>
  <c r="H6" s="1"/>
  <c r="H9" s="1"/>
  <c r="I4"/>
  <c r="J4"/>
  <c r="J6" s="1"/>
  <c r="K4"/>
  <c r="K6" s="1"/>
  <c r="C4"/>
  <c r="C6" s="1"/>
  <c r="C9" s="1"/>
  <c r="A2"/>
  <c r="J25" i="8"/>
  <c r="J24"/>
  <c r="I2"/>
  <c r="B25"/>
  <c r="B24"/>
  <c r="A2"/>
  <c r="A43" i="5"/>
  <c r="A19"/>
  <c r="I6" i="11" l="1"/>
  <c r="I9" s="1"/>
  <c r="I10" s="1"/>
  <c r="E6"/>
  <c r="E9" s="1"/>
  <c r="E10" s="1"/>
  <c r="J9"/>
  <c r="J10" s="1"/>
  <c r="F9"/>
  <c r="I11"/>
  <c r="E11"/>
  <c r="C11"/>
  <c r="C10"/>
  <c r="H11"/>
  <c r="H10"/>
  <c r="F11"/>
  <c r="F10"/>
  <c r="D11"/>
  <c r="D10"/>
  <c r="K9"/>
  <c r="G9"/>
  <c r="A2" i="3"/>
  <c r="H9" i="6"/>
  <c r="J11" i="11" l="1"/>
  <c r="G11"/>
  <c r="G10"/>
  <c r="K11"/>
  <c r="K10"/>
  <c r="H10" i="6"/>
  <c r="B7"/>
  <c r="E7"/>
  <c r="K9" s="1"/>
  <c r="E5"/>
  <c r="E4"/>
  <c r="B5"/>
  <c r="B4"/>
  <c r="A2" i="7"/>
  <c r="E2"/>
  <c r="D80"/>
  <c r="C80"/>
  <c r="B80"/>
  <c r="F2" i="3"/>
  <c r="B4" i="7"/>
  <c r="F14" i="5"/>
  <c r="F13"/>
  <c r="F8"/>
  <c r="F7"/>
  <c r="F5"/>
  <c r="F4"/>
  <c r="B14"/>
  <c r="B13"/>
  <c r="B8"/>
  <c r="B7"/>
  <c r="B5"/>
  <c r="B4"/>
  <c r="M104" i="2"/>
  <c r="L104"/>
  <c r="K104"/>
  <c r="J104"/>
  <c r="I104"/>
  <c r="H104"/>
  <c r="G104"/>
  <c r="F104"/>
  <c r="E104"/>
  <c r="D104"/>
  <c r="B104"/>
  <c r="F10" i="5" s="1"/>
  <c r="D88" i="2"/>
  <c r="E88"/>
  <c r="F88"/>
  <c r="G88"/>
  <c r="H88"/>
  <c r="I88"/>
  <c r="J88"/>
  <c r="K88"/>
  <c r="L88"/>
  <c r="M88"/>
  <c r="B88"/>
  <c r="C86" i="3"/>
  <c r="D86"/>
  <c r="B86"/>
  <c r="E7" i="4"/>
  <c r="C7"/>
  <c r="B7"/>
  <c r="F6"/>
  <c r="F4"/>
  <c r="D5"/>
  <c r="F5" s="1"/>
  <c r="E67" i="2"/>
  <c r="F67" s="1"/>
  <c r="G67" s="1"/>
  <c r="H67" s="1"/>
  <c r="I67" s="1"/>
  <c r="J67" s="1"/>
  <c r="K67" s="1"/>
  <c r="L67" s="1"/>
  <c r="M67" s="1"/>
  <c r="E65"/>
  <c r="F65" s="1"/>
  <c r="G65" s="1"/>
  <c r="H65" s="1"/>
  <c r="I65" s="1"/>
  <c r="J65" s="1"/>
  <c r="K65" s="1"/>
  <c r="L65" s="1"/>
  <c r="M65" s="1"/>
  <c r="B22" i="5" l="1"/>
  <c r="B21"/>
  <c r="H4" i="6"/>
  <c r="F15" i="5"/>
  <c r="B15"/>
  <c r="B10" s="1"/>
  <c r="G5"/>
  <c r="G8"/>
  <c r="G4"/>
  <c r="G7"/>
  <c r="G10"/>
  <c r="B28"/>
  <c r="B27"/>
  <c r="D7" i="4"/>
  <c r="F7" s="1"/>
  <c r="B81" i="3"/>
  <c r="C88"/>
  <c r="D88"/>
  <c r="B88"/>
  <c r="C73"/>
  <c r="D73"/>
  <c r="B73"/>
  <c r="C81"/>
  <c r="D81"/>
  <c r="C7" i="5" l="1"/>
  <c r="C4"/>
  <c r="C8"/>
  <c r="C5"/>
  <c r="B29"/>
  <c r="C22" s="1"/>
  <c r="C10"/>
  <c r="B24"/>
  <c r="D34" i="2"/>
  <c r="B34"/>
  <c r="B36"/>
  <c r="B29"/>
  <c r="E58"/>
  <c r="F58" s="1"/>
  <c r="G58" s="1"/>
  <c r="H58" s="1"/>
  <c r="I58" s="1"/>
  <c r="J58" s="1"/>
  <c r="K58" s="1"/>
  <c r="L58" s="1"/>
  <c r="M58" s="1"/>
  <c r="E56"/>
  <c r="F56" s="1"/>
  <c r="G56" s="1"/>
  <c r="H56" s="1"/>
  <c r="I56" s="1"/>
  <c r="J56" s="1"/>
  <c r="K56" s="1"/>
  <c r="L56" s="1"/>
  <c r="M56" s="1"/>
  <c r="E54"/>
  <c r="F54" s="1"/>
  <c r="G54" s="1"/>
  <c r="H54" s="1"/>
  <c r="I54" s="1"/>
  <c r="J54" s="1"/>
  <c r="K54" s="1"/>
  <c r="L54" s="1"/>
  <c r="M54" s="1"/>
  <c r="E53"/>
  <c r="F53" s="1"/>
  <c r="G53" s="1"/>
  <c r="H53" s="1"/>
  <c r="I53" s="1"/>
  <c r="J53" s="1"/>
  <c r="K53" s="1"/>
  <c r="L53" s="1"/>
  <c r="M53" s="1"/>
  <c r="E52"/>
  <c r="F52" s="1"/>
  <c r="G52" s="1"/>
  <c r="H52" s="1"/>
  <c r="I52" s="1"/>
  <c r="J52" s="1"/>
  <c r="K52" s="1"/>
  <c r="L52" s="1"/>
  <c r="M52" s="1"/>
  <c r="E49"/>
  <c r="F49" s="1"/>
  <c r="G49" s="1"/>
  <c r="H49" s="1"/>
  <c r="I49" s="1"/>
  <c r="J49" s="1"/>
  <c r="K49" s="1"/>
  <c r="L49" s="1"/>
  <c r="M49" s="1"/>
  <c r="E48"/>
  <c r="F48" s="1"/>
  <c r="G48" s="1"/>
  <c r="H48" s="1"/>
  <c r="I48" s="1"/>
  <c r="J48" s="1"/>
  <c r="K48" s="1"/>
  <c r="L48" s="1"/>
  <c r="M48" s="1"/>
  <c r="E47"/>
  <c r="F47" s="1"/>
  <c r="G47" s="1"/>
  <c r="H47" s="1"/>
  <c r="I47" s="1"/>
  <c r="J47" s="1"/>
  <c r="K47" s="1"/>
  <c r="L47" s="1"/>
  <c r="M47" s="1"/>
  <c r="E44"/>
  <c r="F44" s="1"/>
  <c r="G44" s="1"/>
  <c r="H44" s="1"/>
  <c r="I44" s="1"/>
  <c r="J44" s="1"/>
  <c r="K44" s="1"/>
  <c r="L44" s="1"/>
  <c r="M44" s="1"/>
  <c r="E42"/>
  <c r="F42" s="1"/>
  <c r="G42" s="1"/>
  <c r="E33"/>
  <c r="F33" s="1"/>
  <c r="G33" s="1"/>
  <c r="H33" s="1"/>
  <c r="I33" s="1"/>
  <c r="J33" s="1"/>
  <c r="K33" s="1"/>
  <c r="L33" s="1"/>
  <c r="M33" s="1"/>
  <c r="E31"/>
  <c r="F31" s="1"/>
  <c r="G31" s="1"/>
  <c r="H31" s="1"/>
  <c r="I31" s="1"/>
  <c r="J31" s="1"/>
  <c r="K31" s="1"/>
  <c r="L31" s="1"/>
  <c r="M31" s="1"/>
  <c r="E28"/>
  <c r="F28" s="1"/>
  <c r="G28" s="1"/>
  <c r="H28" s="1"/>
  <c r="I28" s="1"/>
  <c r="J28" s="1"/>
  <c r="K28" s="1"/>
  <c r="L28" s="1"/>
  <c r="M28" s="1"/>
  <c r="D26"/>
  <c r="E26" s="1"/>
  <c r="E25"/>
  <c r="F25" s="1"/>
  <c r="G25" s="1"/>
  <c r="H25" s="1"/>
  <c r="I25" s="1"/>
  <c r="J25" s="1"/>
  <c r="K25" s="1"/>
  <c r="L25" s="1"/>
  <c r="M25" s="1"/>
  <c r="E24"/>
  <c r="F24" s="1"/>
  <c r="G24" s="1"/>
  <c r="H24" s="1"/>
  <c r="I24" s="1"/>
  <c r="J24" s="1"/>
  <c r="K24" s="1"/>
  <c r="L24" s="1"/>
  <c r="M24" s="1"/>
  <c r="D23"/>
  <c r="E23" s="1"/>
  <c r="F23" s="1"/>
  <c r="E19"/>
  <c r="F19" s="1"/>
  <c r="E15"/>
  <c r="F15" s="1"/>
  <c r="G15" s="1"/>
  <c r="E14"/>
  <c r="F14" s="1"/>
  <c r="G14" s="1"/>
  <c r="H14" s="1"/>
  <c r="D138"/>
  <c r="E138"/>
  <c r="F138"/>
  <c r="G138"/>
  <c r="H138"/>
  <c r="I138"/>
  <c r="J138"/>
  <c r="K138"/>
  <c r="L138"/>
  <c r="M138"/>
  <c r="D134"/>
  <c r="E134"/>
  <c r="F134"/>
  <c r="G134"/>
  <c r="H134"/>
  <c r="I134"/>
  <c r="J134"/>
  <c r="K134"/>
  <c r="L134"/>
  <c r="M134"/>
  <c r="D129"/>
  <c r="E129"/>
  <c r="F129"/>
  <c r="G129"/>
  <c r="H129"/>
  <c r="I129"/>
  <c r="J129"/>
  <c r="K129"/>
  <c r="L129"/>
  <c r="M129"/>
  <c r="D125"/>
  <c r="E125"/>
  <c r="F125"/>
  <c r="G125"/>
  <c r="H125"/>
  <c r="I125"/>
  <c r="J125"/>
  <c r="K125"/>
  <c r="L125"/>
  <c r="M125"/>
  <c r="D69"/>
  <c r="D71" s="1"/>
  <c r="E69"/>
  <c r="E71" s="1"/>
  <c r="F69"/>
  <c r="F71" s="1"/>
  <c r="G69"/>
  <c r="G71" s="1"/>
  <c r="H69"/>
  <c r="H71" s="1"/>
  <c r="I69"/>
  <c r="I71" s="1"/>
  <c r="J69"/>
  <c r="J71" s="1"/>
  <c r="K69"/>
  <c r="K71" s="1"/>
  <c r="L69"/>
  <c r="L71" s="1"/>
  <c r="M69"/>
  <c r="M71" s="1"/>
  <c r="D60"/>
  <c r="E60"/>
  <c r="D21"/>
  <c r="E21"/>
  <c r="D36"/>
  <c r="B138"/>
  <c r="B134"/>
  <c r="B129"/>
  <c r="B125"/>
  <c r="B69"/>
  <c r="B71" s="1"/>
  <c r="B60"/>
  <c r="B21"/>
  <c r="L8" i="11" l="1"/>
  <c r="K27" i="8"/>
  <c r="C27"/>
  <c r="L7" i="11"/>
  <c r="L5"/>
  <c r="B16" i="5"/>
  <c r="B30"/>
  <c r="L4" i="11"/>
  <c r="H3" i="6"/>
  <c r="C21" i="5"/>
  <c r="C24"/>
  <c r="M34" i="2"/>
  <c r="D29"/>
  <c r="L34"/>
  <c r="J34"/>
  <c r="H34"/>
  <c r="F34"/>
  <c r="E29"/>
  <c r="K34"/>
  <c r="I34"/>
  <c r="G34"/>
  <c r="E34"/>
  <c r="F26"/>
  <c r="G26" s="1"/>
  <c r="H26" s="1"/>
  <c r="I26" s="1"/>
  <c r="J26" s="1"/>
  <c r="K26" s="1"/>
  <c r="L26" s="1"/>
  <c r="M26" s="1"/>
  <c r="E36"/>
  <c r="G19"/>
  <c r="F21"/>
  <c r="F60"/>
  <c r="H42"/>
  <c r="G60"/>
  <c r="G23"/>
  <c r="G36"/>
  <c r="H15"/>
  <c r="I15" s="1"/>
  <c r="J15" s="1"/>
  <c r="K15" s="1"/>
  <c r="L15" s="1"/>
  <c r="M15" s="1"/>
  <c r="I14"/>
  <c r="D21" i="5" l="1"/>
  <c r="D22"/>
  <c r="D24"/>
  <c r="D43" s="1"/>
  <c r="L6" i="11"/>
  <c r="L9"/>
  <c r="C14"/>
  <c r="G29" i="2"/>
  <c r="F29"/>
  <c r="H23"/>
  <c r="H29" s="1"/>
  <c r="F36"/>
  <c r="H19"/>
  <c r="G21"/>
  <c r="I42"/>
  <c r="H60"/>
  <c r="J14"/>
  <c r="L10" i="11" l="1"/>
  <c r="L11"/>
  <c r="C15"/>
  <c r="I23" i="2"/>
  <c r="I29" s="1"/>
  <c r="H21"/>
  <c r="H36"/>
  <c r="I19"/>
  <c r="J42"/>
  <c r="I60"/>
  <c r="K14"/>
  <c r="J23" l="1"/>
  <c r="J29" s="1"/>
  <c r="J19"/>
  <c r="I36"/>
  <c r="I21"/>
  <c r="K42"/>
  <c r="J60"/>
  <c r="L14"/>
  <c r="K23" l="1"/>
  <c r="K29" s="1"/>
  <c r="J21"/>
  <c r="K19"/>
  <c r="J36"/>
  <c r="L42"/>
  <c r="K60"/>
  <c r="M14"/>
  <c r="L23" l="1"/>
  <c r="L29" s="1"/>
  <c r="K36"/>
  <c r="K21"/>
  <c r="L19"/>
  <c r="M42"/>
  <c r="M60" s="1"/>
  <c r="L60"/>
  <c r="M23" l="1"/>
  <c r="M29" s="1"/>
  <c r="L21"/>
  <c r="L36"/>
  <c r="M19"/>
  <c r="M21" l="1"/>
  <c r="M36"/>
</calcChain>
</file>

<file path=xl/sharedStrings.xml><?xml version="1.0" encoding="utf-8"?>
<sst xmlns="http://schemas.openxmlformats.org/spreadsheetml/2006/main" count="340" uniqueCount="251">
  <si>
    <t>Data for My Local Government</t>
  </si>
  <si>
    <t>Basic Information</t>
  </si>
  <si>
    <t>Municipality Name:</t>
  </si>
  <si>
    <t>County:</t>
  </si>
  <si>
    <t>Revenue</t>
  </si>
  <si>
    <t>TOTAL TAX REVENUE:</t>
  </si>
  <si>
    <t>Federal contributions:</t>
  </si>
  <si>
    <t>State contributions:</t>
  </si>
  <si>
    <t>Type (county, township, city, village):</t>
  </si>
  <si>
    <t>CURRENT YEAR</t>
  </si>
  <si>
    <t>Utilities (water, electric, transit):</t>
  </si>
  <si>
    <t>Utilities (water, electric, and transit):</t>
  </si>
  <si>
    <t>Hospitals:</t>
  </si>
  <si>
    <t>TOTAL REVENUE FROM SERVICES:</t>
  </si>
  <si>
    <t>TOTAL REVENUE:</t>
  </si>
  <si>
    <t>Expenditures</t>
  </si>
  <si>
    <t>Corrections:</t>
  </si>
  <si>
    <t>Transportation (streets, highways, airports):</t>
  </si>
  <si>
    <t>Parks and recreation:</t>
  </si>
  <si>
    <t>Other expenditures:</t>
  </si>
  <si>
    <t>Licenses and permits:</t>
  </si>
  <si>
    <t>Contributions from other local gov'ts:</t>
  </si>
  <si>
    <t>Personal income tax:</t>
  </si>
  <si>
    <t>Property taxes:</t>
  </si>
  <si>
    <t>Other taxes:</t>
  </si>
  <si>
    <t>Sewerage and trash collection:</t>
  </si>
  <si>
    <t>Other services (parking, airports, housing, etc.):</t>
  </si>
  <si>
    <t>Interest and investment income:</t>
  </si>
  <si>
    <t>Other revenues:</t>
  </si>
  <si>
    <t>Community and economic development:</t>
  </si>
  <si>
    <t>TOTAL EXPENDITURES:</t>
  </si>
  <si>
    <t>Debt service:</t>
  </si>
  <si>
    <t>General government:</t>
  </si>
  <si>
    <t>Public safety (police, fire, inspections):</t>
  </si>
  <si>
    <t>Sewerage and sanitation:</t>
  </si>
  <si>
    <t>Health and hospitals:</t>
  </si>
  <si>
    <t>Welfare, or human services:</t>
  </si>
  <si>
    <t>Environment, parks, and recreation:</t>
  </si>
  <si>
    <t>Personnel</t>
  </si>
  <si>
    <t>Total employees (fire, police, admin):</t>
  </si>
  <si>
    <t>Total wages:</t>
  </si>
  <si>
    <t>Total benefits:</t>
  </si>
  <si>
    <t>TOTAL COMPENSATION:</t>
  </si>
  <si>
    <t>AVERAGE COMPENSATION:</t>
  </si>
  <si>
    <t>Fund Positions</t>
  </si>
  <si>
    <t>End of CURRENT YEAR</t>
  </si>
  <si>
    <t>GENERAL FUND</t>
  </si>
  <si>
    <t>Other funds payable:</t>
  </si>
  <si>
    <t>Long-term debt:</t>
  </si>
  <si>
    <t>GENERAL FUND EQUITY:</t>
  </si>
  <si>
    <t>Pensions and Other Post-Employment Benefits</t>
  </si>
  <si>
    <t>Debt</t>
  </si>
  <si>
    <t>Short-term debt issued:</t>
  </si>
  <si>
    <t>Short-term debt repaid:</t>
  </si>
  <si>
    <t>Long-term debt issued:</t>
  </si>
  <si>
    <t>Long-term debt repaid:</t>
  </si>
  <si>
    <t>(if applicable)</t>
  </si>
  <si>
    <t>Actuarial Accrued Liability:</t>
  </si>
  <si>
    <t>Actuarial Value of Assets:</t>
  </si>
  <si>
    <t>UNFUNDED ACTUARIAL ACCRUED LIABILITY (UAAL):</t>
  </si>
  <si>
    <t>PENSIONS</t>
  </si>
  <si>
    <t>Contributions to Pensions:</t>
  </si>
  <si>
    <t>Annual Cost to Fully Fund:</t>
  </si>
  <si>
    <t>% OF FULL FUNDING CONTRIBUTED:</t>
  </si>
  <si>
    <t>OPEB</t>
  </si>
  <si>
    <t>Receivables from other funds:</t>
  </si>
  <si>
    <t>Note: Do not list capital outlays separately. Include any capital expenditure in category to which capital applies.  Do not include expenditures by discretely-presented component units.</t>
  </si>
  <si>
    <t>Note: Do not include revenues for discretely-presented component units.</t>
  </si>
  <si>
    <t>TOTAL OTHER REVENUES:</t>
  </si>
  <si>
    <t>County</t>
  </si>
  <si>
    <t>Township</t>
  </si>
  <si>
    <t>City/Village</t>
  </si>
  <si>
    <r>
      <t>Licenses and permits</t>
    </r>
    <r>
      <rPr>
        <vertAlign val="superscript"/>
        <sz val="8"/>
        <color theme="1"/>
        <rFont val="Calibri"/>
        <family val="2"/>
        <scheme val="minor"/>
      </rPr>
      <t>1</t>
    </r>
    <r>
      <rPr>
        <sz val="8"/>
        <color theme="1"/>
        <rFont val="Calibri"/>
        <family val="2"/>
        <scheme val="minor"/>
      </rPr>
      <t>:</t>
    </r>
  </si>
  <si>
    <t>1  "Licenses and permits not listed in Census of Governments, used "Other Charges"</t>
  </si>
  <si>
    <t>Interest on debt:</t>
  </si>
  <si>
    <t>Average Employee Compensation in Michigan</t>
  </si>
  <si>
    <t>Wages</t>
  </si>
  <si>
    <t>Benefits</t>
  </si>
  <si>
    <t>Total Compensation</t>
  </si>
  <si>
    <t>Total Employment</t>
  </si>
  <si>
    <t>Avg. Compensation</t>
  </si>
  <si>
    <t>Private Sector, 2009</t>
  </si>
  <si>
    <t>State Government, 2009</t>
  </si>
  <si>
    <t>Local Governments, 2009</t>
  </si>
  <si>
    <t>n/a</t>
  </si>
  <si>
    <t>Average Employee Compensation in Michigan, Historical</t>
  </si>
  <si>
    <t>Private Employment</t>
  </si>
  <si>
    <t>State Government</t>
  </si>
  <si>
    <t>Local Governments</t>
  </si>
  <si>
    <t>Employee pensions:</t>
  </si>
  <si>
    <t>General Fund Status</t>
  </si>
  <si>
    <t>Current accounts payable:</t>
  </si>
  <si>
    <t>General Fund total assets:</t>
  </si>
  <si>
    <t>General Fund total liabilities</t>
  </si>
  <si>
    <t>General Fund cash balance:</t>
  </si>
  <si>
    <t>Long-term debt outstanding, end of year:</t>
  </si>
  <si>
    <t>ALL OTHER FUNDS EQUITY:</t>
  </si>
  <si>
    <t>ALL OTHER FUNDS</t>
  </si>
  <si>
    <t>(exclude discretely presented component units)</t>
  </si>
  <si>
    <t>All other funds' cash balance:</t>
  </si>
  <si>
    <t>All other funds' total assets:</t>
  </si>
  <si>
    <t>All other funds' total liabilities</t>
  </si>
  <si>
    <t>All other funds' cash on hand</t>
  </si>
  <si>
    <t>General Fund cash on-hand</t>
  </si>
  <si>
    <t>Cash Balance</t>
  </si>
  <si>
    <t>Cash On-hand</t>
  </si>
  <si>
    <t>Payables to other funds:</t>
  </si>
  <si>
    <t>Owed to Other Funds</t>
  </si>
  <si>
    <t>Owed by Other Funds</t>
  </si>
  <si>
    <t>Total Assets</t>
  </si>
  <si>
    <t>Total Liabilities</t>
  </si>
  <si>
    <t>Net Equity</t>
  </si>
  <si>
    <t>Available Reserves</t>
  </si>
  <si>
    <t>(funds not restricted or designated)</t>
  </si>
  <si>
    <t>% of Net Equity</t>
  </si>
  <si>
    <t>General Fund Reserved or Designated Funds:</t>
  </si>
  <si>
    <t>All other funds' Reserved or Designated Funds:</t>
  </si>
  <si>
    <t>% of Expenditures</t>
  </si>
  <si>
    <t>Total Annual Expenditures</t>
  </si>
  <si>
    <t>Avg. Revenues for Other Municipalities in Michigan, 2007</t>
  </si>
  <si>
    <t>Avg. Revenues, Different Types of Local Gov., 2006-2007</t>
  </si>
  <si>
    <t>Revenue source</t>
  </si>
  <si>
    <t>Avg. Expenditures, Different Types of Local Gov., 2006-2007</t>
  </si>
  <si>
    <t>Avg. Expenditures for Other Municipalities in Michigan, 2007</t>
  </si>
  <si>
    <t>Short-Term Debt</t>
  </si>
  <si>
    <t>Issued</t>
  </si>
  <si>
    <t>Repaid</t>
  </si>
  <si>
    <t>Outstanding</t>
  </si>
  <si>
    <t>Long-Term Debt</t>
  </si>
  <si>
    <t>(end of current fiscal year)</t>
  </si>
  <si>
    <t>All Other Funds Status</t>
  </si>
  <si>
    <t>Annual Revenue</t>
  </si>
  <si>
    <t>Past 5 Years</t>
  </si>
  <si>
    <t>Past 10 Years</t>
  </si>
  <si>
    <t>Short-term debt outstanding, end of year:</t>
  </si>
  <si>
    <t>State of Michigan</t>
  </si>
  <si>
    <t>Michigan Schools</t>
  </si>
  <si>
    <t>1)</t>
  </si>
  <si>
    <t>2)</t>
  </si>
  <si>
    <t>Last Year</t>
  </si>
  <si>
    <t>Last 5 Years</t>
  </si>
  <si>
    <t>Total Unfunded Pension Liabilities</t>
  </si>
  <si>
    <t>Total Unfunded OPEB Liabilities</t>
  </si>
  <si>
    <t>Contributions to OPEB:</t>
  </si>
  <si>
    <t>Population:</t>
  </si>
  <si>
    <t>Debt Per Capita</t>
  </si>
  <si>
    <t>Deficit</t>
  </si>
  <si>
    <t>Revenues</t>
  </si>
  <si>
    <t>-</t>
  </si>
  <si>
    <t>Expenses</t>
  </si>
  <si>
    <t>New Unfunded Pension Liabilities</t>
  </si>
  <si>
    <t>New Unfunded OPEB Liabilities</t>
  </si>
  <si>
    <t>BUDGET GAP</t>
  </si>
  <si>
    <t>PER CAPITA BUDGET GAP</t>
  </si>
  <si>
    <t>Total Cumulative Budget Gap, 2001-2010</t>
  </si>
  <si>
    <t>Total Cumulative Deficit, 2001-2010</t>
  </si>
  <si>
    <t>Outstanding Debt as Percent of….</t>
  </si>
  <si>
    <t>Debt per Capita in Michigan</t>
  </si>
  <si>
    <t>Cities/Villages</t>
  </si>
  <si>
    <t>Counties</t>
  </si>
  <si>
    <t>Townships</t>
  </si>
  <si>
    <t>Percent of Full Pension Funding…</t>
  </si>
  <si>
    <t>Percent of Full OPEB Funding…</t>
  </si>
  <si>
    <t>State Government Budget Gap</t>
  </si>
  <si>
    <t>Local Governments Budget Gap</t>
  </si>
  <si>
    <t>State Population</t>
  </si>
  <si>
    <t>State Gov Budget Gap Per Capita</t>
  </si>
  <si>
    <t>Local Gov Budget Gap Per Capita</t>
  </si>
  <si>
    <t>Avg. Annual Growth in Debt…</t>
  </si>
  <si>
    <t>BUDGET GAP AS % OF TOTAL REVENUE</t>
  </si>
  <si>
    <t>All Local Government Units</t>
  </si>
  <si>
    <t>School Districts</t>
  </si>
  <si>
    <t>Contributions</t>
  </si>
  <si>
    <t>Money received from other entities that has been recognized as revenue.</t>
  </si>
  <si>
    <t>Utilities</t>
  </si>
  <si>
    <t>Net interest and investment income:</t>
  </si>
  <si>
    <t>Assistance to citizens contingent on their need. This includes direct cash assistance as well as payments to vendors for services and the support of private welfare agencies.</t>
  </si>
  <si>
    <t>Compensation</t>
  </si>
  <si>
    <t>The net change (gains minus losses) in value, based on market price or actuarial assessment, of any investments.</t>
  </si>
  <si>
    <t>Public services that include water, electric, and transit.</t>
  </si>
  <si>
    <t>Cash On Hand</t>
  </si>
  <si>
    <t>General Fund</t>
  </si>
  <si>
    <t>It is standard practice for governments to make many of their discretionary payments out of the general fund. Most of the time, it is the primary source of funds for government operations.</t>
  </si>
  <si>
    <t>Reserved or Designated Funds</t>
  </si>
  <si>
    <t>Funds that have already been set aside or restricted for a given purpose. Any net equity that has not already been reserved or designated is "unrestricted reserves."</t>
  </si>
  <si>
    <t>Actuarial Accrued Liability</t>
  </si>
  <si>
    <t>Actuaries make assumptions to determine how much money the government will owe in the future in pensions and other retirement benefits for work that government employees have performed. They then determine the present value of these liabilities, and call it the actuarial accrued liability. When money is not set aside for this liability, it is considered an unfunded actuarial accrued liability (UAAL).</t>
  </si>
  <si>
    <t>The cash balance for a given fund is derived by adding cash on hand to any interfund receivables, and subtracting amounts payable to other funds and entities.</t>
  </si>
  <si>
    <t>Cash on hand is the total amount of cash or cash equivalents listed as an asset on your balance sheet.</t>
  </si>
  <si>
    <t>Compensation includes wages, salary, health benefits, and retirement benefits.</t>
  </si>
  <si>
    <t>Human Services</t>
  </si>
  <si>
    <t>Net Investment Income</t>
  </si>
  <si>
    <t>Other Post-Employment Benefits (OPEB)</t>
  </si>
  <si>
    <t>When states guarantee retiree benefits besides a pension, these are other post-employment benefits (OPEB). OPEB almost exclusively refer to coverage of health, dental, and vision needs in retirement.</t>
  </si>
  <si>
    <t>The extent to which expenditures (money paid out) exceed revenues (money received) in any given fiscal year. These accumulate from one year to the next, and must be paid for through loans or drawing down reserves.</t>
  </si>
  <si>
    <t>Budget Gap</t>
  </si>
  <si>
    <r>
      <t xml:space="preserve">A novel fiscal measure similar to a deficit. A budget gap is the extent to which expenditures </t>
    </r>
    <r>
      <rPr>
        <i/>
        <sz val="10"/>
        <color theme="1"/>
        <rFont val="Calibri"/>
        <family val="2"/>
        <scheme val="minor"/>
      </rPr>
      <t>and other new unfunded obligations</t>
    </r>
    <r>
      <rPr>
        <sz val="10"/>
        <color theme="1"/>
        <rFont val="Calibri"/>
        <family val="2"/>
        <scheme val="minor"/>
      </rPr>
      <t xml:space="preserve"> exceeded revenues in a fiscal year. This includes any new pension or OPEB commitments that have not been funded. Like deficits, budget gaps accumulate from one year to the next.</t>
    </r>
  </si>
  <si>
    <t>3)</t>
  </si>
  <si>
    <t>Do not fill in any spaces on the "Data Entry" tab that are not shaded green. They will be automatically calculated based on your other entries.</t>
  </si>
  <si>
    <t>4)</t>
  </si>
  <si>
    <t>If you leave the data entry page incomplete, some of the graphics in other tabs may not generate properly.</t>
  </si>
  <si>
    <t>Each tab will allow you to compare your municipality to other public entities in the state on an important financial metric. These tabs have been locked, and cannot be edited.</t>
  </si>
  <si>
    <t>Actuarially Required Contribution (ARC):</t>
  </si>
  <si>
    <t>Note: Unfunded pensions and unfunded retiree health care as shown here are determined based on actuarial assessments of asset values and long-term liabilities. Even a "fully-funded" pension</t>
  </si>
  <si>
    <t>according to annual required contributions (ARC) could be underfunded in a given year, depending on market conditions.</t>
  </si>
  <si>
    <t>U.S. Census Bureau</t>
  </si>
  <si>
    <t>2007 Census of Governments</t>
  </si>
  <si>
    <t>State Government Employee Compensation</t>
  </si>
  <si>
    <t>Michigan Civil Service Commission</t>
  </si>
  <si>
    <t>Michigan Annual Workforce Reports, 2000-2009</t>
  </si>
  <si>
    <t>Local Government Employee Compensation</t>
  </si>
  <si>
    <t>Bureau of Economic Analysis</t>
  </si>
  <si>
    <t>Regional Economic Information System</t>
  </si>
  <si>
    <t>Private Sector Employee Compensation</t>
  </si>
  <si>
    <t>State of Michigan Reserves</t>
  </si>
  <si>
    <t>Michigan Office of the Budget</t>
  </si>
  <si>
    <t>Michigan Department of Education</t>
  </si>
  <si>
    <t>Bulletin 1011, 2008-2009</t>
  </si>
  <si>
    <t>Local Government Debt</t>
  </si>
  <si>
    <t>Michigan Public School Reserves</t>
  </si>
  <si>
    <t>Michigan Public School Debt</t>
  </si>
  <si>
    <t>Michigan and Local Governments Population</t>
  </si>
  <si>
    <t>For state, 2010 Census; for local governments, 2000 Census</t>
  </si>
  <si>
    <t>Local Government Revenues and Expenditures</t>
  </si>
  <si>
    <t>Pension and OPEB Data</t>
  </si>
  <si>
    <t>Comprehensive Annual Financial Report (CAFR), FY 2010</t>
  </si>
  <si>
    <t>Michigan Public School Employees' Retirement System CAFR, FY 2001-2010</t>
  </si>
  <si>
    <t>Michigan CAFR, FY 2001-2010</t>
  </si>
  <si>
    <t>City of Detroit CAFR, FY 2001-2010</t>
  </si>
  <si>
    <t>Municipal Employees Retirement System CAFR, FY 2001-2010</t>
  </si>
  <si>
    <t>Your Municipality</t>
  </si>
  <si>
    <t>Fill in your municipality's financial data in the "Data Entry" tab. We have put in data for a fake municipality as a place-holder to show what the charts will look like when complete. Consult the "Definitions" below if you have a question about a term.</t>
  </si>
  <si>
    <t>Note: Data in this sheet is example data; Please fill in your data</t>
  </si>
  <si>
    <t>FIGURE 2</t>
  </si>
  <si>
    <t>FIGURE 1</t>
  </si>
  <si>
    <t>FIGURE 3</t>
  </si>
  <si>
    <t>FIGURE 4</t>
  </si>
  <si>
    <t>FIGURE 5</t>
  </si>
  <si>
    <t>FIGURE 6</t>
  </si>
  <si>
    <t>FIGURE 7</t>
  </si>
  <si>
    <t>FIGURE 8</t>
  </si>
  <si>
    <t>FIGURE 9</t>
  </si>
  <si>
    <t>FIGURE 10</t>
  </si>
  <si>
    <t>FIGURE 11</t>
  </si>
  <si>
    <t>system according to annual required contributions (ARC) could be underfunded in a given year, depending on market conditions.</t>
  </si>
  <si>
    <t>A. Instructions</t>
  </si>
  <si>
    <t>B. Purpose of Tool</t>
  </si>
  <si>
    <t>C. Definitions</t>
  </si>
  <si>
    <t>D. Sources</t>
  </si>
  <si>
    <t>See Source notes on "Instructions A-D" tab for private sector, state government, and local government compsensation sources.</t>
  </si>
  <si>
    <t>The purpose of this tool is to provide local governments with a way to replicate the figures in the "Dollar and Sense" state report. Local governments may report information in such a way that does not immediately allow for replication of the state-wide figures. This tool allows for data on all primary government activities, business activities, long-term debt levels, and retiree pension and other obligations to be entered and compared to figures in the state report.</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</si>
</sst>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3">
    <font>
      <sz val="11"/>
      <color theme="1"/>
      <name val="Calibri"/>
      <family val="2"/>
      <scheme val="minor"/>
    </font>
    <font>
      <sz val="11"/>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8"/>
      <color theme="1"/>
      <name val="Calibri"/>
      <family val="2"/>
      <scheme val="minor"/>
    </font>
    <font>
      <sz val="8"/>
      <color theme="1"/>
      <name val="Calibri"/>
      <family val="2"/>
      <scheme val="minor"/>
    </font>
    <font>
      <u/>
      <sz val="8"/>
      <color theme="1"/>
      <name val="Calibri"/>
      <family val="2"/>
      <scheme val="minor"/>
    </font>
    <font>
      <b/>
      <sz val="11"/>
      <color theme="1"/>
      <name val="Calibri"/>
      <family val="2"/>
      <scheme val="minor"/>
    </font>
    <font>
      <vertAlign val="superscript"/>
      <sz val="8"/>
      <color theme="1"/>
      <name val="Calibri"/>
      <family val="2"/>
      <scheme val="minor"/>
    </font>
    <font>
      <i/>
      <sz val="10"/>
      <color theme="1"/>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theme="6" tint="0.599963377788628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6795556505021"/>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s>
  <borders count="15">
    <border>
      <left/>
      <right/>
      <top/>
      <bottom/>
      <diagonal/>
    </border>
    <border>
      <left/>
      <right/>
      <top style="thin">
        <color indexed="64"/>
      </top>
      <bottom style="double">
        <color indexed="64"/>
      </bottom>
      <diagonal/>
    </border>
    <border>
      <left/>
      <right/>
      <top style="medium">
        <color indexed="64"/>
      </top>
      <bottom style="thin">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top style="thin">
        <color theme="6" tint="-0.24994659260841701"/>
      </top>
      <bottom/>
      <diagonal/>
    </border>
    <border>
      <left style="thin">
        <color theme="6" tint="-0.24994659260841701"/>
      </left>
      <right style="thin">
        <color theme="6" tint="-0.24994659260841701"/>
      </right>
      <top/>
      <bottom/>
      <diagonal/>
    </border>
    <border>
      <left/>
      <right/>
      <top style="thick">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3" fillId="0" borderId="2" xfId="0" applyFont="1" applyBorder="1"/>
    <xf numFmtId="0" fontId="4" fillId="0" borderId="2" xfId="0" applyFont="1" applyBorder="1"/>
    <xf numFmtId="0" fontId="6" fillId="0" borderId="0" xfId="0" applyFont="1" applyAlignment="1">
      <alignment horizontal="right"/>
    </xf>
    <xf numFmtId="0" fontId="6" fillId="0" borderId="0" xfId="0" applyFont="1"/>
    <xf numFmtId="165" fontId="6" fillId="0" borderId="0" xfId="2" applyNumberFormat="1" applyFont="1"/>
    <xf numFmtId="0" fontId="8" fillId="0" borderId="0" xfId="0" applyFont="1" applyAlignment="1">
      <alignment horizontal="right"/>
    </xf>
    <xf numFmtId="0" fontId="0" fillId="0" borderId="2" xfId="0" applyBorder="1"/>
    <xf numFmtId="0" fontId="0" fillId="0" borderId="6" xfId="0" applyBorder="1"/>
    <xf numFmtId="0" fontId="4" fillId="0" borderId="0" xfId="0" applyFont="1"/>
    <xf numFmtId="165" fontId="4" fillId="0" borderId="0" xfId="2" applyNumberFormat="1" applyFont="1"/>
    <xf numFmtId="164" fontId="4" fillId="0" borderId="0" xfId="1" applyNumberFormat="1" applyFont="1"/>
    <xf numFmtId="165" fontId="0" fillId="0" borderId="0" xfId="0" applyNumberFormat="1"/>
    <xf numFmtId="165" fontId="4" fillId="0" borderId="0" xfId="0" applyNumberFormat="1" applyFont="1"/>
    <xf numFmtId="0" fontId="4" fillId="3" borderId="0" xfId="0" applyFont="1" applyFill="1"/>
    <xf numFmtId="165" fontId="4" fillId="3" borderId="0" xfId="2" applyNumberFormat="1" applyFont="1" applyFill="1"/>
    <xf numFmtId="164" fontId="4" fillId="3" borderId="0" xfId="1" applyNumberFormat="1" applyFont="1" applyFill="1"/>
    <xf numFmtId="0" fontId="0" fillId="0" borderId="0" xfId="0" applyBorder="1"/>
    <xf numFmtId="0" fontId="0" fillId="0" borderId="0" xfId="0" applyFill="1" applyBorder="1"/>
    <xf numFmtId="0" fontId="0" fillId="0" borderId="0" xfId="0"/>
    <xf numFmtId="0" fontId="8" fillId="0" borderId="2" xfId="0" applyFont="1" applyBorder="1"/>
    <xf numFmtId="166" fontId="4" fillId="0" borderId="0" xfId="3" applyNumberFormat="1" applyFont="1"/>
    <xf numFmtId="0" fontId="3" fillId="0" borderId="0" xfId="0" applyFont="1"/>
    <xf numFmtId="0" fontId="4" fillId="0" borderId="0" xfId="0" applyFont="1" applyBorder="1" applyAlignment="1">
      <alignment horizontal="center"/>
    </xf>
    <xf numFmtId="0" fontId="3" fillId="0" borderId="0" xfId="0" applyFont="1" applyBorder="1" applyAlignment="1">
      <alignment horizontal="center"/>
    </xf>
    <xf numFmtId="0" fontId="0" fillId="0" borderId="0" xfId="0" applyAlignment="1">
      <alignment horizontal="center"/>
    </xf>
    <xf numFmtId="0" fontId="3" fillId="0" borderId="0" xfId="0" applyFont="1" applyAlignment="1">
      <alignment horizontal="center"/>
    </xf>
    <xf numFmtId="0" fontId="4" fillId="0" borderId="0" xfId="0" applyFont="1" applyBorder="1"/>
    <xf numFmtId="0" fontId="0" fillId="0" borderId="2" xfId="0" applyFont="1" applyBorder="1"/>
    <xf numFmtId="0" fontId="8" fillId="4" borderId="0" xfId="0" applyFont="1" applyFill="1"/>
    <xf numFmtId="0" fontId="0" fillId="4" borderId="0" xfId="0" applyFill="1"/>
    <xf numFmtId="0" fontId="0" fillId="0" borderId="10" xfId="0" applyBorder="1"/>
    <xf numFmtId="0" fontId="0" fillId="0" borderId="7" xfId="0" applyBorder="1"/>
    <xf numFmtId="0" fontId="0" fillId="0" borderId="13" xfId="0" applyBorder="1"/>
    <xf numFmtId="166" fontId="0" fillId="0" borderId="0" xfId="0" applyNumberFormat="1"/>
    <xf numFmtId="0" fontId="8" fillId="0" borderId="0" xfId="0" applyFont="1"/>
    <xf numFmtId="165" fontId="3" fillId="0" borderId="0" xfId="2" applyNumberFormat="1" applyFont="1"/>
    <xf numFmtId="0" fontId="4" fillId="0" borderId="11" xfId="0" applyFont="1" applyBorder="1"/>
    <xf numFmtId="165" fontId="4" fillId="0" borderId="0" xfId="2" applyNumberFormat="1" applyFont="1" applyBorder="1"/>
    <xf numFmtId="165" fontId="4" fillId="0" borderId="11" xfId="2" applyNumberFormat="1" applyFont="1" applyBorder="1"/>
    <xf numFmtId="44" fontId="4" fillId="0" borderId="0" xfId="0" applyNumberFormat="1" applyFont="1"/>
    <xf numFmtId="165" fontId="8" fillId="0" borderId="2" xfId="2" applyNumberFormat="1" applyFont="1" applyBorder="1"/>
    <xf numFmtId="0" fontId="0" fillId="0" borderId="0" xfId="0" applyFont="1" applyBorder="1"/>
    <xf numFmtId="0" fontId="8" fillId="0" borderId="6" xfId="0" applyFont="1" applyBorder="1"/>
    <xf numFmtId="166" fontId="4" fillId="0" borderId="0" xfId="3" applyNumberFormat="1" applyFont="1" applyBorder="1"/>
    <xf numFmtId="164" fontId="4" fillId="0" borderId="0" xfId="1" quotePrefix="1" applyNumberFormat="1" applyFont="1"/>
    <xf numFmtId="0" fontId="3" fillId="5" borderId="0" xfId="0" applyFont="1" applyFill="1"/>
    <xf numFmtId="165" fontId="4" fillId="5" borderId="0" xfId="2" applyNumberFormat="1" applyFont="1" applyFill="1"/>
    <xf numFmtId="0" fontId="8" fillId="6" borderId="0" xfId="0" applyFont="1" applyFill="1"/>
    <xf numFmtId="0" fontId="0" fillId="6" borderId="0" xfId="0" applyFill="1"/>
    <xf numFmtId="0" fontId="3" fillId="0" borderId="7" xfId="0" applyFont="1" applyBorder="1"/>
    <xf numFmtId="0" fontId="4" fillId="0" borderId="8" xfId="0" applyFont="1" applyBorder="1" applyAlignment="1">
      <alignment vertical="top" wrapText="1"/>
    </xf>
    <xf numFmtId="0" fontId="4" fillId="0" borderId="9" xfId="0" applyFont="1" applyBorder="1" applyAlignment="1"/>
    <xf numFmtId="0" fontId="4" fillId="0" borderId="13" xfId="0" applyFont="1" applyBorder="1"/>
    <xf numFmtId="0" fontId="4" fillId="0" borderId="14" xfId="0" applyFont="1" applyBorder="1" applyAlignment="1"/>
    <xf numFmtId="0" fontId="3" fillId="0" borderId="13" xfId="0" applyFont="1" applyBorder="1"/>
    <xf numFmtId="0" fontId="4" fillId="0" borderId="0" xfId="0" applyFont="1" applyBorder="1" applyAlignment="1">
      <alignment vertical="top" wrapText="1"/>
    </xf>
    <xf numFmtId="0" fontId="3" fillId="0" borderId="0" xfId="0" applyFont="1" applyFill="1" applyBorder="1"/>
    <xf numFmtId="0" fontId="4" fillId="0" borderId="0" xfId="0" applyFont="1" applyFill="1" applyBorder="1"/>
    <xf numFmtId="0" fontId="4" fillId="0" borderId="14" xfId="0" applyFont="1" applyFill="1" applyBorder="1"/>
    <xf numFmtId="0" fontId="4" fillId="0" borderId="0" xfId="0" applyFont="1" applyBorder="1" applyAlignment="1">
      <alignment vertical="top"/>
    </xf>
    <xf numFmtId="0" fontId="4" fillId="0" borderId="0" xfId="0" applyFont="1" applyBorder="1" applyAlignment="1">
      <alignment horizontal="left" vertical="top" wrapText="1"/>
    </xf>
    <xf numFmtId="0" fontId="4" fillId="0" borderId="10" xfId="0" applyFont="1" applyBorder="1"/>
    <xf numFmtId="0" fontId="4" fillId="0" borderId="12" xfId="0" applyFont="1" applyBorder="1" applyAlignment="1"/>
    <xf numFmtId="0" fontId="6" fillId="0" borderId="0" xfId="0" applyFont="1" applyProtection="1">
      <protection locked="0"/>
    </xf>
    <xf numFmtId="0" fontId="6" fillId="0" borderId="0" xfId="0" applyFont="1" applyProtection="1"/>
    <xf numFmtId="0" fontId="2" fillId="0" borderId="1" xfId="0" applyFont="1" applyBorder="1" applyProtection="1"/>
    <xf numFmtId="0" fontId="0" fillId="0" borderId="0" xfId="0" applyProtection="1"/>
    <xf numFmtId="0" fontId="3" fillId="0" borderId="2" xfId="0" applyFont="1" applyBorder="1" applyProtection="1"/>
    <xf numFmtId="0" fontId="5" fillId="0" borderId="0" xfId="0" applyFont="1" applyBorder="1" applyProtection="1"/>
    <xf numFmtId="0" fontId="6" fillId="0" borderId="0" xfId="0" applyFont="1" applyAlignment="1" applyProtection="1">
      <alignment horizontal="right"/>
    </xf>
    <xf numFmtId="0" fontId="6" fillId="0" borderId="0" xfId="0" applyFont="1" applyBorder="1" applyProtection="1"/>
    <xf numFmtId="0" fontId="3" fillId="0" borderId="2" xfId="0" applyFont="1" applyBorder="1" applyAlignment="1" applyProtection="1">
      <alignment horizontal="left"/>
    </xf>
    <xf numFmtId="0" fontId="6" fillId="0" borderId="0" xfId="0" applyFont="1" applyAlignment="1" applyProtection="1">
      <alignment horizontal="left"/>
    </xf>
    <xf numFmtId="0" fontId="7" fillId="0" borderId="0" xfId="0" applyFont="1" applyAlignment="1" applyProtection="1">
      <alignment horizontal="right"/>
    </xf>
    <xf numFmtId="0" fontId="0" fillId="0" borderId="0" xfId="0" applyAlignment="1" applyProtection="1">
      <alignment horizontal="right"/>
    </xf>
    <xf numFmtId="0" fontId="4" fillId="0" borderId="2" xfId="0" applyFont="1" applyBorder="1" applyProtection="1"/>
    <xf numFmtId="0" fontId="6" fillId="0" borderId="0" xfId="0" applyFont="1" applyFill="1" applyProtection="1"/>
    <xf numFmtId="0" fontId="6" fillId="0" borderId="0" xfId="0" applyFont="1" applyFill="1" applyBorder="1" applyProtection="1"/>
    <xf numFmtId="165" fontId="6" fillId="0" borderId="5" xfId="2" applyNumberFormat="1" applyFont="1" applyFill="1" applyBorder="1" applyProtection="1"/>
    <xf numFmtId="165" fontId="6" fillId="0" borderId="0" xfId="2" applyNumberFormat="1" applyFont="1" applyFill="1" applyBorder="1" applyProtection="1"/>
    <xf numFmtId="165" fontId="6" fillId="0" borderId="0" xfId="2" applyNumberFormat="1" applyFont="1" applyProtection="1"/>
    <xf numFmtId="166" fontId="6" fillId="0" borderId="0" xfId="3" applyNumberFormat="1" applyFont="1" applyProtection="1"/>
    <xf numFmtId="0" fontId="4" fillId="0" borderId="2" xfId="0" applyFont="1" applyBorder="1" applyAlignment="1" applyProtection="1">
      <alignment horizontal="center"/>
    </xf>
    <xf numFmtId="0" fontId="6" fillId="0" borderId="0" xfId="0" applyFont="1" applyBorder="1" applyAlignment="1" applyProtection="1">
      <alignment horizontal="center"/>
    </xf>
    <xf numFmtId="165" fontId="6" fillId="0" borderId="4" xfId="2" applyNumberFormat="1" applyFont="1" applyFill="1" applyBorder="1" applyProtection="1"/>
    <xf numFmtId="0" fontId="6" fillId="2" borderId="3" xfId="0" applyFont="1" applyFill="1" applyBorder="1" applyProtection="1">
      <protection locked="0"/>
    </xf>
    <xf numFmtId="3" fontId="6" fillId="2" borderId="3" xfId="0" applyNumberFormat="1" applyFont="1" applyFill="1" applyBorder="1" applyAlignment="1" applyProtection="1">
      <alignment horizontal="left"/>
      <protection locked="0"/>
    </xf>
    <xf numFmtId="165" fontId="6" fillId="2" borderId="3" xfId="2" applyNumberFormat="1" applyFont="1" applyFill="1" applyBorder="1" applyProtection="1">
      <protection locked="0"/>
    </xf>
    <xf numFmtId="164" fontId="6" fillId="2" borderId="3" xfId="1" applyNumberFormat="1" applyFont="1" applyFill="1" applyBorder="1" applyProtection="1">
      <protection locked="0"/>
    </xf>
    <xf numFmtId="9" fontId="0" fillId="0" borderId="0" xfId="0" applyNumberFormat="1"/>
    <xf numFmtId="0" fontId="4" fillId="0" borderId="0" xfId="0" applyFont="1" applyBorder="1" applyAlignment="1">
      <alignment horizontal="left" vertical="top" wrapText="1"/>
    </xf>
    <xf numFmtId="0" fontId="8" fillId="7" borderId="0" xfId="0" applyFont="1" applyFill="1"/>
    <xf numFmtId="0" fontId="0" fillId="7" borderId="0" xfId="0" applyFill="1"/>
    <xf numFmtId="0" fontId="4" fillId="0" borderId="8" xfId="0" applyFont="1" applyBorder="1" applyAlignment="1">
      <alignment horizontal="right" vertical="top"/>
    </xf>
    <xf numFmtId="0" fontId="4" fillId="0" borderId="0" xfId="0" applyFont="1" applyBorder="1" applyAlignment="1">
      <alignment horizontal="right" vertical="top"/>
    </xf>
    <xf numFmtId="0" fontId="4" fillId="0" borderId="11" xfId="0" applyFont="1" applyBorder="1" applyAlignment="1">
      <alignment horizontal="right" vertical="top"/>
    </xf>
    <xf numFmtId="0" fontId="4" fillId="0" borderId="0" xfId="0" applyFont="1" applyFill="1" applyBorder="1" applyAlignment="1">
      <alignment horizontal="right" vertical="top"/>
    </xf>
    <xf numFmtId="0" fontId="3" fillId="0" borderId="7" xfId="0" applyFont="1" applyBorder="1" applyAlignment="1">
      <alignment vertical="top"/>
    </xf>
    <xf numFmtId="0" fontId="4" fillId="0" borderId="9" xfId="0" applyFont="1" applyBorder="1" applyAlignment="1">
      <alignment vertical="top"/>
    </xf>
    <xf numFmtId="0" fontId="3" fillId="0" borderId="0" xfId="0" applyFont="1" applyFill="1" applyBorder="1" applyAlignment="1">
      <alignment vertical="top"/>
    </xf>
    <xf numFmtId="0" fontId="4" fillId="0" borderId="0" xfId="0" applyFont="1" applyFill="1" applyBorder="1" applyAlignment="1">
      <alignment vertical="top"/>
    </xf>
    <xf numFmtId="0" fontId="4" fillId="0" borderId="14" xfId="0" applyFont="1" applyFill="1" applyBorder="1" applyAlignment="1">
      <alignment vertical="top"/>
    </xf>
    <xf numFmtId="0" fontId="3" fillId="0" borderId="13" xfId="0" applyFont="1" applyBorder="1" applyAlignment="1">
      <alignment vertical="top"/>
    </xf>
    <xf numFmtId="0" fontId="4" fillId="0" borderId="14" xfId="0" applyFont="1" applyBorder="1" applyAlignment="1">
      <alignment vertical="top"/>
    </xf>
    <xf numFmtId="0" fontId="0" fillId="0" borderId="12" xfId="0" applyBorder="1" applyAlignment="1">
      <alignment vertical="top"/>
    </xf>
    <xf numFmtId="0" fontId="0" fillId="0" borderId="14" xfId="0" applyBorder="1" applyAlignment="1">
      <alignment vertical="top"/>
    </xf>
    <xf numFmtId="0" fontId="0" fillId="0" borderId="0" xfId="0" applyBorder="1" applyAlignment="1">
      <alignment vertical="top"/>
    </xf>
    <xf numFmtId="0" fontId="0" fillId="0" borderId="11" xfId="0" applyBorder="1" applyAlignment="1">
      <alignment vertical="top"/>
    </xf>
    <xf numFmtId="0" fontId="3" fillId="0" borderId="13" xfId="0" applyFont="1" applyFill="1" applyBorder="1" applyAlignment="1">
      <alignment vertical="top"/>
    </xf>
    <xf numFmtId="0" fontId="4" fillId="0" borderId="13" xfId="0" applyFont="1" applyBorder="1" applyAlignment="1">
      <alignment vertical="top"/>
    </xf>
    <xf numFmtId="0" fontId="0" fillId="0" borderId="13" xfId="0" applyBorder="1" applyAlignment="1">
      <alignment vertical="top"/>
    </xf>
    <xf numFmtId="0" fontId="0" fillId="0" borderId="10" xfId="0" applyBorder="1" applyAlignment="1">
      <alignment vertical="top"/>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Fill="1" applyBorder="1" applyAlignment="1">
      <alignment horizontal="left" vertical="top"/>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4" borderId="0" xfId="0" applyFill="1" applyProtection="1"/>
    <xf numFmtId="0" fontId="11" fillId="8" borderId="0" xfId="0" applyFont="1" applyFill="1"/>
    <xf numFmtId="0" fontId="12" fillId="8" borderId="0" xfId="0" applyFont="1" applyFill="1"/>
    <xf numFmtId="0" fontId="0" fillId="0" borderId="7" xfId="0" applyBorder="1" applyAlignment="1">
      <alignment vertical="top" wrapText="1"/>
    </xf>
    <xf numFmtId="0" fontId="0" fillId="0" borderId="8" xfId="0" applyBorder="1" applyAlignment="1">
      <alignment vertical="top" wrapText="1"/>
    </xf>
    <xf numFmtId="0" fontId="0" fillId="0" borderId="9" xfId="0" applyBorder="1"/>
    <xf numFmtId="0" fontId="0" fillId="0" borderId="13" xfId="0" applyBorder="1" applyAlignment="1">
      <alignment vertical="top" wrapText="1"/>
    </xf>
    <xf numFmtId="0" fontId="0" fillId="0" borderId="0" xfId="0" applyBorder="1" applyAlignment="1">
      <alignment vertical="top" wrapText="1"/>
    </xf>
    <xf numFmtId="0" fontId="0" fillId="0" borderId="14" xfId="0" applyBorder="1"/>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cellXfs>
  <cellStyles count="4">
    <cellStyle name="Comma" xfId="1" builtinId="3"/>
    <cellStyle name="Currency" xfId="2" builtinId="4"/>
    <cellStyle name="Normal" xfId="0" builtinId="0"/>
    <cellStyle name="Percent" xfId="3" builtinId="5"/>
  </cellStyles>
  <dxfs count="4">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3165760924428732"/>
          <c:y val="0.12394627289486064"/>
          <c:w val="0.73369159227084157"/>
          <c:h val="0.80722417439142669"/>
        </c:manualLayout>
      </c:layout>
      <c:pieChart>
        <c:varyColors val="1"/>
        <c:ser>
          <c:idx val="0"/>
          <c:order val="0"/>
          <c:dLbls>
            <c:txPr>
              <a:bodyPr/>
              <a:lstStyle/>
              <a:p>
                <a:pPr>
                  <a:defRPr sz="800"/>
                </a:pPr>
                <a:endParaRPr lang="en-US"/>
              </a:p>
            </c:txPr>
            <c:showCatName val="1"/>
            <c:showPercent val="1"/>
            <c:showLeaderLines val="1"/>
          </c:dLbls>
          <c:cat>
            <c:strLit>
              <c:ptCount val="15"/>
              <c:pt idx="0">
                <c:v>Federal</c:v>
              </c:pt>
              <c:pt idx="1">
                <c:v> State</c:v>
              </c:pt>
              <c:pt idx="2">
                <c:v>Other Local Gov</c:v>
              </c:pt>
              <c:pt idx="3">
                <c:v> Personal Income Tax</c:v>
              </c:pt>
              <c:pt idx="4">
                <c:v> Property Tax</c:v>
              </c:pt>
              <c:pt idx="5">
                <c:v> Other Tax</c:v>
              </c:pt>
              <c:pt idx="6">
                <c:v> Licenses and Permits</c:v>
              </c:pt>
              <c:pt idx="7">
                <c:v> Utilities</c:v>
              </c:pt>
              <c:pt idx="8">
                <c:v> Sewerage and Trash Collection</c:v>
              </c:pt>
              <c:pt idx="9">
                <c:v> Parks and Recreation</c:v>
              </c:pt>
              <c:pt idx="10">
                <c:v> Hospitals</c:v>
              </c:pt>
              <c:pt idx="11">
                <c:v> Other Services</c:v>
              </c:pt>
              <c:pt idx="12">
                <c:v> Interest and Investment Income</c:v>
              </c:pt>
              <c:pt idx="13">
                <c:v>Employee Pensions</c:v>
              </c:pt>
              <c:pt idx="14">
                <c:v> Other Revenues</c:v>
              </c:pt>
            </c:strLit>
          </c:cat>
          <c:val>
            <c:numRef>
              <c:f>('Data Entry'!$B$14:$B$16,'Data Entry'!$B$18:$B$20,'Data Entry'!$B$23,'Data Entry'!$B$24:$B$28,'Data Entry'!$B$31:$B$33)</c:f>
              <c:numCache>
                <c:formatCode>_("$"* #,##0_);_("$"* \(#,##0\);_("$"* "-"??_);_(@_)</c:formatCode>
                <c:ptCount val="15"/>
                <c:pt idx="0">
                  <c:v>5000000</c:v>
                </c:pt>
                <c:pt idx="1">
                  <c:v>30000000</c:v>
                </c:pt>
                <c:pt idx="4">
                  <c:v>60000000</c:v>
                </c:pt>
                <c:pt idx="6">
                  <c:v>3000000</c:v>
                </c:pt>
                <c:pt idx="7">
                  <c:v>16000000</c:v>
                </c:pt>
                <c:pt idx="8">
                  <c:v>15000000</c:v>
                </c:pt>
                <c:pt idx="9">
                  <c:v>120000</c:v>
                </c:pt>
                <c:pt idx="11">
                  <c:v>40000000</c:v>
                </c:pt>
                <c:pt idx="12">
                  <c:v>3500000</c:v>
                </c:pt>
                <c:pt idx="14">
                  <c:v>800000</c:v>
                </c:pt>
              </c:numCache>
            </c:numRef>
          </c:val>
        </c:ser>
        <c:dLbls>
          <c:showCatName val="1"/>
          <c:showPercent val="1"/>
        </c:dLbls>
        <c:firstSliceAng val="0"/>
      </c:pieChart>
    </c:plotArea>
    <c:plotVisOnly val="1"/>
    <c:dispBlanksAs val="zero"/>
  </c:chart>
  <c:spPr>
    <a:ln>
      <a:noFill/>
    </a:ln>
  </c:spPr>
  <c:printSettings>
    <c:headerFooter/>
    <c:pageMargins b="0.75000000000000178" l="0.70000000000000062" r="0.70000000000000062" t="0.750000000000001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Townships</a:t>
            </a:r>
          </a:p>
        </c:rich>
      </c:tx>
      <c:layout/>
    </c:title>
    <c:plotArea>
      <c:layout>
        <c:manualLayout>
          <c:layoutTarget val="inner"/>
          <c:xMode val="edge"/>
          <c:yMode val="edge"/>
          <c:x val="9.7628665981970036E-2"/>
          <c:y val="0.14780398150476926"/>
          <c:w val="0.85248323499204548"/>
          <c:h val="0.81897038054518501"/>
        </c:manualLayout>
      </c:layout>
      <c:pieChart>
        <c:varyColors val="1"/>
        <c:ser>
          <c:idx val="0"/>
          <c:order val="0"/>
          <c:dLbls>
            <c:showPercent val="1"/>
            <c:showLeaderLines val="1"/>
          </c:dLbls>
          <c:val>
            <c:numRef>
              <c:f>(Expenditures!$D$62,Expenditures!$D$64:$D$65,Expenditures!$D$67:$D$69,Expenditures!$D$71:$D$74,Expenditures!$D$76:$D$78)</c:f>
              <c:numCache>
                <c:formatCode>_("$"* #,##0_);_("$"* \(#,##0\);_("$"* "-"??_);_(@_)</c:formatCode>
                <c:ptCount val="13"/>
                <c:pt idx="0">
                  <c:v>331377</c:v>
                </c:pt>
                <c:pt idx="1">
                  <c:v>623439</c:v>
                </c:pt>
                <c:pt idx="3">
                  <c:v>280472</c:v>
                </c:pt>
                <c:pt idx="4">
                  <c:v>390339</c:v>
                </c:pt>
                <c:pt idx="5">
                  <c:v>154706</c:v>
                </c:pt>
                <c:pt idx="6">
                  <c:v>20400</c:v>
                </c:pt>
                <c:pt idx="7">
                  <c:v>57</c:v>
                </c:pt>
                <c:pt idx="8">
                  <c:v>16388</c:v>
                </c:pt>
                <c:pt idx="9">
                  <c:v>83381</c:v>
                </c:pt>
                <c:pt idx="10">
                  <c:v>77067</c:v>
                </c:pt>
                <c:pt idx="11">
                  <c:v>22310</c:v>
                </c:pt>
                <c:pt idx="12">
                  <c:v>338345</c:v>
                </c:pt>
              </c:numCache>
            </c:numRef>
          </c:val>
        </c:ser>
        <c:dLbls>
          <c:showPercent val="1"/>
        </c:dLbls>
        <c:firstSliceAng val="0"/>
      </c:pieChart>
    </c:plotArea>
    <c:plotVisOnly val="1"/>
  </c:chart>
  <c:spPr>
    <a:ln>
      <a:noFill/>
    </a:ln>
  </c:spPr>
  <c:printSettings>
    <c:headerFooter/>
    <c:pageMargins b="0.75000000000000133" l="0.70000000000000062" r="0.70000000000000062" t="0.750000000000001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885429736987327E-2"/>
          <c:y val="3.1363042981662252E-2"/>
          <c:w val="0.87478775314748658"/>
          <c:h val="0.8768831182696939"/>
        </c:manualLayout>
      </c:layout>
      <c:barChart>
        <c:barDir val="col"/>
        <c:grouping val="clustered"/>
        <c:ser>
          <c:idx val="2"/>
          <c:order val="0"/>
          <c:tx>
            <c:strRef>
              <c:f>Compensation!$A$58</c:f>
              <c:strCache>
                <c:ptCount val="1"/>
                <c:pt idx="0">
                  <c:v>Private Employment</c:v>
                </c:pt>
              </c:strCache>
            </c:strRef>
          </c:tx>
          <c:spPr>
            <a:solidFill>
              <a:schemeClr val="accent2">
                <a:lumMod val="75000"/>
              </a:schemeClr>
            </a:solidFill>
          </c:spPr>
          <c:cat>
            <c:numRef>
              <c:f>Compensation!$B$57:$K$57</c:f>
              <c:numCache>
                <c:formatCode>General</c:formatCode>
                <c:ptCount val="10"/>
                <c:pt idx="0">
                  <c:v>2000</c:v>
                </c:pt>
                <c:pt idx="1">
                  <c:v>2001</c:v>
                </c:pt>
                <c:pt idx="2">
                  <c:v>2002</c:v>
                </c:pt>
                <c:pt idx="3">
                  <c:v>2003</c:v>
                </c:pt>
                <c:pt idx="4">
                  <c:v>2004</c:v>
                </c:pt>
                <c:pt idx="5">
                  <c:v>2005</c:v>
                </c:pt>
                <c:pt idx="6">
                  <c:v>2006</c:v>
                </c:pt>
                <c:pt idx="7">
                  <c:v>2007</c:v>
                </c:pt>
                <c:pt idx="8">
                  <c:v>2008</c:v>
                </c:pt>
                <c:pt idx="9">
                  <c:v>2009</c:v>
                </c:pt>
              </c:numCache>
            </c:numRef>
          </c:cat>
          <c:val>
            <c:numRef>
              <c:f>Compensation!$B$58:$K$58</c:f>
              <c:numCache>
                <c:formatCode>_("$"* #,##0_);_("$"* \(#,##0\);_("$"* "-"??_);_(@_)</c:formatCode>
                <c:ptCount val="10"/>
                <c:pt idx="0">
                  <c:v>37031</c:v>
                </c:pt>
                <c:pt idx="1">
                  <c:v>37307.921551835607</c:v>
                </c:pt>
                <c:pt idx="2">
                  <c:v>38131.93482171795</c:v>
                </c:pt>
                <c:pt idx="3">
                  <c:v>40289.493319561458</c:v>
                </c:pt>
                <c:pt idx="4">
                  <c:v>39661.540439040131</c:v>
                </c:pt>
                <c:pt idx="5">
                  <c:v>39871.871178054273</c:v>
                </c:pt>
                <c:pt idx="6">
                  <c:v>39943.365444720737</c:v>
                </c:pt>
                <c:pt idx="7">
                  <c:v>40606.281378565327</c:v>
                </c:pt>
                <c:pt idx="8">
                  <c:v>41184.307325744601</c:v>
                </c:pt>
                <c:pt idx="9">
                  <c:v>39985.644548603392</c:v>
                </c:pt>
              </c:numCache>
            </c:numRef>
          </c:val>
        </c:ser>
        <c:ser>
          <c:idx val="3"/>
          <c:order val="1"/>
          <c:tx>
            <c:strRef>
              <c:f>Compensation!$A$59</c:f>
              <c:strCache>
                <c:ptCount val="1"/>
                <c:pt idx="0">
                  <c:v>State Government</c:v>
                </c:pt>
              </c:strCache>
            </c:strRef>
          </c:tx>
          <c:cat>
            <c:numRef>
              <c:f>Compensation!$B$57:$K$57</c:f>
              <c:numCache>
                <c:formatCode>General</c:formatCode>
                <c:ptCount val="10"/>
                <c:pt idx="0">
                  <c:v>2000</c:v>
                </c:pt>
                <c:pt idx="1">
                  <c:v>2001</c:v>
                </c:pt>
                <c:pt idx="2">
                  <c:v>2002</c:v>
                </c:pt>
                <c:pt idx="3">
                  <c:v>2003</c:v>
                </c:pt>
                <c:pt idx="4">
                  <c:v>2004</c:v>
                </c:pt>
                <c:pt idx="5">
                  <c:v>2005</c:v>
                </c:pt>
                <c:pt idx="6">
                  <c:v>2006</c:v>
                </c:pt>
                <c:pt idx="7">
                  <c:v>2007</c:v>
                </c:pt>
                <c:pt idx="8">
                  <c:v>2008</c:v>
                </c:pt>
                <c:pt idx="9">
                  <c:v>2009</c:v>
                </c:pt>
              </c:numCache>
            </c:numRef>
          </c:cat>
          <c:val>
            <c:numRef>
              <c:f>Compensation!$B$59:$K$59</c:f>
              <c:numCache>
                <c:formatCode>_("$"* #,##0_);_("$"* \(#,##0\);_("$"* "-"??_);_(@_)</c:formatCode>
                <c:ptCount val="10"/>
                <c:pt idx="0">
                  <c:v>57274</c:v>
                </c:pt>
                <c:pt idx="1">
                  <c:v>60996</c:v>
                </c:pt>
                <c:pt idx="2">
                  <c:v>62113</c:v>
                </c:pt>
                <c:pt idx="3">
                  <c:v>65971</c:v>
                </c:pt>
                <c:pt idx="4">
                  <c:v>69896</c:v>
                </c:pt>
                <c:pt idx="5">
                  <c:v>74381</c:v>
                </c:pt>
                <c:pt idx="6">
                  <c:v>77816</c:v>
                </c:pt>
                <c:pt idx="7">
                  <c:v>79488</c:v>
                </c:pt>
                <c:pt idx="8">
                  <c:v>84602</c:v>
                </c:pt>
                <c:pt idx="9">
                  <c:v>85076</c:v>
                </c:pt>
              </c:numCache>
            </c:numRef>
          </c:val>
        </c:ser>
        <c:ser>
          <c:idx val="4"/>
          <c:order val="2"/>
          <c:tx>
            <c:strRef>
              <c:f>Compensation!$A$60</c:f>
              <c:strCache>
                <c:ptCount val="1"/>
                <c:pt idx="0">
                  <c:v>Local Governments</c:v>
                </c:pt>
              </c:strCache>
            </c:strRef>
          </c:tx>
          <c:cat>
            <c:numRef>
              <c:f>Compensation!$B$57:$K$57</c:f>
              <c:numCache>
                <c:formatCode>General</c:formatCode>
                <c:ptCount val="10"/>
                <c:pt idx="0">
                  <c:v>2000</c:v>
                </c:pt>
                <c:pt idx="1">
                  <c:v>2001</c:v>
                </c:pt>
                <c:pt idx="2">
                  <c:v>2002</c:v>
                </c:pt>
                <c:pt idx="3">
                  <c:v>2003</c:v>
                </c:pt>
                <c:pt idx="4">
                  <c:v>2004</c:v>
                </c:pt>
                <c:pt idx="5">
                  <c:v>2005</c:v>
                </c:pt>
                <c:pt idx="6">
                  <c:v>2006</c:v>
                </c:pt>
                <c:pt idx="7">
                  <c:v>2007</c:v>
                </c:pt>
                <c:pt idx="8">
                  <c:v>2008</c:v>
                </c:pt>
                <c:pt idx="9">
                  <c:v>2009</c:v>
                </c:pt>
              </c:numCache>
            </c:numRef>
          </c:cat>
          <c:val>
            <c:numRef>
              <c:f>Compensation!$B$60:$K$60</c:f>
              <c:numCache>
                <c:formatCode>_("$"* #,##0_);_("$"* \(#,##0\);_("$"* "-"??_);_(@_)</c:formatCode>
                <c:ptCount val="10"/>
                <c:pt idx="0">
                  <c:v>40732.79525844071</c:v>
                </c:pt>
                <c:pt idx="1">
                  <c:v>41870.000511712657</c:v>
                </c:pt>
                <c:pt idx="2">
                  <c:v>43311.087851325807</c:v>
                </c:pt>
                <c:pt idx="3">
                  <c:v>45811.664359930335</c:v>
                </c:pt>
                <c:pt idx="4">
                  <c:v>48642.933530949223</c:v>
                </c:pt>
                <c:pt idx="5">
                  <c:v>50696.130544060412</c:v>
                </c:pt>
                <c:pt idx="6">
                  <c:v>50745.376691076082</c:v>
                </c:pt>
                <c:pt idx="7">
                  <c:v>52543.360991001522</c:v>
                </c:pt>
                <c:pt idx="8">
                  <c:v>55430.705951481577</c:v>
                </c:pt>
                <c:pt idx="9">
                  <c:v>57332.563963570625</c:v>
                </c:pt>
              </c:numCache>
            </c:numRef>
          </c:val>
        </c:ser>
        <c:ser>
          <c:idx val="0"/>
          <c:order val="3"/>
          <c:tx>
            <c:strRef>
              <c:f>'Data Entry'!$B$5</c:f>
              <c:strCache>
                <c:ptCount val="1"/>
                <c:pt idx="0">
                  <c:v>Your Municipality</c:v>
                </c:pt>
              </c:strCache>
            </c:strRef>
          </c:tx>
          <c:spPr>
            <a:solidFill>
              <a:schemeClr val="accent3">
                <a:lumMod val="60000"/>
                <a:lumOff val="40000"/>
              </a:schemeClr>
            </a:solidFill>
          </c:spPr>
          <c:cat>
            <c:numRef>
              <c:f>Compensation!$B$57:$K$57</c:f>
              <c:numCache>
                <c:formatCode>General</c:formatCode>
                <c:ptCount val="10"/>
                <c:pt idx="0">
                  <c:v>2000</c:v>
                </c:pt>
                <c:pt idx="1">
                  <c:v>2001</c:v>
                </c:pt>
                <c:pt idx="2">
                  <c:v>2002</c:v>
                </c:pt>
                <c:pt idx="3">
                  <c:v>2003</c:v>
                </c:pt>
                <c:pt idx="4">
                  <c:v>2004</c:v>
                </c:pt>
                <c:pt idx="5">
                  <c:v>2005</c:v>
                </c:pt>
                <c:pt idx="6">
                  <c:v>2006</c:v>
                </c:pt>
                <c:pt idx="7">
                  <c:v>2007</c:v>
                </c:pt>
                <c:pt idx="8">
                  <c:v>2008</c:v>
                </c:pt>
                <c:pt idx="9">
                  <c:v>2009</c:v>
                </c:pt>
              </c:numCache>
            </c:numRef>
          </c:cat>
          <c:val>
            <c:numRef>
              <c:f>'Data Entry'!$D$71:$M$71</c:f>
              <c:numCache>
                <c:formatCode>_("$"* #,##0_);_("$"* \(#,##0\);_("$"* "-"??_);_(@_)</c:formatCode>
                <c:ptCount val="10"/>
                <c:pt idx="0">
                  <c:v>54444.444444444445</c:v>
                </c:pt>
                <c:pt idx="1">
                  <c:v>53910.675381263616</c:v>
                </c:pt>
                <c:pt idx="2">
                  <c:v>53382.139348113975</c:v>
                </c:pt>
                <c:pt idx="3">
                  <c:v>52858.785040779519</c:v>
                </c:pt>
                <c:pt idx="4">
                  <c:v>52340.561658026782</c:v>
                </c:pt>
                <c:pt idx="5">
                  <c:v>51827.418896673575</c:v>
                </c:pt>
                <c:pt idx="6">
                  <c:v>51319.306946706187</c:v>
                </c:pt>
                <c:pt idx="7">
                  <c:v>50816.176486444361</c:v>
                </c:pt>
                <c:pt idx="8">
                  <c:v>50317.978677753723</c:v>
                </c:pt>
                <c:pt idx="9">
                  <c:v>49824.665161305158</c:v>
                </c:pt>
              </c:numCache>
            </c:numRef>
          </c:val>
        </c:ser>
        <c:axId val="71170304"/>
        <c:axId val="71417856"/>
      </c:barChart>
      <c:catAx>
        <c:axId val="71170304"/>
        <c:scaling>
          <c:orientation val="minMax"/>
        </c:scaling>
        <c:axPos val="b"/>
        <c:numFmt formatCode="General" sourceLinked="1"/>
        <c:tickLblPos val="nextTo"/>
        <c:crossAx val="71417856"/>
        <c:crosses val="autoZero"/>
        <c:auto val="1"/>
        <c:lblAlgn val="ctr"/>
        <c:lblOffset val="100"/>
      </c:catAx>
      <c:valAx>
        <c:axId val="71417856"/>
        <c:scaling>
          <c:orientation val="minMax"/>
        </c:scaling>
        <c:axPos val="l"/>
        <c:majorGridlines/>
        <c:numFmt formatCode="_(&quot;$&quot;* #,##0_);_(&quot;$&quot;* \(#,##0\);_(&quot;$&quot;* &quot;-&quot;??_);_(@_)" sourceLinked="1"/>
        <c:tickLblPos val="nextTo"/>
        <c:crossAx val="71170304"/>
        <c:crosses val="autoZero"/>
        <c:crossBetween val="between"/>
      </c:valAx>
    </c:plotArea>
    <c:legend>
      <c:legendPos val="r"/>
      <c:layout>
        <c:manualLayout>
          <c:xMode val="edge"/>
          <c:yMode val="edge"/>
          <c:x val="0.12607469101004407"/>
          <c:y val="8.4277306758017409E-2"/>
          <c:w val="0.15337103647263534"/>
          <c:h val="0.18172779444641843"/>
        </c:manualLayout>
      </c:layout>
    </c:legend>
    <c:plotVisOnly val="1"/>
  </c:chart>
  <c:spPr>
    <a:ln>
      <a:noFill/>
    </a:ln>
  </c:spPr>
  <c:printSettings>
    <c:headerFooter/>
    <c:pageMargins b="0.75000000000000167" l="0.70000000000000062" r="0.70000000000000062" t="0.75000000000000167"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1909273840769925"/>
          <c:y val="5.5347707704761231E-2"/>
          <c:w val="0.8503517060367457"/>
          <c:h val="0.79601932935953101"/>
        </c:manualLayout>
      </c:layout>
      <c:barChart>
        <c:barDir val="col"/>
        <c:grouping val="clustered"/>
        <c:ser>
          <c:idx val="0"/>
          <c:order val="0"/>
          <c:dPt>
            <c:idx val="0"/>
            <c:spPr>
              <a:solidFill>
                <a:schemeClr val="accent3">
                  <a:lumMod val="60000"/>
                  <a:lumOff val="40000"/>
                </a:schemeClr>
              </a:solidFill>
            </c:spPr>
          </c:dPt>
          <c:dLbls>
            <c:numFmt formatCode="0.0%" sourceLinked="0"/>
            <c:txPr>
              <a:bodyPr/>
              <a:lstStyle/>
              <a:p>
                <a:pPr>
                  <a:defRPr sz="1200"/>
                </a:pPr>
                <a:endParaRPr lang="en-US"/>
              </a:p>
            </c:txPr>
            <c:showVal val="1"/>
          </c:dLbls>
          <c:cat>
            <c:strRef>
              <c:f>'Equity &amp; Reserves'!$A$43:$A$45</c:f>
              <c:strCache>
                <c:ptCount val="3"/>
                <c:pt idx="0">
                  <c:v>Your Municipality</c:v>
                </c:pt>
                <c:pt idx="1">
                  <c:v>State of Michigan</c:v>
                </c:pt>
                <c:pt idx="2">
                  <c:v>Michigan Schools</c:v>
                </c:pt>
              </c:strCache>
            </c:strRef>
          </c:cat>
          <c:val>
            <c:numRef>
              <c:f>('Equity &amp; Reserves'!$D$24,'Equity &amp; Reserves'!$D$44,'Equity &amp; Reserves'!$D$45)</c:f>
              <c:numCache>
                <c:formatCode>0.0%</c:formatCode>
                <c:ptCount val="3"/>
                <c:pt idx="0">
                  <c:v>0.4044002095337873</c:v>
                </c:pt>
                <c:pt idx="1">
                  <c:v>1.4999999999999999E-2</c:v>
                </c:pt>
                <c:pt idx="2">
                  <c:v>5.1999999999999998E-2</c:v>
                </c:pt>
              </c:numCache>
            </c:numRef>
          </c:val>
        </c:ser>
        <c:axId val="71578368"/>
        <c:axId val="71579904"/>
      </c:barChart>
      <c:lineChart>
        <c:grouping val="standard"/>
        <c:ser>
          <c:idx val="1"/>
          <c:order val="1"/>
          <c:tx>
            <c:v>RECOMMENDED RESERVES</c:v>
          </c:tx>
          <c:spPr>
            <a:ln w="25400">
              <a:noFill/>
              <a:prstDash val="sysDot"/>
            </a:ln>
          </c:spPr>
          <c:marker>
            <c:symbol val="none"/>
          </c:marker>
          <c:dLbls>
            <c:dLbl>
              <c:idx val="1"/>
              <c:layout>
                <c:manualLayout>
                  <c:x val="4.0495864916425733E-2"/>
                  <c:y val="-8.5134218035829768E-4"/>
                </c:manualLayout>
              </c:layout>
              <c:dLblPos val="r"/>
              <c:showSerName val="1"/>
            </c:dLbl>
            <c:delete val="1"/>
          </c:dLbls>
          <c:trendline>
            <c:spPr>
              <a:ln>
                <a:solidFill>
                  <a:srgbClr val="C00000"/>
                </a:solidFill>
                <a:prstDash val="sysDot"/>
              </a:ln>
            </c:spPr>
            <c:trendlineType val="linear"/>
          </c:trendline>
          <c:trendline>
            <c:spPr>
              <a:ln w="28575">
                <a:prstDash val="sysDot"/>
              </a:ln>
            </c:spPr>
            <c:trendlineType val="linear"/>
            <c:forward val="0.5"/>
            <c:backward val="0.5"/>
          </c:trendline>
          <c:val>
            <c:numRef>
              <c:f>'Equity &amp; Reserves'!$E$43:$E$45</c:f>
              <c:numCache>
                <c:formatCode>0%</c:formatCode>
                <c:ptCount val="3"/>
                <c:pt idx="0">
                  <c:v>0.1</c:v>
                </c:pt>
                <c:pt idx="1">
                  <c:v>0.1</c:v>
                </c:pt>
                <c:pt idx="2">
                  <c:v>0.1</c:v>
                </c:pt>
              </c:numCache>
            </c:numRef>
          </c:val>
        </c:ser>
        <c:marker val="1"/>
        <c:axId val="71578368"/>
        <c:axId val="71579904"/>
      </c:lineChart>
      <c:catAx>
        <c:axId val="71578368"/>
        <c:scaling>
          <c:orientation val="minMax"/>
        </c:scaling>
        <c:axPos val="b"/>
        <c:tickLblPos val="nextTo"/>
        <c:txPr>
          <a:bodyPr/>
          <a:lstStyle/>
          <a:p>
            <a:pPr>
              <a:defRPr sz="1200">
                <a:latin typeface="Calibri" pitchFamily="34" charset="0"/>
                <a:cs typeface="Times New Roman" pitchFamily="18" charset="0"/>
              </a:defRPr>
            </a:pPr>
            <a:endParaRPr lang="en-US"/>
          </a:p>
        </c:txPr>
        <c:crossAx val="71579904"/>
        <c:crosses val="autoZero"/>
        <c:auto val="1"/>
        <c:lblAlgn val="ctr"/>
        <c:lblOffset val="100"/>
      </c:catAx>
      <c:valAx>
        <c:axId val="71579904"/>
        <c:scaling>
          <c:orientation val="minMax"/>
        </c:scaling>
        <c:axPos val="l"/>
        <c:numFmt formatCode="0%" sourceLinked="0"/>
        <c:tickLblPos val="nextTo"/>
        <c:txPr>
          <a:bodyPr/>
          <a:lstStyle/>
          <a:p>
            <a:pPr>
              <a:defRPr sz="1200">
                <a:latin typeface="Calibri" pitchFamily="34" charset="0"/>
                <a:cs typeface="Times New Roman" pitchFamily="18" charset="0"/>
              </a:defRPr>
            </a:pPr>
            <a:endParaRPr lang="en-US"/>
          </a:p>
        </c:txPr>
        <c:crossAx val="71578368"/>
        <c:crosses val="autoZero"/>
        <c:crossBetween val="between"/>
      </c:valAx>
    </c:plotArea>
    <c:plotVisOnly val="1"/>
    <c:dispBlanksAs val="gap"/>
  </c:chart>
  <c:spPr>
    <a:ln>
      <a:noFill/>
    </a:ln>
  </c:spPr>
  <c:printSettings>
    <c:headerFooter/>
    <c:pageMargins b="0.75000000000000155" l="0.70000000000000062" r="0.70000000000000062" t="0.75000000000000155" header="0.30000000000000032" footer="0.30000000000000032"/>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6"/>
            <c:spPr>
              <a:solidFill>
                <a:schemeClr val="accent3">
                  <a:lumMod val="60000"/>
                  <a:lumOff val="40000"/>
                </a:schemeClr>
              </a:solidFill>
              <a:ln>
                <a:solidFill>
                  <a:schemeClr val="accent3">
                    <a:lumMod val="60000"/>
                    <a:lumOff val="40000"/>
                  </a:schemeClr>
                </a:solidFill>
              </a:ln>
            </c:spPr>
          </c:dPt>
          <c:cat>
            <c:strRef>
              <c:f>Debt!$J$3:$J$9</c:f>
              <c:strCache>
                <c:ptCount val="7"/>
                <c:pt idx="0">
                  <c:v>State Government</c:v>
                </c:pt>
                <c:pt idx="1">
                  <c:v>All Local Government Units</c:v>
                </c:pt>
                <c:pt idx="2">
                  <c:v>School Districts</c:v>
                </c:pt>
                <c:pt idx="3">
                  <c:v>Counties</c:v>
                </c:pt>
                <c:pt idx="4">
                  <c:v>Cities/Villages</c:v>
                </c:pt>
                <c:pt idx="5">
                  <c:v>Townships</c:v>
                </c:pt>
                <c:pt idx="6">
                  <c:v>Your Municipality</c:v>
                </c:pt>
              </c:strCache>
            </c:strRef>
          </c:cat>
          <c:val>
            <c:numRef>
              <c:f>Debt!$K$3:$K$9</c:f>
              <c:numCache>
                <c:formatCode>_("$"* #,##0_);_("$"* \(#,##0\);_("$"* "-"??_);_(@_)</c:formatCode>
                <c:ptCount val="7"/>
                <c:pt idx="0">
                  <c:v>2410</c:v>
                </c:pt>
                <c:pt idx="1">
                  <c:v>4617</c:v>
                </c:pt>
                <c:pt idx="2">
                  <c:v>1943.9233330285497</c:v>
                </c:pt>
                <c:pt idx="3">
                  <c:v>437.5282998537337</c:v>
                </c:pt>
                <c:pt idx="4">
                  <c:v>2725.8774761768636</c:v>
                </c:pt>
                <c:pt idx="5">
                  <c:v>413.96851375143183</c:v>
                </c:pt>
                <c:pt idx="6">
                  <c:v>800</c:v>
                </c:pt>
              </c:numCache>
            </c:numRef>
          </c:val>
        </c:ser>
        <c:axId val="71611136"/>
        <c:axId val="71612672"/>
      </c:barChart>
      <c:catAx>
        <c:axId val="71611136"/>
        <c:scaling>
          <c:orientation val="minMax"/>
        </c:scaling>
        <c:axPos val="b"/>
        <c:tickLblPos val="nextTo"/>
        <c:crossAx val="71612672"/>
        <c:crosses val="autoZero"/>
        <c:auto val="1"/>
        <c:lblAlgn val="ctr"/>
        <c:lblOffset val="100"/>
      </c:catAx>
      <c:valAx>
        <c:axId val="71612672"/>
        <c:scaling>
          <c:orientation val="minMax"/>
        </c:scaling>
        <c:axPos val="l"/>
        <c:majorGridlines/>
        <c:numFmt formatCode="_(&quot;$&quot;* #,##0_);_(&quot;$&quot;* \(#,##0\);_(&quot;$&quot;* &quot;-&quot;??_);_(@_)" sourceLinked="1"/>
        <c:tickLblPos val="nextTo"/>
        <c:crossAx val="71611136"/>
        <c:crosses val="autoZero"/>
        <c:crossBetween val="between"/>
      </c:valAx>
    </c:plotArea>
    <c:plotVisOnly val="1"/>
  </c:chart>
  <c:spPr>
    <a:ln>
      <a:noFill/>
    </a:ln>
  </c:spPr>
  <c:printSettings>
    <c:headerFooter/>
    <c:pageMargins b="0.750000000000001" l="0.70000000000000062" r="0.70000000000000062" t="0.75000000000000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autoTitleDeleted val="1"/>
    <c:plotArea>
      <c:layout/>
      <c:barChart>
        <c:barDir val="col"/>
        <c:grouping val="clustered"/>
        <c:ser>
          <c:idx val="0"/>
          <c:order val="0"/>
          <c:tx>
            <c:v>Long-term Debt</c:v>
          </c:tx>
          <c:spPr>
            <a:solidFill>
              <a:schemeClr val="accent3">
                <a:lumMod val="60000"/>
                <a:lumOff val="40000"/>
              </a:schemeClr>
            </a:solidFill>
          </c:spPr>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Entry'!$D$116:$M$116,'Data Entry'!$B$116)</c:f>
              <c:numCache>
                <c:formatCode>_("$"* #,##0_);_("$"* \(#,##0\);_("$"* "-"??_);_(@_)</c:formatCode>
                <c:ptCount val="11"/>
                <c:pt idx="0">
                  <c:v>75000000</c:v>
                </c:pt>
                <c:pt idx="1">
                  <c:v>77000000</c:v>
                </c:pt>
                <c:pt idx="2">
                  <c:v>78000000</c:v>
                </c:pt>
                <c:pt idx="3">
                  <c:v>78500000</c:v>
                </c:pt>
                <c:pt idx="4">
                  <c:v>78800000</c:v>
                </c:pt>
                <c:pt idx="5">
                  <c:v>80000000</c:v>
                </c:pt>
                <c:pt idx="6">
                  <c:v>80500000</c:v>
                </c:pt>
                <c:pt idx="7">
                  <c:v>80700000</c:v>
                </c:pt>
                <c:pt idx="8">
                  <c:v>81000000</c:v>
                </c:pt>
                <c:pt idx="9">
                  <c:v>81300000</c:v>
                </c:pt>
                <c:pt idx="10">
                  <c:v>80000000</c:v>
                </c:pt>
              </c:numCache>
            </c:numRef>
          </c:val>
        </c:ser>
        <c:axId val="71795840"/>
        <c:axId val="71797376"/>
      </c:barChart>
      <c:catAx>
        <c:axId val="71795840"/>
        <c:scaling>
          <c:orientation val="minMax"/>
        </c:scaling>
        <c:axPos val="b"/>
        <c:numFmt formatCode="General" sourceLinked="1"/>
        <c:tickLblPos val="nextTo"/>
        <c:crossAx val="71797376"/>
        <c:crosses val="autoZero"/>
        <c:auto val="1"/>
        <c:lblAlgn val="ctr"/>
        <c:lblOffset val="100"/>
      </c:catAx>
      <c:valAx>
        <c:axId val="71797376"/>
        <c:scaling>
          <c:orientation val="minMax"/>
        </c:scaling>
        <c:axPos val="l"/>
        <c:majorGridlines/>
        <c:numFmt formatCode="_(&quot;$&quot;* #,##0_);_(&quot;$&quot;* \(#,##0\);_(&quot;$&quot;* &quot;-&quot;??_);_(@_)" sourceLinked="1"/>
        <c:tickLblPos val="nextTo"/>
        <c:crossAx val="71795840"/>
        <c:crosses val="autoZero"/>
        <c:crossBetween val="between"/>
        <c:dispUnits>
          <c:builtInUnit val="millions"/>
          <c:dispUnitsLbl>
            <c:layout>
              <c:manualLayout>
                <c:xMode val="edge"/>
                <c:yMode val="edge"/>
                <c:x val="3.0551004024897181E-2"/>
                <c:y val="0.37686535297077545"/>
              </c:manualLayout>
            </c:layout>
            <c:tx>
              <c:rich>
                <a:bodyPr/>
                <a:lstStyle/>
                <a:p>
                  <a:pPr>
                    <a:defRPr/>
                  </a:pPr>
                  <a:r>
                    <a:rPr lang="en-US"/>
                    <a:t>millions of $</a:t>
                  </a:r>
                </a:p>
              </c:rich>
            </c:tx>
          </c:dispUnitsLbl>
        </c:dispUnits>
      </c:valAx>
    </c:plotArea>
    <c:plotVisOnly val="1"/>
  </c:chart>
  <c:spPr>
    <a:ln>
      <a:noFill/>
    </a:ln>
  </c:spPr>
  <c:printSettings>
    <c:headerFooter/>
    <c:pageMargins b="0.75000000000000122" l="0.70000000000000062" r="0.70000000000000062" t="0.750000000000001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3985949954373991"/>
          <c:y val="6.5558604443378937E-2"/>
          <c:w val="0.58508372329340796"/>
          <c:h val="0.82282332905178202"/>
        </c:manualLayout>
      </c:layout>
      <c:areaChart>
        <c:grouping val="stacked"/>
        <c:ser>
          <c:idx val="1"/>
          <c:order val="0"/>
          <c:spPr>
            <a:noFill/>
          </c:spPr>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Entry'!$D$124:$M$124,'Data Entry'!$B$124)</c:f>
              <c:numCache>
                <c:formatCode>_("$"* #,##0_);_("$"* \(#,##0\);_("$"* "-"??_);_(@_)</c:formatCode>
                <c:ptCount val="11"/>
                <c:pt idx="0">
                  <c:v>2800000</c:v>
                </c:pt>
                <c:pt idx="1">
                  <c:v>2902000</c:v>
                </c:pt>
                <c:pt idx="2">
                  <c:v>2912000</c:v>
                </c:pt>
                <c:pt idx="3">
                  <c:v>2761000</c:v>
                </c:pt>
                <c:pt idx="4">
                  <c:v>2538000</c:v>
                </c:pt>
                <c:pt idx="5">
                  <c:v>2470000</c:v>
                </c:pt>
                <c:pt idx="6">
                  <c:v>3222000</c:v>
                </c:pt>
                <c:pt idx="7">
                  <c:v>3374000</c:v>
                </c:pt>
                <c:pt idx="8">
                  <c:v>3587000</c:v>
                </c:pt>
                <c:pt idx="9">
                  <c:v>3641000</c:v>
                </c:pt>
                <c:pt idx="10">
                  <c:v>3400000</c:v>
                </c:pt>
              </c:numCache>
            </c:numRef>
          </c:val>
        </c:ser>
        <c:ser>
          <c:idx val="0"/>
          <c:order val="1"/>
          <c:tx>
            <c:v>Unfunded Pension Obligations</c:v>
          </c:tx>
          <c:spPr>
            <a:solidFill>
              <a:schemeClr val="accent1">
                <a:lumMod val="40000"/>
                <a:lumOff val="60000"/>
              </a:schemeClr>
            </a:solidFill>
            <a:ln w="12700">
              <a:solidFill>
                <a:schemeClr val="tx1"/>
              </a:solidFill>
            </a:ln>
          </c:spPr>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Entry'!$D$125:$M$125,'Data Entry'!$B$125)</c:f>
              <c:numCache>
                <c:formatCode>_("$"* #,##0_);_("$"* \(#,##0\);_("$"* "-"??_);_(@_)</c:formatCode>
                <c:ptCount val="11"/>
                <c:pt idx="0">
                  <c:v>200000</c:v>
                </c:pt>
                <c:pt idx="1">
                  <c:v>175000</c:v>
                </c:pt>
                <c:pt idx="2">
                  <c:v>268000</c:v>
                </c:pt>
                <c:pt idx="3">
                  <c:v>490000</c:v>
                </c:pt>
                <c:pt idx="4">
                  <c:v>733000</c:v>
                </c:pt>
                <c:pt idx="5">
                  <c:v>914000</c:v>
                </c:pt>
                <c:pt idx="6">
                  <c:v>125000</c:v>
                </c:pt>
                <c:pt idx="7">
                  <c:v>60000</c:v>
                </c:pt>
                <c:pt idx="8">
                  <c:v>42000</c:v>
                </c:pt>
                <c:pt idx="9">
                  <c:v>-31000</c:v>
                </c:pt>
                <c:pt idx="10">
                  <c:v>200000</c:v>
                </c:pt>
              </c:numCache>
            </c:numRef>
          </c:val>
        </c:ser>
        <c:axId val="73000064"/>
        <c:axId val="73001600"/>
      </c:areaChart>
      <c:lineChart>
        <c:grouping val="standard"/>
        <c:ser>
          <c:idx val="2"/>
          <c:order val="2"/>
          <c:tx>
            <c:v>Present value of pension obligations</c:v>
          </c:tx>
          <c:marker>
            <c:symbol val="none"/>
          </c:marker>
          <c:val>
            <c:numRef>
              <c:f>('Data Entry'!$D$123:$M$123,'Data Entry'!$B$123)</c:f>
              <c:numCache>
                <c:formatCode>_("$"* #,##0_);_("$"* \(#,##0\);_("$"* "-"??_);_(@_)</c:formatCode>
                <c:ptCount val="11"/>
                <c:pt idx="0">
                  <c:v>3000000</c:v>
                </c:pt>
                <c:pt idx="1">
                  <c:v>3077000</c:v>
                </c:pt>
                <c:pt idx="2">
                  <c:v>3180000</c:v>
                </c:pt>
                <c:pt idx="3">
                  <c:v>3251000</c:v>
                </c:pt>
                <c:pt idx="4">
                  <c:v>3271000</c:v>
                </c:pt>
                <c:pt idx="5">
                  <c:v>3384000</c:v>
                </c:pt>
                <c:pt idx="6">
                  <c:v>3347000</c:v>
                </c:pt>
                <c:pt idx="7">
                  <c:v>3434000</c:v>
                </c:pt>
                <c:pt idx="8">
                  <c:v>3629000</c:v>
                </c:pt>
                <c:pt idx="9">
                  <c:v>3610000</c:v>
                </c:pt>
                <c:pt idx="10">
                  <c:v>3600000</c:v>
                </c:pt>
              </c:numCache>
            </c:numRef>
          </c:val>
        </c:ser>
        <c:ser>
          <c:idx val="3"/>
          <c:order val="3"/>
          <c:tx>
            <c:v>Value of pension fund assets</c:v>
          </c:tx>
          <c:marker>
            <c:symbol val="none"/>
          </c:marker>
          <c:val>
            <c:numRef>
              <c:f>('Data Entry'!$D$124:$M$124,'Data Entry'!$B$124)</c:f>
              <c:numCache>
                <c:formatCode>_("$"* #,##0_);_("$"* \(#,##0\);_("$"* "-"??_);_(@_)</c:formatCode>
                <c:ptCount val="11"/>
                <c:pt idx="0">
                  <c:v>2800000</c:v>
                </c:pt>
                <c:pt idx="1">
                  <c:v>2902000</c:v>
                </c:pt>
                <c:pt idx="2">
                  <c:v>2912000</c:v>
                </c:pt>
                <c:pt idx="3">
                  <c:v>2761000</c:v>
                </c:pt>
                <c:pt idx="4">
                  <c:v>2538000</c:v>
                </c:pt>
                <c:pt idx="5">
                  <c:v>2470000</c:v>
                </c:pt>
                <c:pt idx="6">
                  <c:v>3222000</c:v>
                </c:pt>
                <c:pt idx="7">
                  <c:v>3374000</c:v>
                </c:pt>
                <c:pt idx="8">
                  <c:v>3587000</c:v>
                </c:pt>
                <c:pt idx="9">
                  <c:v>3641000</c:v>
                </c:pt>
                <c:pt idx="10">
                  <c:v>3400000</c:v>
                </c:pt>
              </c:numCache>
            </c:numRef>
          </c:val>
        </c:ser>
        <c:marker val="1"/>
        <c:axId val="73000064"/>
        <c:axId val="73001600"/>
      </c:lineChart>
      <c:catAx>
        <c:axId val="73000064"/>
        <c:scaling>
          <c:orientation val="minMax"/>
        </c:scaling>
        <c:axPos val="b"/>
        <c:numFmt formatCode="General" sourceLinked="1"/>
        <c:majorTickMark val="none"/>
        <c:tickLblPos val="nextTo"/>
        <c:crossAx val="73001600"/>
        <c:crosses val="autoZero"/>
        <c:auto val="1"/>
        <c:lblAlgn val="ctr"/>
        <c:lblOffset val="100"/>
        <c:tickLblSkip val="2"/>
      </c:catAx>
      <c:valAx>
        <c:axId val="73001600"/>
        <c:scaling>
          <c:orientation val="minMax"/>
        </c:scaling>
        <c:axPos val="l"/>
        <c:majorGridlines/>
        <c:title>
          <c:tx>
            <c:rich>
              <a:bodyPr/>
              <a:lstStyle/>
              <a:p>
                <a:pPr>
                  <a:defRPr/>
                </a:pPr>
                <a:r>
                  <a:rPr lang="en-US"/>
                  <a:t>millions of $</a:t>
                </a:r>
              </a:p>
            </c:rich>
          </c:tx>
          <c:layout/>
        </c:title>
        <c:numFmt formatCode="&quot;$&quot;#,##0.0" sourceLinked="0"/>
        <c:majorTickMark val="none"/>
        <c:tickLblPos val="nextTo"/>
        <c:crossAx val="73000064"/>
        <c:crosses val="autoZero"/>
        <c:crossBetween val="between"/>
        <c:dispUnits>
          <c:builtInUnit val="millions"/>
        </c:dispUnits>
      </c:valAx>
    </c:plotArea>
    <c:legend>
      <c:legendPos val="r"/>
      <c:legendEntry>
        <c:idx val="1"/>
        <c:delete val="1"/>
      </c:legendEntry>
      <c:layout>
        <c:manualLayout>
          <c:xMode val="edge"/>
          <c:yMode val="edge"/>
          <c:x val="0.74767049217512627"/>
          <c:y val="0.25726161288480881"/>
          <c:w val="0.24096587315588874"/>
          <c:h val="0.38917082307253847"/>
        </c:manualLayout>
      </c:layout>
    </c:legend>
    <c:plotVisOnly val="1"/>
    <c:dispBlanksAs val="zero"/>
  </c:chart>
  <c:spPr>
    <a:ln>
      <a:noFill/>
    </a:ln>
  </c:spPr>
  <c:printSettings>
    <c:headerFooter/>
    <c:pageMargins b="0.75000000000000155" l="0.70000000000000062" r="0.70000000000000062" t="0.7500000000000015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3985949954373991"/>
          <c:y val="6.5558604443378937E-2"/>
          <c:w val="0.58508372329340796"/>
          <c:h val="0.82282332905178202"/>
        </c:manualLayout>
      </c:layout>
      <c:areaChart>
        <c:grouping val="stacked"/>
        <c:ser>
          <c:idx val="1"/>
          <c:order val="0"/>
          <c:spPr>
            <a:noFill/>
          </c:spPr>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Entry'!$D$133:$M$133,'Data Entry'!$B$133)</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er>
        <c:ser>
          <c:idx val="0"/>
          <c:order val="1"/>
          <c:tx>
            <c:v>Unfunded Retiree Health Benefits</c:v>
          </c:tx>
          <c:spPr>
            <a:solidFill>
              <a:schemeClr val="accent1">
                <a:lumMod val="40000"/>
                <a:lumOff val="60000"/>
              </a:schemeClr>
            </a:solidFill>
            <a:ln w="12700">
              <a:solidFill>
                <a:schemeClr val="tx1"/>
              </a:solidFill>
            </a:ln>
          </c:spPr>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Entry'!$D$134:$M$134,'Data Entry'!$B$134)</c:f>
              <c:numCache>
                <c:formatCode>_("$"* #,##0_);_("$"* \(#,##0\);_("$"* "-"??_);_(@_)</c:formatCode>
                <c:ptCount val="11"/>
                <c:pt idx="0">
                  <c:v>4500000</c:v>
                </c:pt>
                <c:pt idx="1">
                  <c:v>4532000</c:v>
                </c:pt>
                <c:pt idx="2">
                  <c:v>4638000</c:v>
                </c:pt>
                <c:pt idx="3">
                  <c:v>4793000</c:v>
                </c:pt>
                <c:pt idx="4">
                  <c:v>4800000</c:v>
                </c:pt>
                <c:pt idx="5">
                  <c:v>4750000</c:v>
                </c:pt>
                <c:pt idx="6">
                  <c:v>4820000</c:v>
                </c:pt>
                <c:pt idx="7">
                  <c:v>4824000</c:v>
                </c:pt>
                <c:pt idx="8">
                  <c:v>4897000</c:v>
                </c:pt>
                <c:pt idx="9">
                  <c:v>4950000</c:v>
                </c:pt>
                <c:pt idx="10">
                  <c:v>4900000</c:v>
                </c:pt>
              </c:numCache>
            </c:numRef>
          </c:val>
        </c:ser>
        <c:axId val="73787264"/>
        <c:axId val="73788800"/>
      </c:areaChart>
      <c:lineChart>
        <c:grouping val="standard"/>
        <c:ser>
          <c:idx val="2"/>
          <c:order val="2"/>
          <c:tx>
            <c:v>Present value of OPEB obligations</c:v>
          </c:tx>
          <c:marker>
            <c:symbol val="none"/>
          </c:marker>
          <c:val>
            <c:numRef>
              <c:f>('Data Entry'!$D$132:$M$132,'Data Entry'!$B$132)</c:f>
              <c:numCache>
                <c:formatCode>_("$"* #,##0_);_("$"* \(#,##0\);_("$"* "-"??_);_(@_)</c:formatCode>
                <c:ptCount val="11"/>
                <c:pt idx="0">
                  <c:v>4500000</c:v>
                </c:pt>
                <c:pt idx="1">
                  <c:v>4532000</c:v>
                </c:pt>
                <c:pt idx="2">
                  <c:v>4638000</c:v>
                </c:pt>
                <c:pt idx="3">
                  <c:v>4793000</c:v>
                </c:pt>
                <c:pt idx="4">
                  <c:v>4800000</c:v>
                </c:pt>
                <c:pt idx="5">
                  <c:v>4750000</c:v>
                </c:pt>
                <c:pt idx="6">
                  <c:v>4820000</c:v>
                </c:pt>
                <c:pt idx="7">
                  <c:v>4824000</c:v>
                </c:pt>
                <c:pt idx="8">
                  <c:v>4897000</c:v>
                </c:pt>
                <c:pt idx="9">
                  <c:v>4950000</c:v>
                </c:pt>
                <c:pt idx="10">
                  <c:v>4900000</c:v>
                </c:pt>
              </c:numCache>
            </c:numRef>
          </c:val>
        </c:ser>
        <c:ser>
          <c:idx val="3"/>
          <c:order val="3"/>
          <c:tx>
            <c:v>Value of OPEB fund assets</c:v>
          </c:tx>
          <c:marker>
            <c:symbol val="none"/>
          </c:marker>
          <c:val>
            <c:numRef>
              <c:f>('Data Entry'!$D$133:$M$133,'Data Entry'!$B$133)</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ser>
        <c:marker val="1"/>
        <c:axId val="73787264"/>
        <c:axId val="73788800"/>
      </c:lineChart>
      <c:catAx>
        <c:axId val="73787264"/>
        <c:scaling>
          <c:orientation val="minMax"/>
        </c:scaling>
        <c:axPos val="b"/>
        <c:numFmt formatCode="General" sourceLinked="1"/>
        <c:majorTickMark val="none"/>
        <c:tickLblPos val="nextTo"/>
        <c:crossAx val="73788800"/>
        <c:crosses val="autoZero"/>
        <c:auto val="1"/>
        <c:lblAlgn val="ctr"/>
        <c:lblOffset val="100"/>
        <c:tickLblSkip val="2"/>
      </c:catAx>
      <c:valAx>
        <c:axId val="73788800"/>
        <c:scaling>
          <c:orientation val="minMax"/>
        </c:scaling>
        <c:axPos val="l"/>
        <c:majorGridlines/>
        <c:title>
          <c:tx>
            <c:rich>
              <a:bodyPr/>
              <a:lstStyle/>
              <a:p>
                <a:pPr>
                  <a:defRPr/>
                </a:pPr>
                <a:r>
                  <a:rPr lang="en-US"/>
                  <a:t>millions of $</a:t>
                </a:r>
              </a:p>
            </c:rich>
          </c:tx>
          <c:layout/>
        </c:title>
        <c:numFmt formatCode="&quot;$&quot;#,##0.0" sourceLinked="0"/>
        <c:majorTickMark val="none"/>
        <c:tickLblPos val="nextTo"/>
        <c:crossAx val="73787264"/>
        <c:crosses val="autoZero"/>
        <c:crossBetween val="between"/>
        <c:dispUnits>
          <c:builtInUnit val="millions"/>
        </c:dispUnits>
      </c:valAx>
    </c:plotArea>
    <c:legend>
      <c:legendPos val="r"/>
      <c:legendEntry>
        <c:idx val="1"/>
        <c:delete val="1"/>
      </c:legendEntry>
      <c:layout>
        <c:manualLayout>
          <c:xMode val="edge"/>
          <c:yMode val="edge"/>
          <c:x val="0.74767049217512682"/>
          <c:y val="0.25726161288480881"/>
          <c:w val="0.24096587315588874"/>
          <c:h val="0.38917082307253864"/>
        </c:manualLayout>
      </c:layout>
    </c:legend>
    <c:plotVisOnly val="1"/>
    <c:dispBlanksAs val="zero"/>
  </c:chart>
  <c:spPr>
    <a:ln>
      <a:noFill/>
    </a:ln>
  </c:spPr>
  <c:printSettings>
    <c:headerFooter/>
    <c:pageMargins b="0.75000000000000178" l="0.70000000000000062" r="0.70000000000000062" t="0.75000000000000178"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strRef>
              <c:f>'Budget Gap'!$B$6</c:f>
              <c:strCache>
                <c:ptCount val="1"/>
                <c:pt idx="0">
                  <c:v>Deficit</c:v>
                </c:pt>
              </c:strCache>
            </c:strRef>
          </c:tx>
          <c:cat>
            <c:numRef>
              <c:f>'Budget Gap'!$C$3:$L$3</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'Budget Gap'!$C$6:$L$6</c:f>
              <c:numCache>
                <c:formatCode>_("$"* #,##0_);_("$"* \(#,##0\);_("$"* "-"??_);_(@_)</c:formatCode>
                <c:ptCount val="10"/>
                <c:pt idx="0">
                  <c:v>-1668950</c:v>
                </c:pt>
                <c:pt idx="1">
                  <c:v>-1952829.5</c:v>
                </c:pt>
                <c:pt idx="2">
                  <c:v>-2246938.5650000274</c:v>
                </c:pt>
                <c:pt idx="3">
                  <c:v>-2551585.922360003</c:v>
                </c:pt>
                <c:pt idx="4">
                  <c:v>-2867089.209602952</c:v>
                </c:pt>
                <c:pt idx="5">
                  <c:v>-3193775.229324311</c:v>
                </c:pt>
                <c:pt idx="6">
                  <c:v>-3531980.2114138007</c:v>
                </c:pt>
                <c:pt idx="7">
                  <c:v>-3882050.0827993453</c:v>
                </c:pt>
                <c:pt idx="8">
                  <c:v>-4244340.7449314296</c:v>
                </c:pt>
                <c:pt idx="9">
                  <c:v>-17480000</c:v>
                </c:pt>
              </c:numCache>
            </c:numRef>
          </c:val>
        </c:ser>
        <c:ser>
          <c:idx val="1"/>
          <c:order val="1"/>
          <c:tx>
            <c:v>Budget Gap</c:v>
          </c:tx>
          <c:cat>
            <c:numRef>
              <c:f>'Budget Gap'!$C$3:$L$3</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'Budget Gap'!$C$9:$L$9</c:f>
              <c:numCache>
                <c:formatCode>_("$"* #,##0_);_("$"* \(#,##0\);_("$"* "-"??_);_(@_)</c:formatCode>
                <c:ptCount val="10"/>
                <c:pt idx="0">
                  <c:v>-1675950</c:v>
                </c:pt>
                <c:pt idx="1">
                  <c:v>-2151829.5</c:v>
                </c:pt>
                <c:pt idx="2">
                  <c:v>-2623938.5650000274</c:v>
                </c:pt>
                <c:pt idx="3">
                  <c:v>-2801585.922360003</c:v>
                </c:pt>
                <c:pt idx="4">
                  <c:v>-2998089.209602952</c:v>
                </c:pt>
                <c:pt idx="5">
                  <c:v>-2474775.229324311</c:v>
                </c:pt>
                <c:pt idx="6">
                  <c:v>-3470980.2114138007</c:v>
                </c:pt>
                <c:pt idx="7">
                  <c:v>-3937050.0827993453</c:v>
                </c:pt>
                <c:pt idx="8">
                  <c:v>-4224340.7449314296</c:v>
                </c:pt>
                <c:pt idx="9">
                  <c:v>-17661000</c:v>
                </c:pt>
              </c:numCache>
            </c:numRef>
          </c:val>
        </c:ser>
        <c:axId val="74019968"/>
        <c:axId val="74021504"/>
      </c:barChart>
      <c:catAx>
        <c:axId val="74019968"/>
        <c:scaling>
          <c:orientation val="minMax"/>
        </c:scaling>
        <c:axPos val="b"/>
        <c:numFmt formatCode="General" sourceLinked="1"/>
        <c:tickLblPos val="high"/>
        <c:crossAx val="74021504"/>
        <c:crosses val="autoZero"/>
        <c:auto val="1"/>
        <c:lblAlgn val="ctr"/>
        <c:lblOffset val="100"/>
      </c:catAx>
      <c:valAx>
        <c:axId val="74021504"/>
        <c:scaling>
          <c:orientation val="minMax"/>
        </c:scaling>
        <c:axPos val="l"/>
        <c:majorGridlines/>
        <c:numFmt formatCode="&quot;$&quot;#,##0.0_);\(&quot;$&quot;#,##0.0\)" sourceLinked="0"/>
        <c:tickLblPos val="nextTo"/>
        <c:crossAx val="74019968"/>
        <c:crosses val="autoZero"/>
        <c:crossBetween val="between"/>
        <c:dispUnits>
          <c:builtInUnit val="millions"/>
          <c:dispUnitsLbl>
            <c:layout>
              <c:manualLayout>
                <c:xMode val="edge"/>
                <c:yMode val="edge"/>
                <c:x val="2.5806447243002781E-2"/>
                <c:y val="0.41902656304769836"/>
              </c:manualLayout>
            </c:layout>
            <c:tx>
              <c:rich>
                <a:bodyPr/>
                <a:lstStyle/>
                <a:p>
                  <a:pPr>
                    <a:defRPr/>
                  </a:pPr>
                  <a:r>
                    <a:rPr lang="en-US"/>
                    <a:t>millions of $</a:t>
                  </a:r>
                </a:p>
              </c:rich>
            </c:tx>
          </c:dispUnitsLbl>
        </c:dispUnits>
      </c:valAx>
    </c:plotArea>
    <c:legend>
      <c:legendPos val="r"/>
      <c:layout/>
    </c:legend>
    <c:plotVisOnly val="1"/>
  </c:chart>
  <c:spPr>
    <a:ln>
      <a:noFill/>
    </a:ln>
  </c:spPr>
  <c:printSettings>
    <c:headerFooter/>
    <c:pageMargins b="0.750000000000001" l="0.70000000000000062" r="0.70000000000000062" t="0.75000000000000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1"/>
          <c:order val="0"/>
          <c:tx>
            <c:strRef>
              <c:f>'Data Entry'!$B$5</c:f>
              <c:strCache>
                <c:ptCount val="1"/>
                <c:pt idx="0">
                  <c:v>Your Municipality</c:v>
                </c:pt>
              </c:strCache>
            </c:strRef>
          </c:tx>
          <c:spPr>
            <a:solidFill>
              <a:schemeClr val="accent3">
                <a:lumMod val="60000"/>
                <a:lumOff val="40000"/>
              </a:schemeClr>
            </a:solidFill>
            <a:ln>
              <a:solidFill>
                <a:schemeClr val="accent3">
                  <a:lumMod val="60000"/>
                  <a:lumOff val="40000"/>
                </a:schemeClr>
              </a:solidFill>
            </a:ln>
          </c:spPr>
          <c:cat>
            <c:numRef>
              <c:f>'Budget Gap'!$C$3:$K$3</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'Budget Gap'!$C$10:$K$10</c:f>
              <c:numCache>
                <c:formatCode>_("$"* #,##0.00_);_("$"* \(#,##0.00\);_("$"* "-"??_);_(@_)</c:formatCode>
                <c:ptCount val="9"/>
                <c:pt idx="0">
                  <c:v>-16.759499999999999</c:v>
                </c:pt>
                <c:pt idx="1">
                  <c:v>-21.518294999999998</c:v>
                </c:pt>
                <c:pt idx="2">
                  <c:v>-26.239385650000273</c:v>
                </c:pt>
                <c:pt idx="3">
                  <c:v>-28.015859223600032</c:v>
                </c:pt>
                <c:pt idx="4">
                  <c:v>-29.980892096029521</c:v>
                </c:pt>
                <c:pt idx="5">
                  <c:v>-24.74775229324311</c:v>
                </c:pt>
                <c:pt idx="6">
                  <c:v>-34.709802114138007</c:v>
                </c:pt>
                <c:pt idx="7">
                  <c:v>-39.370500827993453</c:v>
                </c:pt>
                <c:pt idx="8">
                  <c:v>-42.243407449314297</c:v>
                </c:pt>
              </c:numCache>
            </c:numRef>
          </c:val>
        </c:ser>
        <c:ser>
          <c:idx val="2"/>
          <c:order val="1"/>
          <c:tx>
            <c:v>State Government</c:v>
          </c:tx>
          <c:spPr>
            <a:solidFill>
              <a:schemeClr val="accent2">
                <a:lumMod val="75000"/>
              </a:schemeClr>
            </a:solidFill>
          </c:spPr>
          <c:cat>
            <c:numRef>
              <c:f>'Budget Gap'!$C$3:$K$3</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'Budget Gap'!$C$62:$K$62</c:f>
              <c:numCache>
                <c:formatCode>_("$"* #,##0_);_("$"* \(#,##0\);_("$"* "-"??_);_(@_)</c:formatCode>
                <c:ptCount val="9"/>
                <c:pt idx="0">
                  <c:v>-107.89569858590755</c:v>
                </c:pt>
                <c:pt idx="1">
                  <c:v>-628.98348468929669</c:v>
                </c:pt>
                <c:pt idx="2">
                  <c:v>-619.49098913407204</c:v>
                </c:pt>
                <c:pt idx="3">
                  <c:v>-373.15909665796147</c:v>
                </c:pt>
                <c:pt idx="4">
                  <c:v>-372.15634148827587</c:v>
                </c:pt>
                <c:pt idx="5">
                  <c:v>313.40090899874207</c:v>
                </c:pt>
                <c:pt idx="6">
                  <c:v>24.3590084165718</c:v>
                </c:pt>
                <c:pt idx="7">
                  <c:v>-588.75233616922844</c:v>
                </c:pt>
                <c:pt idx="8">
                  <c:v>-834.51492703862391</c:v>
                </c:pt>
              </c:numCache>
            </c:numRef>
          </c:val>
        </c:ser>
        <c:ser>
          <c:idx val="3"/>
          <c:order val="2"/>
          <c:tx>
            <c:v>Local Governments</c:v>
          </c:tx>
          <c:cat>
            <c:numRef>
              <c:f>'Budget Gap'!$C$3:$K$3</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'Budget Gap'!$C$63:$K$63</c:f>
              <c:numCache>
                <c:formatCode>_("$"* #,##0_);_("$"* \(#,##0\);_("$"* "-"??_);_(@_)</c:formatCode>
                <c:ptCount val="9"/>
                <c:pt idx="0">
                  <c:v>-158.29220256097963</c:v>
                </c:pt>
                <c:pt idx="1">
                  <c:v>-364.71700159989706</c:v>
                </c:pt>
                <c:pt idx="2">
                  <c:v>-313.88489235076395</c:v>
                </c:pt>
                <c:pt idx="3">
                  <c:v>-242.92446308244212</c:v>
                </c:pt>
                <c:pt idx="4">
                  <c:v>134.8967559164744</c:v>
                </c:pt>
                <c:pt idx="5">
                  <c:v>70.882855912429704</c:v>
                </c:pt>
                <c:pt idx="6">
                  <c:v>154.40688730014548</c:v>
                </c:pt>
                <c:pt idx="7">
                  <c:v>-265.93998731915258</c:v>
                </c:pt>
                <c:pt idx="8">
                  <c:v>-194.16880723012753</c:v>
                </c:pt>
              </c:numCache>
            </c:numRef>
          </c:val>
        </c:ser>
        <c:axId val="74059776"/>
        <c:axId val="74061312"/>
      </c:barChart>
      <c:catAx>
        <c:axId val="74059776"/>
        <c:scaling>
          <c:orientation val="minMax"/>
        </c:scaling>
        <c:axPos val="b"/>
        <c:numFmt formatCode="General" sourceLinked="1"/>
        <c:tickLblPos val="high"/>
        <c:crossAx val="74061312"/>
        <c:crosses val="autoZero"/>
        <c:auto val="1"/>
        <c:lblAlgn val="ctr"/>
        <c:lblOffset val="100"/>
      </c:catAx>
      <c:valAx>
        <c:axId val="74061312"/>
        <c:scaling>
          <c:orientation val="minMax"/>
        </c:scaling>
        <c:axPos val="l"/>
        <c:majorGridlines/>
        <c:numFmt formatCode="_(&quot;$&quot;* #,##0_);_(&quot;$&quot;* \(#,##0\);_(&quot;$&quot;* &quot;-&quot;_);_(@_)" sourceLinked="0"/>
        <c:tickLblPos val="nextTo"/>
        <c:crossAx val="74059776"/>
        <c:crosses val="autoZero"/>
        <c:crossBetween val="between"/>
      </c:valAx>
    </c:plotArea>
    <c:legend>
      <c:legendPos val="r"/>
      <c:layout/>
    </c:legend>
    <c:plotVisOnly val="1"/>
  </c:chart>
  <c:spPr>
    <a:ln>
      <a:noFill/>
    </a:ln>
  </c:spPr>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31207447138841"/>
          <c:y val="5.1400554097404488E-2"/>
          <c:w val="0.64531680737915265"/>
          <c:h val="0.74838582677165355"/>
        </c:manualLayout>
      </c:layout>
      <c:barChart>
        <c:barDir val="col"/>
        <c:grouping val="stacked"/>
        <c:ser>
          <c:idx val="3"/>
          <c:order val="0"/>
          <c:tx>
            <c:v>Taxes</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Entry'!$D$21:$M$21,'Data Entry'!$B$21)</c:f>
              <c:numCache>
                <c:formatCode>_("$"* #,##0_);_("$"* \(#,##0\);_("$"* "-"??_);_(@_)</c:formatCode>
                <c:ptCount val="11"/>
                <c:pt idx="0">
                  <c:v>55000000</c:v>
                </c:pt>
                <c:pt idx="1">
                  <c:v>56100000</c:v>
                </c:pt>
                <c:pt idx="2">
                  <c:v>57222000</c:v>
                </c:pt>
                <c:pt idx="3">
                  <c:v>58366440</c:v>
                </c:pt>
                <c:pt idx="4">
                  <c:v>59533768.800000004</c:v>
                </c:pt>
                <c:pt idx="5">
                  <c:v>60724444.176000006</c:v>
                </c:pt>
                <c:pt idx="6">
                  <c:v>61938933.059520006</c:v>
                </c:pt>
                <c:pt idx="7">
                  <c:v>63177711.720710404</c:v>
                </c:pt>
                <c:pt idx="8">
                  <c:v>64441265.955124617</c:v>
                </c:pt>
                <c:pt idx="9">
                  <c:v>65730091.274227113</c:v>
                </c:pt>
                <c:pt idx="10">
                  <c:v>60000000</c:v>
                </c:pt>
              </c:numCache>
            </c:numRef>
          </c:val>
        </c:ser>
        <c:ser>
          <c:idx val="4"/>
          <c:order val="1"/>
          <c:tx>
            <c:v>Charges for Services</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Entry'!$D$29:$M$29,'Data Entry'!$B$29)</c:f>
              <c:numCache>
                <c:formatCode>_("$"* #,##0_);_("$"* \(#,##0\);_("$"* "-"??_);_(@_)</c:formatCode>
                <c:ptCount val="11"/>
                <c:pt idx="0">
                  <c:v>76605000</c:v>
                </c:pt>
                <c:pt idx="1">
                  <c:v>77511050</c:v>
                </c:pt>
                <c:pt idx="2">
                  <c:v>78428960.5</c:v>
                </c:pt>
                <c:pt idx="3">
                  <c:v>79358906.105000004</c:v>
                </c:pt>
                <c:pt idx="4">
                  <c:v>80301064.286050007</c:v>
                </c:pt>
                <c:pt idx="5">
                  <c:v>81255615.431310505</c:v>
                </c:pt>
                <c:pt idx="6">
                  <c:v>82222742.898071617</c:v>
                </c:pt>
                <c:pt idx="7">
                  <c:v>83202633.065749288</c:v>
                </c:pt>
                <c:pt idx="8">
                  <c:v>84195475.389877677</c:v>
                </c:pt>
                <c:pt idx="9">
                  <c:v>85201462.457116783</c:v>
                </c:pt>
                <c:pt idx="10">
                  <c:v>74120000</c:v>
                </c:pt>
              </c:numCache>
            </c:numRef>
          </c:val>
        </c:ser>
        <c:ser>
          <c:idx val="1"/>
          <c:order val="2"/>
          <c:tx>
            <c:v>State Government</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Entry'!$D$15:$M$15,'Data Entry'!$B$15)</c:f>
              <c:numCache>
                <c:formatCode>_("$"* #,##0_);_("$"* \(#,##0\);_("$"* "-"??_);_(@_)</c:formatCode>
                <c:ptCount val="11"/>
                <c:pt idx="0">
                  <c:v>25000000</c:v>
                </c:pt>
                <c:pt idx="1">
                  <c:v>25250000</c:v>
                </c:pt>
                <c:pt idx="2">
                  <c:v>25502500</c:v>
                </c:pt>
                <c:pt idx="3">
                  <c:v>25757525</c:v>
                </c:pt>
                <c:pt idx="4">
                  <c:v>26015100.25</c:v>
                </c:pt>
                <c:pt idx="5">
                  <c:v>26275251.252500001</c:v>
                </c:pt>
                <c:pt idx="6">
                  <c:v>26538003.765025001</c:v>
                </c:pt>
                <c:pt idx="7">
                  <c:v>26803383.802675251</c:v>
                </c:pt>
                <c:pt idx="8">
                  <c:v>27071417.640702005</c:v>
                </c:pt>
                <c:pt idx="9">
                  <c:v>27342131.817109026</c:v>
                </c:pt>
                <c:pt idx="10">
                  <c:v>30000000</c:v>
                </c:pt>
              </c:numCache>
            </c:numRef>
          </c:val>
        </c:ser>
        <c:ser>
          <c:idx val="0"/>
          <c:order val="3"/>
          <c:tx>
            <c:v>Federal Government</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Entry'!$D$14:$M$14,'Data Entry'!$B$14)</c:f>
              <c:numCache>
                <c:formatCode>_("$"* #,##0_);_("$"* \(#,##0\);_("$"* "-"??_);_(@_)</c:formatCode>
                <c:ptCount val="11"/>
                <c:pt idx="0">
                  <c:v>4500000</c:v>
                </c:pt>
                <c:pt idx="1">
                  <c:v>4590000</c:v>
                </c:pt>
                <c:pt idx="2">
                  <c:v>4681800</c:v>
                </c:pt>
                <c:pt idx="3">
                  <c:v>4775436</c:v>
                </c:pt>
                <c:pt idx="4">
                  <c:v>4870944.72</c:v>
                </c:pt>
                <c:pt idx="5">
                  <c:v>4968363.6143999994</c:v>
                </c:pt>
                <c:pt idx="6">
                  <c:v>5067730.8866879996</c:v>
                </c:pt>
                <c:pt idx="7">
                  <c:v>5169085.5044217594</c:v>
                </c:pt>
                <c:pt idx="8">
                  <c:v>5272467.214510195</c:v>
                </c:pt>
                <c:pt idx="9">
                  <c:v>5377916.5588003993</c:v>
                </c:pt>
                <c:pt idx="10">
                  <c:v>5000000</c:v>
                </c:pt>
              </c:numCache>
            </c:numRef>
          </c:val>
        </c:ser>
        <c:ser>
          <c:idx val="2"/>
          <c:order val="4"/>
          <c:tx>
            <c:v>Other Local Gov'ts</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Entry'!$D$16:$M$16,'Data Entry'!$B$16)</c:f>
              <c:numCache>
                <c:formatCode>_("$"* #,##0_);_("$"* \(#,##0\);_("$"* "-"??_);_(@_)</c:formatCode>
                <c:ptCount val="11"/>
              </c:numCache>
            </c:numRef>
          </c:val>
        </c:ser>
        <c:ser>
          <c:idx val="5"/>
          <c:order val="5"/>
          <c:tx>
            <c:v>Other</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Entry'!$D$34:$M$34,'Data Entry'!$B$34)</c:f>
              <c:numCache>
                <c:formatCode>_("$"* #,##0_);_("$"* \(#,##0\);_("$"* "-"??_);_(@_)</c:formatCode>
                <c:ptCount val="11"/>
                <c:pt idx="0">
                  <c:v>9000000</c:v>
                </c:pt>
                <c:pt idx="1">
                  <c:v>9240000</c:v>
                </c:pt>
                <c:pt idx="2">
                  <c:v>9486600</c:v>
                </c:pt>
                <c:pt idx="3">
                  <c:v>9739986</c:v>
                </c:pt>
                <c:pt idx="4">
                  <c:v>10000349.34</c:v>
                </c:pt>
                <c:pt idx="5">
                  <c:v>10267886.8554</c:v>
                </c:pt>
                <c:pt idx="6">
                  <c:v>10542801.036966</c:v>
                </c:pt>
                <c:pt idx="7">
                  <c:v>10825300.195497062</c:v>
                </c:pt>
                <c:pt idx="8">
                  <c:v>11115598.631332494</c:v>
                </c:pt>
                <c:pt idx="9">
                  <c:v>11413916.808842402</c:v>
                </c:pt>
                <c:pt idx="10">
                  <c:v>4300000</c:v>
                </c:pt>
              </c:numCache>
            </c:numRef>
          </c:val>
        </c:ser>
        <c:overlap val="100"/>
        <c:axId val="86750720"/>
        <c:axId val="86752640"/>
      </c:barChart>
      <c:lineChart>
        <c:grouping val="standard"/>
        <c:ser>
          <c:idx val="6"/>
          <c:order val="6"/>
          <c:tx>
            <c:v>Total Expenditures</c:v>
          </c:tx>
          <c:spPr>
            <a:ln w="19050">
              <a:solidFill>
                <a:schemeClr val="tx1"/>
              </a:solidFill>
            </a:ln>
          </c:spPr>
          <c:marker>
            <c:symbol val="diamond"/>
            <c:size val="4"/>
            <c:spPr>
              <a:solidFill>
                <a:schemeClr val="tx1"/>
              </a:solidFill>
              <a:ln>
                <a:solidFill>
                  <a:schemeClr val="tx1"/>
                </a:solidFill>
              </a:ln>
            </c:spPr>
          </c:marker>
          <c:val>
            <c:numRef>
              <c:f>('Data Entry'!$D$60:$M$60,'Data Entry'!$B$60)</c:f>
              <c:numCache>
                <c:formatCode>_("$"* #,##0_);_("$"* \(#,##0\);_("$"* "-"??_);_(@_)</c:formatCode>
                <c:ptCount val="11"/>
                <c:pt idx="0">
                  <c:v>171500000</c:v>
                </c:pt>
                <c:pt idx="1">
                  <c:v>174360000</c:v>
                </c:pt>
                <c:pt idx="2">
                  <c:v>177274690</c:v>
                </c:pt>
                <c:pt idx="3">
                  <c:v>180245231.67000002</c:v>
                </c:pt>
                <c:pt idx="4">
                  <c:v>183272813.31841001</c:v>
                </c:pt>
                <c:pt idx="5">
                  <c:v>186358650.53921345</c:v>
                </c:pt>
                <c:pt idx="6">
                  <c:v>189503986.87559491</c:v>
                </c:pt>
                <c:pt idx="7">
                  <c:v>192710094.50046757</c:v>
                </c:pt>
                <c:pt idx="8">
                  <c:v>195978274.91434637</c:v>
                </c:pt>
                <c:pt idx="9">
                  <c:v>199309859.66102713</c:v>
                </c:pt>
                <c:pt idx="10">
                  <c:v>190900000</c:v>
                </c:pt>
              </c:numCache>
            </c:numRef>
          </c:val>
        </c:ser>
        <c:marker val="1"/>
        <c:axId val="86750720"/>
        <c:axId val="86752640"/>
      </c:lineChart>
      <c:catAx>
        <c:axId val="86750720"/>
        <c:scaling>
          <c:orientation val="minMax"/>
        </c:scaling>
        <c:axPos val="b"/>
        <c:numFmt formatCode="General" sourceLinked="1"/>
        <c:tickLblPos val="nextTo"/>
        <c:crossAx val="86752640"/>
        <c:crosses val="autoZero"/>
        <c:auto val="1"/>
        <c:lblAlgn val="ctr"/>
        <c:lblOffset val="100"/>
      </c:catAx>
      <c:valAx>
        <c:axId val="86752640"/>
        <c:scaling>
          <c:orientation val="minMax"/>
        </c:scaling>
        <c:axPos val="l"/>
        <c:majorGridlines/>
        <c:title>
          <c:tx>
            <c:rich>
              <a:bodyPr rot="-5400000" vert="horz"/>
              <a:lstStyle/>
              <a:p>
                <a:pPr>
                  <a:defRPr/>
                </a:pPr>
                <a:r>
                  <a:rPr lang="en-US"/>
                  <a:t>Millions of $</a:t>
                </a:r>
              </a:p>
            </c:rich>
          </c:tx>
          <c:layout>
            <c:manualLayout>
              <c:xMode val="edge"/>
              <c:yMode val="edge"/>
              <c:x val="2.8046662286765851E-2"/>
              <c:y val="0.31984764726507942"/>
            </c:manualLayout>
          </c:layout>
        </c:title>
        <c:numFmt formatCode="_(&quot;$&quot;* #,##0_);_(&quot;$&quot;* \(#,##0\);_(&quot;$&quot;* &quot;-&quot;??_);_(@_)" sourceLinked="1"/>
        <c:tickLblPos val="nextTo"/>
        <c:crossAx val="86750720"/>
        <c:crosses val="autoZero"/>
        <c:crossBetween val="between"/>
        <c:dispUnits>
          <c:builtInUnit val="millions"/>
        </c:dispUnits>
      </c:valAx>
    </c:plotArea>
    <c:legend>
      <c:legendPos val="r"/>
      <c:legendEntry>
        <c:idx val="6"/>
        <c:delete val="1"/>
      </c:legendEntry>
      <c:layout>
        <c:manualLayout>
          <c:xMode val="edge"/>
          <c:yMode val="edge"/>
          <c:x val="0.77800820891454003"/>
          <c:y val="0.22268812149240291"/>
          <c:w val="0.21701052205269594"/>
          <c:h val="0.46327548938630331"/>
        </c:manualLayout>
      </c:layout>
    </c:legend>
    <c:plotVisOnly val="1"/>
    <c:dispBlanksAs val="span"/>
  </c:chart>
  <c:spPr>
    <a:ln>
      <a:noFill/>
    </a:ln>
  </c:spPr>
  <c:printSettings>
    <c:headerFooter/>
    <c:pageMargins b="0.75000000000000178" l="0.70000000000000062" r="0.70000000000000062" t="0.7500000000000017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Cities/Villages</a:t>
            </a:r>
          </a:p>
        </c:rich>
      </c:tx>
      <c:layout>
        <c:manualLayout>
          <c:xMode val="edge"/>
          <c:yMode val="edge"/>
          <c:x val="0.54292160180485061"/>
          <c:y val="2.6079862906169596E-2"/>
        </c:manualLayout>
      </c:layout>
    </c:title>
    <c:plotArea>
      <c:layout>
        <c:manualLayout>
          <c:layoutTarget val="inner"/>
          <c:xMode val="edge"/>
          <c:yMode val="edge"/>
          <c:x val="0.36736558990197005"/>
          <c:y val="0.1338274303685629"/>
          <c:w val="0.5944546154345548"/>
          <c:h val="0.82264358427671769"/>
        </c:manualLayout>
      </c:layout>
      <c:pieChart>
        <c:varyColors val="1"/>
        <c:ser>
          <c:idx val="0"/>
          <c:order val="0"/>
          <c:dLbls>
            <c:showPercent val="1"/>
            <c:showLeaderLines val="1"/>
          </c:dLbls>
          <c:cat>
            <c:strLit>
              <c:ptCount val="15"/>
              <c:pt idx="0">
                <c:v>Federal</c:v>
              </c:pt>
              <c:pt idx="1">
                <c:v> State</c:v>
              </c:pt>
              <c:pt idx="2">
                <c:v>Other Local Gov</c:v>
              </c:pt>
              <c:pt idx="3">
                <c:v> Personal Income Tax</c:v>
              </c:pt>
              <c:pt idx="4">
                <c:v> Property Tax</c:v>
              </c:pt>
              <c:pt idx="5">
                <c:v> Other Tax</c:v>
              </c:pt>
              <c:pt idx="6">
                <c:v> Licenses and Permits</c:v>
              </c:pt>
              <c:pt idx="7">
                <c:v> Utilities</c:v>
              </c:pt>
              <c:pt idx="8">
                <c:v> Sewerage and Trash Collection</c:v>
              </c:pt>
              <c:pt idx="9">
                <c:v> Parks and Recreation</c:v>
              </c:pt>
              <c:pt idx="10">
                <c:v> Hospitals</c:v>
              </c:pt>
              <c:pt idx="11">
                <c:v> Other Services</c:v>
              </c:pt>
              <c:pt idx="12">
                <c:v> Interest and Investment Income</c:v>
              </c:pt>
              <c:pt idx="13">
                <c:v>Employee Pensions</c:v>
              </c:pt>
              <c:pt idx="14">
                <c:v> Other Revenues</c:v>
              </c:pt>
            </c:strLit>
          </c:cat>
          <c:val>
            <c:numRef>
              <c:f>(Revenues!$C$66:$C$68,Revenues!$C$70:$C$72,Revenues!$C$75:$C$80,Revenues!$C$83:$C$85)</c:f>
              <c:numCache>
                <c:formatCode>_("$"* #,##0_);_("$"* \(#,##0\);_("$"* "-"??_);_(@_)</c:formatCode>
                <c:ptCount val="15"/>
                <c:pt idx="0">
                  <c:v>478591</c:v>
                </c:pt>
                <c:pt idx="1">
                  <c:v>1562915</c:v>
                </c:pt>
                <c:pt idx="2">
                  <c:v>156931</c:v>
                </c:pt>
                <c:pt idx="3">
                  <c:v>468445</c:v>
                </c:pt>
                <c:pt idx="4">
                  <c:v>2606527</c:v>
                </c:pt>
                <c:pt idx="5">
                  <c:v>359897</c:v>
                </c:pt>
                <c:pt idx="6">
                  <c:v>449859</c:v>
                </c:pt>
                <c:pt idx="7">
                  <c:v>1660605</c:v>
                </c:pt>
                <c:pt idx="8">
                  <c:v>1193855</c:v>
                </c:pt>
                <c:pt idx="9">
                  <c:v>128310</c:v>
                </c:pt>
                <c:pt idx="10">
                  <c:v>368736</c:v>
                </c:pt>
                <c:pt idx="11">
                  <c:v>133214</c:v>
                </c:pt>
                <c:pt idx="12">
                  <c:v>452070</c:v>
                </c:pt>
                <c:pt idx="13">
                  <c:v>2450183</c:v>
                </c:pt>
                <c:pt idx="14">
                  <c:v>605068</c:v>
                </c:pt>
              </c:numCache>
            </c:numRef>
          </c:val>
        </c:ser>
        <c:dLbls>
          <c:showPercent val="1"/>
        </c:dLbls>
        <c:firstSliceAng val="0"/>
      </c:pieChart>
    </c:plotArea>
    <c:legend>
      <c:legendPos val="t"/>
      <c:layout>
        <c:manualLayout>
          <c:xMode val="edge"/>
          <c:yMode val="edge"/>
          <c:x val="1.5764725522383939E-3"/>
          <c:y val="2.9258474543640903E-2"/>
          <c:w val="0.34806135982118824"/>
          <c:h val="0.95244737437899962"/>
        </c:manualLayout>
      </c:layout>
    </c:legend>
    <c:plotVisOnly val="1"/>
    <c:dispBlanksAs val="zero"/>
  </c:chart>
  <c:spPr>
    <a:ln>
      <a:noFill/>
    </a:ln>
  </c:spPr>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Counties</a:t>
            </a:r>
          </a:p>
        </c:rich>
      </c:tx>
      <c:layout>
        <c:manualLayout>
          <c:xMode val="edge"/>
          <c:yMode val="edge"/>
          <c:x val="0.36657167071745905"/>
          <c:y val="1.9656014585691453E-2"/>
        </c:manualLayout>
      </c:layout>
    </c:title>
    <c:plotArea>
      <c:layout>
        <c:manualLayout>
          <c:layoutTarget val="inner"/>
          <c:xMode val="edge"/>
          <c:yMode val="edge"/>
          <c:x val="5.7874183223414373E-2"/>
          <c:y val="0.13142393122355317"/>
          <c:w val="0.86352650566494249"/>
          <c:h val="0.81897042724230762"/>
        </c:manualLayout>
      </c:layout>
      <c:pieChart>
        <c:varyColors val="1"/>
        <c:ser>
          <c:idx val="0"/>
          <c:order val="0"/>
          <c:dLbls>
            <c:dLblPos val="bestFit"/>
            <c:showPercent val="1"/>
            <c:showLeaderLines val="1"/>
          </c:dLbls>
          <c:cat>
            <c:strLit>
              <c:ptCount val="15"/>
              <c:pt idx="0">
                <c:v>Federal</c:v>
              </c:pt>
              <c:pt idx="1">
                <c:v> State</c:v>
              </c:pt>
              <c:pt idx="2">
                <c:v> Other Local Gov</c:v>
              </c:pt>
              <c:pt idx="3">
                <c:v> Personal Income Tax</c:v>
              </c:pt>
              <c:pt idx="4">
                <c:v> Property Tax</c:v>
              </c:pt>
              <c:pt idx="5">
                <c:v> Other Tax</c:v>
              </c:pt>
              <c:pt idx="6">
                <c:v> Licenses and Permits</c:v>
              </c:pt>
              <c:pt idx="7">
                <c:v> Utilities</c:v>
              </c:pt>
              <c:pt idx="8">
                <c:v> Sewerage and Trash Collection</c:v>
              </c:pt>
              <c:pt idx="9">
                <c:v> Parks and Recreation</c:v>
              </c:pt>
              <c:pt idx="10">
                <c:v> Hospitals</c:v>
              </c:pt>
              <c:pt idx="11">
                <c:v> Other Services</c:v>
              </c:pt>
              <c:pt idx="12">
                <c:v> Interest and Investment Income</c:v>
              </c:pt>
              <c:pt idx="13">
                <c:v> Employee Pensions</c:v>
              </c:pt>
              <c:pt idx="14">
                <c:v> Other Revenues</c:v>
              </c:pt>
            </c:strLit>
          </c:cat>
          <c:val>
            <c:numRef>
              <c:f>(Revenues!$B$66:$B$68,Revenues!$B$70:$B$72,Revenues!$B$75:$B$80,Revenues!$B$83:$B$85)</c:f>
              <c:numCache>
                <c:formatCode>_("$"* #,##0_);_("$"* \(#,##0\);_("$"* "-"??_);_(@_)</c:formatCode>
                <c:ptCount val="15"/>
                <c:pt idx="0">
                  <c:v>741710</c:v>
                </c:pt>
                <c:pt idx="1">
                  <c:v>3251891</c:v>
                </c:pt>
                <c:pt idx="2">
                  <c:v>590377</c:v>
                </c:pt>
                <c:pt idx="4">
                  <c:v>2439934</c:v>
                </c:pt>
                <c:pt idx="5">
                  <c:v>132942</c:v>
                </c:pt>
                <c:pt idx="6">
                  <c:v>1289428</c:v>
                </c:pt>
                <c:pt idx="7">
                  <c:v>38539</c:v>
                </c:pt>
                <c:pt idx="8">
                  <c:v>210484</c:v>
                </c:pt>
                <c:pt idx="9">
                  <c:v>32700</c:v>
                </c:pt>
                <c:pt idx="10">
                  <c:v>381883</c:v>
                </c:pt>
                <c:pt idx="11">
                  <c:v>130982</c:v>
                </c:pt>
                <c:pt idx="12">
                  <c:v>252822</c:v>
                </c:pt>
                <c:pt idx="13">
                  <c:v>589605</c:v>
                </c:pt>
                <c:pt idx="14">
                  <c:v>417236</c:v>
                </c:pt>
              </c:numCache>
            </c:numRef>
          </c:val>
        </c:ser>
        <c:dLbls>
          <c:showCatName val="1"/>
          <c:showPercent val="1"/>
        </c:dLbls>
        <c:firstSliceAng val="0"/>
      </c:pieChart>
    </c:plotArea>
    <c:plotVisOnly val="1"/>
  </c:chart>
  <c:spPr>
    <a:ln>
      <a:noFill/>
    </a:ln>
  </c:spPr>
  <c:printSettings>
    <c:headerFooter/>
    <c:pageMargins b="0.75000000000000133" l="0.70000000000000062" r="0.70000000000000062" t="0.750000000000001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Townships</a:t>
            </a:r>
          </a:p>
        </c:rich>
      </c:tx>
      <c:layout>
        <c:manualLayout>
          <c:xMode val="edge"/>
          <c:yMode val="edge"/>
          <c:x val="0.33152363530316376"/>
          <c:y val="1.6220600162206007E-2"/>
        </c:manualLayout>
      </c:layout>
    </c:title>
    <c:plotArea>
      <c:layout>
        <c:manualLayout>
          <c:layoutTarget val="inner"/>
          <c:xMode val="edge"/>
          <c:yMode val="edge"/>
          <c:x val="6.077841874043835E-2"/>
          <c:y val="0.14697396402092094"/>
          <c:w val="0.90168231644841323"/>
          <c:h val="0.82050896922556216"/>
        </c:manualLayout>
      </c:layout>
      <c:pieChart>
        <c:varyColors val="1"/>
        <c:ser>
          <c:idx val="0"/>
          <c:order val="0"/>
          <c:dLbls>
            <c:showPercent val="1"/>
            <c:showLeaderLines val="1"/>
          </c:dLbls>
          <c:val>
            <c:numRef>
              <c:f>(Revenues!$D$66:$D$68,Revenues!$D$70:$D$72,Revenues!$D$75:$D$80,Revenues!$D$83:$D$85)</c:f>
              <c:numCache>
                <c:formatCode>_("$"* #,##0_);_("$"* \(#,##0\);_("$"* "-"??_);_(@_)</c:formatCode>
                <c:ptCount val="15"/>
                <c:pt idx="0">
                  <c:v>30204</c:v>
                </c:pt>
                <c:pt idx="1">
                  <c:v>359465</c:v>
                </c:pt>
                <c:pt idx="2">
                  <c:v>14747</c:v>
                </c:pt>
                <c:pt idx="4">
                  <c:v>870330</c:v>
                </c:pt>
                <c:pt idx="5">
                  <c:v>66993</c:v>
                </c:pt>
                <c:pt idx="6">
                  <c:v>118360</c:v>
                </c:pt>
                <c:pt idx="7">
                  <c:v>217521</c:v>
                </c:pt>
                <c:pt idx="8">
                  <c:v>266534</c:v>
                </c:pt>
                <c:pt idx="9">
                  <c:v>16593</c:v>
                </c:pt>
                <c:pt idx="11">
                  <c:v>1413</c:v>
                </c:pt>
                <c:pt idx="12">
                  <c:v>142364</c:v>
                </c:pt>
                <c:pt idx="13">
                  <c:v>46048</c:v>
                </c:pt>
                <c:pt idx="14">
                  <c:v>285993</c:v>
                </c:pt>
              </c:numCache>
            </c:numRef>
          </c:val>
        </c:ser>
        <c:dLbls>
          <c:showPercent val="1"/>
        </c:dLbls>
        <c:firstSliceAng val="0"/>
      </c:pieChart>
    </c:plotArea>
    <c:plotVisOnly val="1"/>
  </c:chart>
  <c:spPr>
    <a:ln>
      <a:noFill/>
    </a:ln>
  </c:spPr>
  <c:printSettings>
    <c:headerFooter/>
    <c:pageMargins b="0.75000000000000133" l="0.70000000000000062" r="0.70000000000000062" t="0.7500000000000013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5165357290120363"/>
          <c:y val="6.8310811436726265E-2"/>
          <c:w val="0.69005155481106351"/>
          <c:h val="0.8399266422188254"/>
        </c:manualLayout>
      </c:layout>
      <c:pieChart>
        <c:varyColors val="1"/>
        <c:ser>
          <c:idx val="0"/>
          <c:order val="0"/>
          <c:dLbls>
            <c:txPr>
              <a:bodyPr/>
              <a:lstStyle/>
              <a:p>
                <a:pPr>
                  <a:defRPr sz="1000"/>
                </a:pPr>
                <a:endParaRPr lang="en-US"/>
              </a:p>
            </c:txPr>
            <c:showCatName val="1"/>
            <c:showPercent val="1"/>
            <c:showLeaderLines val="1"/>
          </c:dLbls>
          <c:cat>
            <c:strLit>
              <c:ptCount val="13"/>
              <c:pt idx="0">
                <c:v>General Government</c:v>
              </c:pt>
              <c:pt idx="1">
                <c:v> Public Safety</c:v>
              </c:pt>
              <c:pt idx="2">
                <c:v> Corrections</c:v>
              </c:pt>
              <c:pt idx="3">
                <c:v> Utilities</c:v>
              </c:pt>
              <c:pt idx="4">
                <c:v> Sewerage and Sanitation</c:v>
              </c:pt>
              <c:pt idx="5">
                <c:v> Transportation</c:v>
              </c:pt>
              <c:pt idx="6">
                <c:v> Health and Hospitals</c:v>
              </c:pt>
              <c:pt idx="7">
                <c:v> Welfare</c:v>
              </c:pt>
              <c:pt idx="8">
                <c:v> Community and Econ. Dev.</c:v>
              </c:pt>
              <c:pt idx="9">
                <c:v> Environment and Parks</c:v>
              </c:pt>
              <c:pt idx="10">
                <c:v> Debt Service</c:v>
              </c:pt>
              <c:pt idx="11">
                <c:v>Employee Pensions</c:v>
              </c:pt>
              <c:pt idx="12">
                <c:v> Other</c:v>
              </c:pt>
            </c:strLit>
          </c:cat>
          <c:val>
            <c:numRef>
              <c:f>('Data Entry'!$B$42,'Data Entry'!$B$44:$B$45,'Data Entry'!$B$47:$B$49,'Data Entry'!$B$51:$B$54,'Data Entry'!$B$56:$B$58)</c:f>
              <c:numCache>
                <c:formatCode>_("$"* #,##0_);_("$"* \(#,##0\);_("$"* "-"??_);_(@_)</c:formatCode>
                <c:ptCount val="13"/>
                <c:pt idx="0">
                  <c:v>42000000</c:v>
                </c:pt>
                <c:pt idx="1">
                  <c:v>40000000</c:v>
                </c:pt>
                <c:pt idx="3">
                  <c:v>24000000</c:v>
                </c:pt>
                <c:pt idx="4">
                  <c:v>18000000</c:v>
                </c:pt>
                <c:pt idx="5">
                  <c:v>17000000</c:v>
                </c:pt>
                <c:pt idx="7">
                  <c:v>1900000</c:v>
                </c:pt>
                <c:pt idx="8">
                  <c:v>14000000</c:v>
                </c:pt>
                <c:pt idx="9">
                  <c:v>11000000</c:v>
                </c:pt>
                <c:pt idx="10">
                  <c:v>3000000</c:v>
                </c:pt>
                <c:pt idx="12">
                  <c:v>20000000</c:v>
                </c:pt>
              </c:numCache>
            </c:numRef>
          </c:val>
        </c:ser>
        <c:dLbls>
          <c:showCatName val="1"/>
          <c:showPercent val="1"/>
        </c:dLbls>
        <c:firstSliceAng val="0"/>
      </c:pieChart>
    </c:plotArea>
    <c:plotVisOnly val="1"/>
  </c:chart>
  <c:spPr>
    <a:ln>
      <a:noFill/>
    </a:ln>
  </c:spPr>
  <c:printSettings>
    <c:headerFooter/>
    <c:pageMargins b="0.750000000000002" l="0.70000000000000062" r="0.70000000000000062" t="0.75000000000000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312074471388405"/>
          <c:y val="5.1400554097404488E-2"/>
          <c:w val="0.64531680737915265"/>
          <c:h val="0.74838582677165355"/>
        </c:manualLayout>
      </c:layout>
      <c:barChart>
        <c:barDir val="col"/>
        <c:grouping val="stacked"/>
        <c:ser>
          <c:idx val="3"/>
          <c:order val="0"/>
          <c:tx>
            <c:v>Taxes</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Entry'!$D$21:$M$21,'Data Entry'!$B$21)</c:f>
              <c:numCache>
                <c:formatCode>_("$"* #,##0_);_("$"* \(#,##0\);_("$"* "-"??_);_(@_)</c:formatCode>
                <c:ptCount val="11"/>
                <c:pt idx="0">
                  <c:v>55000000</c:v>
                </c:pt>
                <c:pt idx="1">
                  <c:v>56100000</c:v>
                </c:pt>
                <c:pt idx="2">
                  <c:v>57222000</c:v>
                </c:pt>
                <c:pt idx="3">
                  <c:v>58366440</c:v>
                </c:pt>
                <c:pt idx="4">
                  <c:v>59533768.800000004</c:v>
                </c:pt>
                <c:pt idx="5">
                  <c:v>60724444.176000006</c:v>
                </c:pt>
                <c:pt idx="6">
                  <c:v>61938933.059520006</c:v>
                </c:pt>
                <c:pt idx="7">
                  <c:v>63177711.720710404</c:v>
                </c:pt>
                <c:pt idx="8">
                  <c:v>64441265.955124617</c:v>
                </c:pt>
                <c:pt idx="9">
                  <c:v>65730091.274227113</c:v>
                </c:pt>
                <c:pt idx="10">
                  <c:v>60000000</c:v>
                </c:pt>
              </c:numCache>
            </c:numRef>
          </c:val>
        </c:ser>
        <c:ser>
          <c:idx val="4"/>
          <c:order val="1"/>
          <c:tx>
            <c:v>Charges for Services</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Entry'!$D$29:$M$29,'Data Entry'!$B$29)</c:f>
              <c:numCache>
                <c:formatCode>_("$"* #,##0_);_("$"* \(#,##0\);_("$"* "-"??_);_(@_)</c:formatCode>
                <c:ptCount val="11"/>
                <c:pt idx="0">
                  <c:v>76605000</c:v>
                </c:pt>
                <c:pt idx="1">
                  <c:v>77511050</c:v>
                </c:pt>
                <c:pt idx="2">
                  <c:v>78428960.5</c:v>
                </c:pt>
                <c:pt idx="3">
                  <c:v>79358906.105000004</c:v>
                </c:pt>
                <c:pt idx="4">
                  <c:v>80301064.286050007</c:v>
                </c:pt>
                <c:pt idx="5">
                  <c:v>81255615.431310505</c:v>
                </c:pt>
                <c:pt idx="6">
                  <c:v>82222742.898071617</c:v>
                </c:pt>
                <c:pt idx="7">
                  <c:v>83202633.065749288</c:v>
                </c:pt>
                <c:pt idx="8">
                  <c:v>84195475.389877677</c:v>
                </c:pt>
                <c:pt idx="9">
                  <c:v>85201462.457116783</c:v>
                </c:pt>
                <c:pt idx="10">
                  <c:v>74120000</c:v>
                </c:pt>
              </c:numCache>
            </c:numRef>
          </c:val>
        </c:ser>
        <c:ser>
          <c:idx val="1"/>
          <c:order val="2"/>
          <c:tx>
            <c:v>State Government</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Entry'!$D$15:$M$15,'Data Entry'!$B$15)</c:f>
              <c:numCache>
                <c:formatCode>_("$"* #,##0_);_("$"* \(#,##0\);_("$"* "-"??_);_(@_)</c:formatCode>
                <c:ptCount val="11"/>
                <c:pt idx="0">
                  <c:v>25000000</c:v>
                </c:pt>
                <c:pt idx="1">
                  <c:v>25250000</c:v>
                </c:pt>
                <c:pt idx="2">
                  <c:v>25502500</c:v>
                </c:pt>
                <c:pt idx="3">
                  <c:v>25757525</c:v>
                </c:pt>
                <c:pt idx="4">
                  <c:v>26015100.25</c:v>
                </c:pt>
                <c:pt idx="5">
                  <c:v>26275251.252500001</c:v>
                </c:pt>
                <c:pt idx="6">
                  <c:v>26538003.765025001</c:v>
                </c:pt>
                <c:pt idx="7">
                  <c:v>26803383.802675251</c:v>
                </c:pt>
                <c:pt idx="8">
                  <c:v>27071417.640702005</c:v>
                </c:pt>
                <c:pt idx="9">
                  <c:v>27342131.817109026</c:v>
                </c:pt>
                <c:pt idx="10">
                  <c:v>30000000</c:v>
                </c:pt>
              </c:numCache>
            </c:numRef>
          </c:val>
        </c:ser>
        <c:ser>
          <c:idx val="0"/>
          <c:order val="3"/>
          <c:tx>
            <c:v>Federal Government</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Entry'!$D$14:$M$14,'Data Entry'!$B$14)</c:f>
              <c:numCache>
                <c:formatCode>_("$"* #,##0_);_("$"* \(#,##0\);_("$"* "-"??_);_(@_)</c:formatCode>
                <c:ptCount val="11"/>
                <c:pt idx="0">
                  <c:v>4500000</c:v>
                </c:pt>
                <c:pt idx="1">
                  <c:v>4590000</c:v>
                </c:pt>
                <c:pt idx="2">
                  <c:v>4681800</c:v>
                </c:pt>
                <c:pt idx="3">
                  <c:v>4775436</c:v>
                </c:pt>
                <c:pt idx="4">
                  <c:v>4870944.72</c:v>
                </c:pt>
                <c:pt idx="5">
                  <c:v>4968363.6143999994</c:v>
                </c:pt>
                <c:pt idx="6">
                  <c:v>5067730.8866879996</c:v>
                </c:pt>
                <c:pt idx="7">
                  <c:v>5169085.5044217594</c:v>
                </c:pt>
                <c:pt idx="8">
                  <c:v>5272467.214510195</c:v>
                </c:pt>
                <c:pt idx="9">
                  <c:v>5377916.5588003993</c:v>
                </c:pt>
                <c:pt idx="10">
                  <c:v>5000000</c:v>
                </c:pt>
              </c:numCache>
            </c:numRef>
          </c:val>
        </c:ser>
        <c:ser>
          <c:idx val="2"/>
          <c:order val="4"/>
          <c:tx>
            <c:v>Other Local Gov'ts</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Entry'!$D$16:$M$16,'Data Entry'!$B$16)</c:f>
              <c:numCache>
                <c:formatCode>_("$"* #,##0_);_("$"* \(#,##0\);_("$"* "-"??_);_(@_)</c:formatCode>
                <c:ptCount val="11"/>
              </c:numCache>
            </c:numRef>
          </c:val>
        </c:ser>
        <c:ser>
          <c:idx val="5"/>
          <c:order val="5"/>
          <c:tx>
            <c:v>Other</c:v>
          </c:tx>
          <c:cat>
            <c:numLit>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Lit>
          </c:cat>
          <c:val>
            <c:numRef>
              <c:f>('Data Entry'!$D$34:$M$34,'Data Entry'!$B$34)</c:f>
              <c:numCache>
                <c:formatCode>_("$"* #,##0_);_("$"* \(#,##0\);_("$"* "-"??_);_(@_)</c:formatCode>
                <c:ptCount val="11"/>
                <c:pt idx="0">
                  <c:v>9000000</c:v>
                </c:pt>
                <c:pt idx="1">
                  <c:v>9240000</c:v>
                </c:pt>
                <c:pt idx="2">
                  <c:v>9486600</c:v>
                </c:pt>
                <c:pt idx="3">
                  <c:v>9739986</c:v>
                </c:pt>
                <c:pt idx="4">
                  <c:v>10000349.34</c:v>
                </c:pt>
                <c:pt idx="5">
                  <c:v>10267886.8554</c:v>
                </c:pt>
                <c:pt idx="6">
                  <c:v>10542801.036966</c:v>
                </c:pt>
                <c:pt idx="7">
                  <c:v>10825300.195497062</c:v>
                </c:pt>
                <c:pt idx="8">
                  <c:v>11115598.631332494</c:v>
                </c:pt>
                <c:pt idx="9">
                  <c:v>11413916.808842402</c:v>
                </c:pt>
                <c:pt idx="10">
                  <c:v>4300000</c:v>
                </c:pt>
              </c:numCache>
            </c:numRef>
          </c:val>
        </c:ser>
        <c:overlap val="100"/>
        <c:axId val="57269248"/>
        <c:axId val="70919296"/>
      </c:barChart>
      <c:lineChart>
        <c:grouping val="standard"/>
        <c:ser>
          <c:idx val="6"/>
          <c:order val="6"/>
          <c:tx>
            <c:v>Total Expenditures</c:v>
          </c:tx>
          <c:spPr>
            <a:ln w="19050">
              <a:solidFill>
                <a:schemeClr val="tx1"/>
              </a:solidFill>
            </a:ln>
          </c:spPr>
          <c:marker>
            <c:symbol val="diamond"/>
            <c:size val="4"/>
            <c:spPr>
              <a:solidFill>
                <a:schemeClr val="tx1"/>
              </a:solidFill>
              <a:ln>
                <a:solidFill>
                  <a:schemeClr val="tx1"/>
                </a:solidFill>
              </a:ln>
            </c:spPr>
          </c:marker>
          <c:val>
            <c:numRef>
              <c:f>('Data Entry'!$D$60:$M$60,'Data Entry'!$B$60)</c:f>
              <c:numCache>
                <c:formatCode>_("$"* #,##0_);_("$"* \(#,##0\);_("$"* "-"??_);_(@_)</c:formatCode>
                <c:ptCount val="11"/>
                <c:pt idx="0">
                  <c:v>171500000</c:v>
                </c:pt>
                <c:pt idx="1">
                  <c:v>174360000</c:v>
                </c:pt>
                <c:pt idx="2">
                  <c:v>177274690</c:v>
                </c:pt>
                <c:pt idx="3">
                  <c:v>180245231.67000002</c:v>
                </c:pt>
                <c:pt idx="4">
                  <c:v>183272813.31841001</c:v>
                </c:pt>
                <c:pt idx="5">
                  <c:v>186358650.53921345</c:v>
                </c:pt>
                <c:pt idx="6">
                  <c:v>189503986.87559491</c:v>
                </c:pt>
                <c:pt idx="7">
                  <c:v>192710094.50046757</c:v>
                </c:pt>
                <c:pt idx="8">
                  <c:v>195978274.91434637</c:v>
                </c:pt>
                <c:pt idx="9">
                  <c:v>199309859.66102713</c:v>
                </c:pt>
                <c:pt idx="10">
                  <c:v>190900000</c:v>
                </c:pt>
              </c:numCache>
            </c:numRef>
          </c:val>
        </c:ser>
        <c:marker val="1"/>
        <c:axId val="57269248"/>
        <c:axId val="70919296"/>
      </c:lineChart>
      <c:catAx>
        <c:axId val="57269248"/>
        <c:scaling>
          <c:orientation val="minMax"/>
        </c:scaling>
        <c:axPos val="b"/>
        <c:numFmt formatCode="General" sourceLinked="1"/>
        <c:tickLblPos val="nextTo"/>
        <c:crossAx val="70919296"/>
        <c:crosses val="autoZero"/>
        <c:auto val="1"/>
        <c:lblAlgn val="ctr"/>
        <c:lblOffset val="100"/>
      </c:catAx>
      <c:valAx>
        <c:axId val="70919296"/>
        <c:scaling>
          <c:orientation val="minMax"/>
        </c:scaling>
        <c:axPos val="l"/>
        <c:majorGridlines/>
        <c:title>
          <c:tx>
            <c:rich>
              <a:bodyPr rot="-5400000" vert="horz"/>
              <a:lstStyle/>
              <a:p>
                <a:pPr>
                  <a:defRPr/>
                </a:pPr>
                <a:r>
                  <a:rPr lang="en-US"/>
                  <a:t>Millions of $</a:t>
                </a:r>
              </a:p>
            </c:rich>
          </c:tx>
          <c:layout>
            <c:manualLayout>
              <c:xMode val="edge"/>
              <c:yMode val="edge"/>
              <c:x val="2.8046662286765851E-2"/>
              <c:y val="0.31984764726507953"/>
            </c:manualLayout>
          </c:layout>
        </c:title>
        <c:numFmt formatCode="_(&quot;$&quot;* #,##0_);_(&quot;$&quot;* \(#,##0\);_(&quot;$&quot;* &quot;-&quot;??_);_(@_)" sourceLinked="1"/>
        <c:tickLblPos val="nextTo"/>
        <c:crossAx val="57269248"/>
        <c:crosses val="autoZero"/>
        <c:crossBetween val="between"/>
        <c:dispUnits>
          <c:builtInUnit val="millions"/>
        </c:dispUnits>
      </c:valAx>
    </c:plotArea>
    <c:legend>
      <c:legendPos val="r"/>
      <c:legendEntry>
        <c:idx val="6"/>
        <c:delete val="1"/>
      </c:legendEntry>
      <c:layout>
        <c:manualLayout>
          <c:xMode val="edge"/>
          <c:yMode val="edge"/>
          <c:x val="0.77800820891454026"/>
          <c:y val="0.22268812149240291"/>
          <c:w val="0.21701052205269594"/>
          <c:h val="0.46327548938630331"/>
        </c:manualLayout>
      </c:layout>
    </c:legend>
    <c:plotVisOnly val="1"/>
    <c:dispBlanksAs val="span"/>
  </c:chart>
  <c:spPr>
    <a:ln>
      <a:noFill/>
    </a:ln>
  </c:spPr>
  <c:printSettings>
    <c:headerFooter/>
    <c:pageMargins b="0.750000000000002" l="0.70000000000000062" r="0.70000000000000062" t="0.750000000000002"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Cities/Villages</a:t>
            </a:r>
          </a:p>
        </c:rich>
      </c:tx>
      <c:layout>
        <c:manualLayout>
          <c:xMode val="edge"/>
          <c:yMode val="edge"/>
          <c:x val="0.54396302715193456"/>
          <c:y val="1.9323671497584592E-2"/>
        </c:manualLayout>
      </c:layout>
    </c:title>
    <c:plotArea>
      <c:layout>
        <c:manualLayout>
          <c:layoutTarget val="inner"/>
          <c:xMode val="edge"/>
          <c:yMode val="edge"/>
          <c:x val="0.36882235474465308"/>
          <c:y val="0.15596688095147596"/>
          <c:w val="0.5789351201117191"/>
          <c:h val="0.80687334373058461"/>
        </c:manualLayout>
      </c:layout>
      <c:pieChart>
        <c:varyColors val="1"/>
        <c:ser>
          <c:idx val="0"/>
          <c:order val="0"/>
          <c:dLbls>
            <c:showPercent val="1"/>
            <c:showLeaderLines val="1"/>
          </c:dLbls>
          <c:cat>
            <c:strLit>
              <c:ptCount val="13"/>
              <c:pt idx="0">
                <c:v>General Government</c:v>
              </c:pt>
              <c:pt idx="1">
                <c:v> Public Safety</c:v>
              </c:pt>
              <c:pt idx="2">
                <c:v> Corrections</c:v>
              </c:pt>
              <c:pt idx="3">
                <c:v> Utilities</c:v>
              </c:pt>
              <c:pt idx="4">
                <c:v> Sewerage and Sanitation</c:v>
              </c:pt>
              <c:pt idx="5">
                <c:v> Transportation</c:v>
              </c:pt>
              <c:pt idx="6">
                <c:v> Health and Hospitals</c:v>
              </c:pt>
              <c:pt idx="7">
                <c:v> Welfare</c:v>
              </c:pt>
              <c:pt idx="8">
                <c:v> Community and Econ. Dev.</c:v>
              </c:pt>
              <c:pt idx="9">
                <c:v> Environment and Parks</c:v>
              </c:pt>
              <c:pt idx="10">
                <c:v> Debt Service</c:v>
              </c:pt>
              <c:pt idx="11">
                <c:v> Employee Pensions</c:v>
              </c:pt>
              <c:pt idx="12">
                <c:v> Other</c:v>
              </c:pt>
            </c:strLit>
          </c:cat>
          <c:val>
            <c:numRef>
              <c:f>(Expenditures!$C$62,Expenditures!$C$64:$C$65,Expenditures!$C$67:$C$69,Expenditures!$C$71:$C$74,Expenditures!$C$76:$C$78)</c:f>
              <c:numCache>
                <c:formatCode>_("$"* #,##0_);_("$"* \(#,##0\);_("$"* "-"??_);_(@_)</c:formatCode>
                <c:ptCount val="13"/>
                <c:pt idx="0">
                  <c:v>752834</c:v>
                </c:pt>
                <c:pt idx="1">
                  <c:v>2024716</c:v>
                </c:pt>
                <c:pt idx="2">
                  <c:v>1555</c:v>
                </c:pt>
                <c:pt idx="3">
                  <c:v>2009731</c:v>
                </c:pt>
                <c:pt idx="4">
                  <c:v>1500784</c:v>
                </c:pt>
                <c:pt idx="5">
                  <c:v>2158286</c:v>
                </c:pt>
                <c:pt idx="6">
                  <c:v>524438</c:v>
                </c:pt>
                <c:pt idx="7">
                  <c:v>33984</c:v>
                </c:pt>
                <c:pt idx="8">
                  <c:v>402144</c:v>
                </c:pt>
                <c:pt idx="9">
                  <c:v>454281</c:v>
                </c:pt>
                <c:pt idx="10">
                  <c:v>682181</c:v>
                </c:pt>
                <c:pt idx="11">
                  <c:v>1071967</c:v>
                </c:pt>
                <c:pt idx="12">
                  <c:v>188188</c:v>
                </c:pt>
              </c:numCache>
            </c:numRef>
          </c:val>
        </c:ser>
        <c:dLbls>
          <c:showPercent val="1"/>
        </c:dLbls>
        <c:firstSliceAng val="0"/>
      </c:pieChart>
    </c:plotArea>
    <c:legend>
      <c:legendPos val="t"/>
      <c:layout>
        <c:manualLayout>
          <c:xMode val="edge"/>
          <c:yMode val="edge"/>
          <c:x val="1.3837707028389217E-2"/>
          <c:y val="9.3317357069496745E-2"/>
          <c:w val="0.30912412378262194"/>
          <c:h val="0.84352517529511761"/>
        </c:manualLayout>
      </c:layout>
      <c:txPr>
        <a:bodyPr/>
        <a:lstStyle/>
        <a:p>
          <a:pPr rtl="0">
            <a:defRPr/>
          </a:pPr>
          <a:endParaRPr lang="en-US"/>
        </a:p>
      </c:txPr>
    </c:legend>
    <c:plotVisOnly val="1"/>
  </c:chart>
  <c:spPr>
    <a:ln>
      <a:noFill/>
    </a:ln>
  </c:spPr>
  <c:printSettings>
    <c:headerFooter/>
    <c:pageMargins b="0.75000000000000133" l="0.70000000000000062" r="0.70000000000000062" t="0.750000000000001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Counties</a:t>
            </a:r>
          </a:p>
        </c:rich>
      </c:tx>
      <c:layout>
        <c:manualLayout>
          <c:xMode val="edge"/>
          <c:yMode val="edge"/>
          <c:x val="0.38063671145584527"/>
          <c:y val="1.8832057560277241E-2"/>
        </c:manualLayout>
      </c:layout>
    </c:title>
    <c:plotArea>
      <c:layout>
        <c:manualLayout>
          <c:layoutTarget val="inner"/>
          <c:xMode val="edge"/>
          <c:yMode val="edge"/>
          <c:x val="7.2618012300701376E-2"/>
          <c:y val="0.1332306681742752"/>
          <c:w val="0.85294629216124163"/>
          <c:h val="0.822264770860477"/>
        </c:manualLayout>
      </c:layout>
      <c:pieChart>
        <c:varyColors val="1"/>
        <c:ser>
          <c:idx val="0"/>
          <c:order val="0"/>
          <c:dLbls>
            <c:showPercent val="1"/>
            <c:showLeaderLines val="1"/>
          </c:dLbls>
          <c:val>
            <c:numRef>
              <c:f>(Expenditures!$B$62,Expenditures!$B$64:$B$65,Expenditures!$B$67:$B$69,Expenditures!$B$71:$B$74,Expenditures!$B$76:$B$78)</c:f>
              <c:numCache>
                <c:formatCode>_("$"* #,##0_);_("$"* \(#,##0\);_("$"* "-"??_);_(@_)</c:formatCode>
                <c:ptCount val="13"/>
                <c:pt idx="0">
                  <c:v>1100993</c:v>
                </c:pt>
                <c:pt idx="1">
                  <c:v>482680</c:v>
                </c:pt>
                <c:pt idx="2">
                  <c:v>602723</c:v>
                </c:pt>
                <c:pt idx="3">
                  <c:v>115140</c:v>
                </c:pt>
                <c:pt idx="4">
                  <c:v>361611</c:v>
                </c:pt>
                <c:pt idx="5">
                  <c:v>1224589</c:v>
                </c:pt>
                <c:pt idx="6">
                  <c:v>2763896</c:v>
                </c:pt>
                <c:pt idx="7">
                  <c:v>1065529</c:v>
                </c:pt>
                <c:pt idx="8">
                  <c:v>48574</c:v>
                </c:pt>
                <c:pt idx="9">
                  <c:v>281360</c:v>
                </c:pt>
                <c:pt idx="10">
                  <c:v>189043</c:v>
                </c:pt>
                <c:pt idx="11">
                  <c:v>303861</c:v>
                </c:pt>
                <c:pt idx="12">
                  <c:v>1147401</c:v>
                </c:pt>
              </c:numCache>
            </c:numRef>
          </c:val>
        </c:ser>
        <c:dLbls>
          <c:showPercent val="1"/>
        </c:dLbls>
        <c:firstSliceAng val="0"/>
      </c:pieChart>
    </c:plotArea>
    <c:plotVisOnly val="1"/>
  </c:chart>
  <c:spPr>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38101</xdr:rowOff>
    </xdr:from>
    <xdr:to>
      <xdr:col>4</xdr:col>
      <xdr:colOff>161924</xdr:colOff>
      <xdr:row>24</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171449</xdr:colOff>
      <xdr:row>2</xdr:row>
      <xdr:rowOff>66674</xdr:rowOff>
    </xdr:from>
    <xdr:to>
      <xdr:col>13</xdr:col>
      <xdr:colOff>104774</xdr:colOff>
      <xdr:row>24</xdr:row>
      <xdr:rowOff>57149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27</xdr:row>
      <xdr:rowOff>28575</xdr:rowOff>
    </xdr:from>
    <xdr:to>
      <xdr:col>5</xdr:col>
      <xdr:colOff>619125</xdr:colOff>
      <xdr:row>47</xdr:row>
      <xdr:rowOff>114301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457202</xdr:colOff>
      <xdr:row>27</xdr:row>
      <xdr:rowOff>28574</xdr:rowOff>
    </xdr:from>
    <xdr:to>
      <xdr:col>8</xdr:col>
      <xdr:colOff>561975</xdr:colOff>
      <xdr:row>47</xdr:row>
      <xdr:rowOff>95250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295274</xdr:colOff>
      <xdr:row>27</xdr:row>
      <xdr:rowOff>28574</xdr:rowOff>
    </xdr:from>
    <xdr:to>
      <xdr:col>14</xdr:col>
      <xdr:colOff>9524</xdr:colOff>
      <xdr:row>47</xdr:row>
      <xdr:rowOff>66675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18</xdr:row>
      <xdr:rowOff>104774</xdr:rowOff>
    </xdr:from>
    <xdr:to>
      <xdr:col>5</xdr:col>
      <xdr:colOff>600077</xdr:colOff>
      <xdr:row>33</xdr:row>
      <xdr:rowOff>171449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990600</xdr:colOff>
      <xdr:row>18</xdr:row>
      <xdr:rowOff>47626</xdr:rowOff>
    </xdr:from>
    <xdr:to>
      <xdr:col>11</xdr:col>
      <xdr:colOff>990600</xdr:colOff>
      <xdr:row>33</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0.7908</cdr:x>
      <cdr:y>0.15193</cdr:y>
    </cdr:from>
    <cdr:to>
      <cdr:x>0.98304</cdr:x>
      <cdr:y>0.22546</cdr:y>
    </cdr:to>
    <cdr:sp macro="" textlink="">
      <cdr:nvSpPr>
        <cdr:cNvPr id="2" name="TextBox 1"/>
        <cdr:cNvSpPr txBox="1"/>
      </cdr:nvSpPr>
      <cdr:spPr>
        <a:xfrm xmlns:a="http://schemas.openxmlformats.org/drawingml/2006/main">
          <a:off x="5076825" y="545570"/>
          <a:ext cx="1234127" cy="264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Revenues from:</a:t>
          </a:r>
        </a:p>
      </cdr:txBody>
    </cdr:sp>
  </cdr:relSizeAnchor>
  <cdr:relSizeAnchor xmlns:cdr="http://schemas.openxmlformats.org/drawingml/2006/chartDrawing">
    <cdr:from>
      <cdr:x>0.33126</cdr:x>
      <cdr:y>0.09669</cdr:y>
    </cdr:from>
    <cdr:to>
      <cdr:x>0.59938</cdr:x>
      <cdr:y>0.17127</cdr:y>
    </cdr:to>
    <cdr:sp macro="" textlink="">
      <cdr:nvSpPr>
        <cdr:cNvPr id="3" name="TextBox 2"/>
        <cdr:cNvSpPr txBox="1"/>
      </cdr:nvSpPr>
      <cdr:spPr>
        <a:xfrm xmlns:a="http://schemas.openxmlformats.org/drawingml/2006/main">
          <a:off x="2047758" y="347207"/>
          <a:ext cx="1657467" cy="2678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Total Expenditures</a:t>
          </a:r>
        </a:p>
      </cdr:txBody>
    </cdr:sp>
  </cdr:relSizeAnchor>
  <cdr:relSizeAnchor xmlns:cdr="http://schemas.openxmlformats.org/drawingml/2006/chartDrawing">
    <cdr:from>
      <cdr:x>0.37983</cdr:x>
      <cdr:y>0.15746</cdr:y>
    </cdr:from>
    <cdr:to>
      <cdr:x>0.39851</cdr:x>
      <cdr:y>0.25414</cdr:y>
    </cdr:to>
    <cdr:sp macro="" textlink="">
      <cdr:nvSpPr>
        <cdr:cNvPr id="5" name="Straight Connector 4"/>
        <cdr:cNvSpPr/>
      </cdr:nvSpPr>
      <cdr:spPr>
        <a:xfrm xmlns:a="http://schemas.openxmlformats.org/drawingml/2006/main" rot="16200000" flipH="1">
          <a:off x="2905126" y="542924"/>
          <a:ext cx="142875" cy="333376"/>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2</xdr:row>
      <xdr:rowOff>95249</xdr:rowOff>
    </xdr:from>
    <xdr:to>
      <xdr:col>4</xdr:col>
      <xdr:colOff>504824</xdr:colOff>
      <xdr:row>24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2</xdr:row>
      <xdr:rowOff>104775</xdr:rowOff>
    </xdr:from>
    <xdr:to>
      <xdr:col>15</xdr:col>
      <xdr:colOff>323850</xdr:colOff>
      <xdr:row>24</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26</xdr:row>
      <xdr:rowOff>38100</xdr:rowOff>
    </xdr:from>
    <xdr:to>
      <xdr:col>5</xdr:col>
      <xdr:colOff>276225</xdr:colOff>
      <xdr:row>46</xdr:row>
      <xdr:rowOff>171450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26</xdr:row>
      <xdr:rowOff>38101</xdr:rowOff>
    </xdr:from>
    <xdr:to>
      <xdr:col>11</xdr:col>
      <xdr:colOff>400050</xdr:colOff>
      <xdr:row>46</xdr:row>
      <xdr:rowOff>161925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352425</xdr:colOff>
      <xdr:row>26</xdr:row>
      <xdr:rowOff>38100</xdr:rowOff>
    </xdr:from>
    <xdr:to>
      <xdr:col>17</xdr:col>
      <xdr:colOff>419100</xdr:colOff>
      <xdr:row>46</xdr:row>
      <xdr:rowOff>104775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0.7908</cdr:x>
      <cdr:y>0.15193</cdr:y>
    </cdr:from>
    <cdr:to>
      <cdr:x>0.98304</cdr:x>
      <cdr:y>0.22546</cdr:y>
    </cdr:to>
    <cdr:sp macro="" textlink="">
      <cdr:nvSpPr>
        <cdr:cNvPr id="2" name="TextBox 1"/>
        <cdr:cNvSpPr txBox="1"/>
      </cdr:nvSpPr>
      <cdr:spPr>
        <a:xfrm xmlns:a="http://schemas.openxmlformats.org/drawingml/2006/main">
          <a:off x="5076825" y="545570"/>
          <a:ext cx="1234127" cy="264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Revenues from:</a:t>
          </a:r>
        </a:p>
      </cdr:txBody>
    </cdr:sp>
  </cdr:relSizeAnchor>
  <cdr:relSizeAnchor xmlns:cdr="http://schemas.openxmlformats.org/drawingml/2006/chartDrawing">
    <cdr:from>
      <cdr:x>0.33126</cdr:x>
      <cdr:y>0.09669</cdr:y>
    </cdr:from>
    <cdr:to>
      <cdr:x>0.59938</cdr:x>
      <cdr:y>0.17127</cdr:y>
    </cdr:to>
    <cdr:sp macro="" textlink="">
      <cdr:nvSpPr>
        <cdr:cNvPr id="3" name="TextBox 2"/>
        <cdr:cNvSpPr txBox="1"/>
      </cdr:nvSpPr>
      <cdr:spPr>
        <a:xfrm xmlns:a="http://schemas.openxmlformats.org/drawingml/2006/main">
          <a:off x="2047758" y="347207"/>
          <a:ext cx="1657467" cy="2678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Total Expenditures</a:t>
          </a:r>
        </a:p>
      </cdr:txBody>
    </cdr:sp>
  </cdr:relSizeAnchor>
  <cdr:relSizeAnchor xmlns:cdr="http://schemas.openxmlformats.org/drawingml/2006/chartDrawing">
    <cdr:from>
      <cdr:x>0.37983</cdr:x>
      <cdr:y>0.15746</cdr:y>
    </cdr:from>
    <cdr:to>
      <cdr:x>0.39851</cdr:x>
      <cdr:y>0.25414</cdr:y>
    </cdr:to>
    <cdr:sp macro="" textlink="">
      <cdr:nvSpPr>
        <cdr:cNvPr id="5" name="Straight Connector 4"/>
        <cdr:cNvSpPr/>
      </cdr:nvSpPr>
      <cdr:spPr>
        <a:xfrm xmlns:a="http://schemas.openxmlformats.org/drawingml/2006/main" rot="16200000" flipH="1">
          <a:off x="2905126" y="542924"/>
          <a:ext cx="142875" cy="333376"/>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76200</xdr:colOff>
      <xdr:row>7</xdr:row>
      <xdr:rowOff>180974</xdr:rowOff>
    </xdr:from>
    <xdr:to>
      <xdr:col>8</xdr:col>
      <xdr:colOff>447675</xdr:colOff>
      <xdr:row>31</xdr:row>
      <xdr:rowOff>104775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0.11663</cdr:x>
      <cdr:y>0.03814</cdr:y>
    </cdr:from>
    <cdr:to>
      <cdr:x>0.43764</cdr:x>
      <cdr:y>0.09534</cdr:y>
    </cdr:to>
    <cdr:sp macro="" textlink="">
      <cdr:nvSpPr>
        <cdr:cNvPr id="3" name="TextBox 2"/>
        <cdr:cNvSpPr txBox="1"/>
      </cdr:nvSpPr>
      <cdr:spPr>
        <a:xfrm xmlns:a="http://schemas.openxmlformats.org/drawingml/2006/main">
          <a:off x="962024" y="171451"/>
          <a:ext cx="2647951"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Avg. Annual Compensation (in nominal</a:t>
          </a:r>
          <a:r>
            <a:rPr lang="en-US" sz="1100" b="1" baseline="0"/>
            <a:t> $):</a:t>
          </a:r>
          <a:endParaRPr lang="en-US" sz="1100" b="1"/>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19049</xdr:colOff>
      <xdr:row>17</xdr:row>
      <xdr:rowOff>28574</xdr:rowOff>
    </xdr:from>
    <xdr:to>
      <xdr:col>11</xdr:col>
      <xdr:colOff>95250</xdr:colOff>
      <xdr:row>33</xdr:row>
      <xdr:rowOff>28574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28572</xdr:colOff>
      <xdr:row>12</xdr:row>
      <xdr:rowOff>114300</xdr:rowOff>
    </xdr:from>
    <xdr:to>
      <xdr:col>16</xdr:col>
      <xdr:colOff>600075</xdr:colOff>
      <xdr:row>35</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xdr:row>
      <xdr:rowOff>133350</xdr:rowOff>
    </xdr:from>
    <xdr:to>
      <xdr:col>6</xdr:col>
      <xdr:colOff>1095376</xdr:colOff>
      <xdr:row>35</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95250</xdr:rowOff>
    </xdr:from>
    <xdr:to>
      <xdr:col>6</xdr:col>
      <xdr:colOff>552449</xdr:colOff>
      <xdr:row>20</xdr:row>
      <xdr:rowOff>47626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38099</xdr:colOff>
      <xdr:row>2</xdr:row>
      <xdr:rowOff>47625</xdr:rowOff>
    </xdr:from>
    <xdr:to>
      <xdr:col>14</xdr:col>
      <xdr:colOff>523874</xdr:colOff>
      <xdr:row>20</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dimension ref="A2:L68"/>
  <sheetViews>
    <sheetView tabSelected="1" workbookViewId="0">
      <selection activeCell="P13" sqref="P13"/>
    </sheetView>
  </sheetViews>
  <sheetFormatPr defaultRowHeight="15"/>
  <cols>
    <col min="1" max="1" width="2.85546875" style="19" customWidth="1"/>
    <col min="10" max="10" width="37.85546875" customWidth="1"/>
    <col min="11" max="11" width="1.28515625" customWidth="1"/>
    <col min="12" max="13" width="9.140625" customWidth="1"/>
    <col min="23" max="23" width="9.140625" customWidth="1"/>
  </cols>
  <sheetData>
    <row r="2" spans="1:12">
      <c r="A2" s="29" t="s">
        <v>245</v>
      </c>
      <c r="B2" s="29"/>
      <c r="C2" s="30"/>
      <c r="D2" s="30"/>
      <c r="E2" s="30"/>
      <c r="F2" s="30"/>
      <c r="G2" s="30"/>
      <c r="H2" s="30"/>
      <c r="I2" s="30"/>
      <c r="J2" s="30"/>
      <c r="K2" s="30"/>
    </row>
    <row r="3" spans="1:12" ht="15" customHeight="1">
      <c r="A3" s="32" t="s">
        <v>137</v>
      </c>
      <c r="B3" s="120" t="s">
        <v>231</v>
      </c>
      <c r="C3" s="121"/>
      <c r="D3" s="121"/>
      <c r="E3" s="121"/>
      <c r="F3" s="121"/>
      <c r="G3" s="121"/>
      <c r="H3" s="121"/>
      <c r="I3" s="121"/>
      <c r="J3" s="121"/>
      <c r="K3" s="122"/>
    </row>
    <row r="4" spans="1:12" ht="22.5" customHeight="1">
      <c r="A4" s="33"/>
      <c r="B4" s="123"/>
      <c r="C4" s="123"/>
      <c r="D4" s="123"/>
      <c r="E4" s="123"/>
      <c r="F4" s="123"/>
      <c r="G4" s="123"/>
      <c r="H4" s="123"/>
      <c r="I4" s="123"/>
      <c r="J4" s="123"/>
      <c r="K4" s="124"/>
      <c r="L4" s="19"/>
    </row>
    <row r="5" spans="1:12" s="19" customFormat="1" ht="15" customHeight="1">
      <c r="A5" s="33" t="s">
        <v>138</v>
      </c>
      <c r="B5" s="118" t="s">
        <v>198</v>
      </c>
      <c r="C5" s="123"/>
      <c r="D5" s="123"/>
      <c r="E5" s="123"/>
      <c r="F5" s="123"/>
      <c r="G5" s="123"/>
      <c r="H5" s="123"/>
      <c r="I5" s="123"/>
      <c r="J5" s="123"/>
      <c r="K5" s="124"/>
    </row>
    <row r="6" spans="1:12" s="19" customFormat="1" ht="19.5" customHeight="1">
      <c r="A6" s="33"/>
      <c r="B6" s="123"/>
      <c r="C6" s="123"/>
      <c r="D6" s="123"/>
      <c r="E6" s="123"/>
      <c r="F6" s="123"/>
      <c r="G6" s="123"/>
      <c r="H6" s="123"/>
      <c r="I6" s="123"/>
      <c r="J6" s="123"/>
      <c r="K6" s="124"/>
    </row>
    <row r="7" spans="1:12" s="19" customFormat="1" ht="15" customHeight="1">
      <c r="A7" s="33" t="s">
        <v>197</v>
      </c>
      <c r="B7" s="118" t="s">
        <v>200</v>
      </c>
      <c r="C7" s="118"/>
      <c r="D7" s="118"/>
      <c r="E7" s="118"/>
      <c r="F7" s="118"/>
      <c r="G7" s="118"/>
      <c r="H7" s="118"/>
      <c r="I7" s="118"/>
      <c r="J7" s="118"/>
      <c r="K7" s="119"/>
    </row>
    <row r="8" spans="1:12" s="19" customFormat="1" ht="13.5" customHeight="1">
      <c r="A8" s="33"/>
      <c r="B8" s="118"/>
      <c r="C8" s="118"/>
      <c r="D8" s="118"/>
      <c r="E8" s="118"/>
      <c r="F8" s="118"/>
      <c r="G8" s="118"/>
      <c r="H8" s="118"/>
      <c r="I8" s="118"/>
      <c r="J8" s="118"/>
      <c r="K8" s="119"/>
    </row>
    <row r="9" spans="1:12" ht="15" customHeight="1">
      <c r="A9" s="33" t="s">
        <v>199</v>
      </c>
      <c r="B9" s="118" t="s">
        <v>201</v>
      </c>
      <c r="C9" s="123"/>
      <c r="D9" s="123"/>
      <c r="E9" s="123"/>
      <c r="F9" s="123"/>
      <c r="G9" s="123"/>
      <c r="H9" s="123"/>
      <c r="I9" s="123"/>
      <c r="J9" s="123"/>
      <c r="K9" s="124"/>
      <c r="L9" s="19"/>
    </row>
    <row r="10" spans="1:12" ht="21.75" customHeight="1">
      <c r="A10" s="31"/>
      <c r="B10" s="125"/>
      <c r="C10" s="125"/>
      <c r="D10" s="125"/>
      <c r="E10" s="125"/>
      <c r="F10" s="125"/>
      <c r="G10" s="125"/>
      <c r="H10" s="125"/>
      <c r="I10" s="125"/>
      <c r="J10" s="125"/>
      <c r="K10" s="126"/>
    </row>
    <row r="12" spans="1:12" s="19" customFormat="1">
      <c r="A12" s="128" t="s">
        <v>246</v>
      </c>
      <c r="B12" s="128"/>
      <c r="C12" s="129"/>
      <c r="D12" s="129"/>
      <c r="E12" s="129"/>
      <c r="F12" s="129"/>
      <c r="G12" s="129"/>
      <c r="H12" s="129"/>
      <c r="I12" s="129"/>
      <c r="J12" s="129"/>
      <c r="K12" s="129"/>
    </row>
    <row r="13" spans="1:12" s="19" customFormat="1">
      <c r="A13" s="130" t="s">
        <v>250</v>
      </c>
      <c r="B13" s="131"/>
      <c r="C13" s="131"/>
      <c r="D13" s="131"/>
      <c r="E13" s="131"/>
      <c r="F13" s="131"/>
      <c r="G13" s="131"/>
      <c r="H13" s="131"/>
      <c r="I13" s="131"/>
      <c r="J13" s="131"/>
      <c r="K13" s="132"/>
    </row>
    <row r="14" spans="1:12" s="19" customFormat="1">
      <c r="A14" s="133"/>
      <c r="B14" s="134"/>
      <c r="C14" s="134"/>
      <c r="D14" s="134"/>
      <c r="E14" s="134"/>
      <c r="F14" s="134"/>
      <c r="G14" s="134"/>
      <c r="H14" s="134"/>
      <c r="I14" s="134"/>
      <c r="J14" s="134"/>
      <c r="K14" s="135"/>
    </row>
    <row r="15" spans="1:12" s="19" customFormat="1">
      <c r="A15" s="133"/>
      <c r="B15" s="134"/>
      <c r="C15" s="134"/>
      <c r="D15" s="134"/>
      <c r="E15" s="134"/>
      <c r="F15" s="134"/>
      <c r="G15" s="134"/>
      <c r="H15" s="134"/>
      <c r="I15" s="134"/>
      <c r="J15" s="134"/>
      <c r="K15" s="135"/>
    </row>
    <row r="16" spans="1:12" s="19" customFormat="1" ht="29.25" customHeight="1">
      <c r="A16" s="136"/>
      <c r="B16" s="137"/>
      <c r="C16" s="137"/>
      <c r="D16" s="137"/>
      <c r="E16" s="137"/>
      <c r="F16" s="137"/>
      <c r="G16" s="137"/>
      <c r="H16" s="137"/>
      <c r="I16" s="137"/>
      <c r="J16" s="137"/>
      <c r="K16" s="138"/>
    </row>
    <row r="18" spans="1:11">
      <c r="A18" s="48" t="s">
        <v>247</v>
      </c>
      <c r="B18" s="48"/>
      <c r="C18" s="49"/>
      <c r="D18" s="49"/>
      <c r="E18" s="49"/>
      <c r="F18" s="49"/>
      <c r="G18" s="49"/>
      <c r="H18" s="49"/>
      <c r="I18" s="49"/>
      <c r="J18" s="49"/>
      <c r="K18" s="49"/>
    </row>
    <row r="19" spans="1:11" s="9" customFormat="1" ht="15" customHeight="1">
      <c r="A19" s="50" t="s">
        <v>185</v>
      </c>
      <c r="B19" s="51"/>
      <c r="C19" s="51"/>
      <c r="D19" s="51"/>
      <c r="E19" s="51"/>
      <c r="F19" s="51"/>
      <c r="G19" s="51"/>
      <c r="H19" s="51"/>
      <c r="I19" s="51"/>
      <c r="J19" s="51"/>
      <c r="K19" s="52"/>
    </row>
    <row r="20" spans="1:11" s="9" customFormat="1" ht="51" customHeight="1">
      <c r="A20" s="53"/>
      <c r="B20" s="114" t="s">
        <v>186</v>
      </c>
      <c r="C20" s="114"/>
      <c r="D20" s="114"/>
      <c r="E20" s="114"/>
      <c r="F20" s="114"/>
      <c r="G20" s="114"/>
      <c r="H20" s="114"/>
      <c r="I20" s="114"/>
      <c r="J20" s="114"/>
      <c r="K20" s="54"/>
    </row>
    <row r="21" spans="1:11" s="9" customFormat="1" ht="15" customHeight="1">
      <c r="A21" s="55" t="s">
        <v>195</v>
      </c>
      <c r="B21" s="56"/>
      <c r="C21" s="56"/>
      <c r="D21" s="56"/>
      <c r="E21" s="56"/>
      <c r="F21" s="56"/>
      <c r="G21" s="56"/>
      <c r="H21" s="56"/>
      <c r="I21" s="56"/>
      <c r="J21" s="56"/>
      <c r="K21" s="54"/>
    </row>
    <row r="22" spans="1:11" s="9" customFormat="1" ht="48" customHeight="1">
      <c r="A22" s="53"/>
      <c r="B22" s="115" t="s">
        <v>196</v>
      </c>
      <c r="C22" s="115"/>
      <c r="D22" s="115"/>
      <c r="E22" s="115"/>
      <c r="F22" s="115"/>
      <c r="G22" s="115"/>
      <c r="H22" s="115"/>
      <c r="I22" s="115"/>
      <c r="J22" s="115"/>
      <c r="K22" s="54"/>
    </row>
    <row r="23" spans="1:11" s="9" customFormat="1" ht="15" customHeight="1">
      <c r="A23" s="55" t="s">
        <v>104</v>
      </c>
      <c r="B23" s="56"/>
      <c r="C23" s="56"/>
      <c r="D23" s="56"/>
      <c r="E23" s="56"/>
      <c r="F23" s="56"/>
      <c r="G23" s="56"/>
      <c r="H23" s="56"/>
      <c r="I23" s="56"/>
      <c r="J23" s="56"/>
      <c r="K23" s="54"/>
    </row>
    <row r="24" spans="1:11" s="9" customFormat="1" ht="33" customHeight="1">
      <c r="A24" s="53"/>
      <c r="B24" s="114" t="s">
        <v>187</v>
      </c>
      <c r="C24" s="114"/>
      <c r="D24" s="114"/>
      <c r="E24" s="114"/>
      <c r="F24" s="114"/>
      <c r="G24" s="114"/>
      <c r="H24" s="114"/>
      <c r="I24" s="114"/>
      <c r="J24" s="114"/>
      <c r="K24" s="54"/>
    </row>
    <row r="25" spans="1:11" s="9" customFormat="1" ht="15" customHeight="1">
      <c r="A25" s="55" t="s">
        <v>180</v>
      </c>
      <c r="B25" s="56"/>
      <c r="C25" s="56"/>
      <c r="D25" s="56"/>
      <c r="E25" s="56"/>
      <c r="F25" s="56"/>
      <c r="G25" s="56"/>
      <c r="H25" s="56"/>
      <c r="I25" s="56"/>
      <c r="J25" s="56"/>
      <c r="K25" s="54"/>
    </row>
    <row r="26" spans="1:11" s="9" customFormat="1" ht="18" customHeight="1">
      <c r="A26" s="53"/>
      <c r="B26" s="114" t="s">
        <v>188</v>
      </c>
      <c r="C26" s="114"/>
      <c r="D26" s="114"/>
      <c r="E26" s="114"/>
      <c r="F26" s="114"/>
      <c r="G26" s="114"/>
      <c r="H26" s="114"/>
      <c r="I26" s="114"/>
      <c r="J26" s="114"/>
      <c r="K26" s="54"/>
    </row>
    <row r="27" spans="1:11" s="9" customFormat="1" ht="12.75">
      <c r="A27" s="57" t="s">
        <v>177</v>
      </c>
      <c r="B27" s="57"/>
      <c r="C27" s="58"/>
      <c r="D27" s="58"/>
      <c r="E27" s="58"/>
      <c r="F27" s="58"/>
      <c r="G27" s="58"/>
      <c r="H27" s="58"/>
      <c r="I27" s="58"/>
      <c r="J27" s="58"/>
      <c r="K27" s="59"/>
    </row>
    <row r="28" spans="1:11" s="9" customFormat="1" ht="18" customHeight="1">
      <c r="A28" s="57"/>
      <c r="B28" s="116" t="s">
        <v>189</v>
      </c>
      <c r="C28" s="117"/>
      <c r="D28" s="117"/>
      <c r="E28" s="117"/>
      <c r="F28" s="117"/>
      <c r="G28" s="117"/>
      <c r="H28" s="117"/>
      <c r="I28" s="117"/>
      <c r="J28" s="117"/>
      <c r="K28" s="59"/>
    </row>
    <row r="29" spans="1:11" s="9" customFormat="1" ht="15" customHeight="1">
      <c r="A29" s="55" t="s">
        <v>172</v>
      </c>
      <c r="B29" s="56"/>
      <c r="C29" s="60"/>
      <c r="D29" s="60"/>
      <c r="E29" s="60"/>
      <c r="F29" s="60"/>
      <c r="G29" s="60"/>
      <c r="H29" s="60"/>
      <c r="I29" s="60"/>
      <c r="J29" s="60"/>
      <c r="K29" s="54"/>
    </row>
    <row r="30" spans="1:11" s="9" customFormat="1" ht="18" customHeight="1">
      <c r="A30" s="53"/>
      <c r="B30" s="114" t="s">
        <v>173</v>
      </c>
      <c r="C30" s="114"/>
      <c r="D30" s="114"/>
      <c r="E30" s="114"/>
      <c r="F30" s="114"/>
      <c r="G30" s="114"/>
      <c r="H30" s="114"/>
      <c r="I30" s="114"/>
      <c r="J30" s="114"/>
      <c r="K30" s="54"/>
    </row>
    <row r="31" spans="1:11" s="9" customFormat="1" ht="15" customHeight="1">
      <c r="A31" s="55" t="s">
        <v>146</v>
      </c>
      <c r="B31" s="56"/>
      <c r="C31" s="56"/>
      <c r="D31" s="56"/>
      <c r="E31" s="56"/>
      <c r="F31" s="56"/>
      <c r="G31" s="56"/>
      <c r="H31" s="56"/>
      <c r="I31" s="56"/>
      <c r="J31" s="56"/>
      <c r="K31" s="54"/>
    </row>
    <row r="32" spans="1:11" s="9" customFormat="1" ht="38.25" customHeight="1">
      <c r="A32" s="53"/>
      <c r="B32" s="114" t="s">
        <v>194</v>
      </c>
      <c r="C32" s="114"/>
      <c r="D32" s="114"/>
      <c r="E32" s="114"/>
      <c r="F32" s="114"/>
      <c r="G32" s="114"/>
      <c r="H32" s="114"/>
      <c r="I32" s="114"/>
      <c r="J32" s="114"/>
      <c r="K32" s="54"/>
    </row>
    <row r="33" spans="1:11" s="9" customFormat="1" ht="15" customHeight="1">
      <c r="A33" s="55" t="s">
        <v>181</v>
      </c>
      <c r="B33" s="61"/>
      <c r="C33" s="61"/>
      <c r="D33" s="61"/>
      <c r="E33" s="61"/>
      <c r="F33" s="61"/>
      <c r="G33" s="61"/>
      <c r="H33" s="61"/>
      <c r="I33" s="61"/>
      <c r="J33" s="61"/>
      <c r="K33" s="54"/>
    </row>
    <row r="34" spans="1:11" s="9" customFormat="1" ht="33" customHeight="1">
      <c r="A34" s="53"/>
      <c r="B34" s="114" t="s">
        <v>182</v>
      </c>
      <c r="C34" s="114"/>
      <c r="D34" s="114"/>
      <c r="E34" s="114"/>
      <c r="F34" s="114"/>
      <c r="G34" s="114"/>
      <c r="H34" s="114"/>
      <c r="I34" s="114"/>
      <c r="J34" s="114"/>
      <c r="K34" s="54"/>
    </row>
    <row r="35" spans="1:11" s="9" customFormat="1" ht="15" customHeight="1">
      <c r="A35" s="55" t="s">
        <v>190</v>
      </c>
      <c r="B35" s="56"/>
      <c r="C35" s="56"/>
      <c r="D35" s="56"/>
      <c r="E35" s="56"/>
      <c r="F35" s="56"/>
      <c r="G35" s="56"/>
      <c r="H35" s="56"/>
      <c r="I35" s="56"/>
      <c r="J35" s="56"/>
      <c r="K35" s="54"/>
    </row>
    <row r="36" spans="1:11" s="9" customFormat="1" ht="33" customHeight="1">
      <c r="A36" s="53"/>
      <c r="B36" s="114" t="s">
        <v>176</v>
      </c>
      <c r="C36" s="114"/>
      <c r="D36" s="114"/>
      <c r="E36" s="114"/>
      <c r="F36" s="114"/>
      <c r="G36" s="114"/>
      <c r="H36" s="114"/>
      <c r="I36" s="114"/>
      <c r="J36" s="114"/>
      <c r="K36" s="54"/>
    </row>
    <row r="37" spans="1:11" s="9" customFormat="1" ht="15" customHeight="1">
      <c r="A37" s="55" t="s">
        <v>191</v>
      </c>
      <c r="B37" s="56"/>
      <c r="C37" s="56"/>
      <c r="D37" s="56"/>
      <c r="E37" s="56"/>
      <c r="F37" s="56"/>
      <c r="G37" s="56"/>
      <c r="H37" s="56"/>
      <c r="I37" s="56"/>
      <c r="J37" s="56"/>
      <c r="K37" s="54"/>
    </row>
    <row r="38" spans="1:11" s="9" customFormat="1" ht="27" customHeight="1">
      <c r="A38" s="53"/>
      <c r="B38" s="114" t="s">
        <v>178</v>
      </c>
      <c r="C38" s="114"/>
      <c r="D38" s="114"/>
      <c r="E38" s="114"/>
      <c r="F38" s="114"/>
      <c r="G38" s="114"/>
      <c r="H38" s="114"/>
      <c r="I38" s="114"/>
      <c r="J38" s="114"/>
      <c r="K38" s="54"/>
    </row>
    <row r="39" spans="1:11" s="9" customFormat="1" ht="15" customHeight="1">
      <c r="A39" s="55" t="s">
        <v>174</v>
      </c>
      <c r="B39" s="56"/>
      <c r="C39" s="56"/>
      <c r="D39" s="56"/>
      <c r="E39" s="56"/>
      <c r="F39" s="56"/>
      <c r="G39" s="56"/>
      <c r="H39" s="56"/>
      <c r="I39" s="56"/>
      <c r="J39" s="56"/>
      <c r="K39" s="54"/>
    </row>
    <row r="40" spans="1:11" s="9" customFormat="1" ht="18" customHeight="1">
      <c r="A40" s="53"/>
      <c r="B40" s="114" t="s">
        <v>179</v>
      </c>
      <c r="C40" s="114"/>
      <c r="D40" s="114"/>
      <c r="E40" s="114"/>
      <c r="F40" s="114"/>
      <c r="G40" s="114"/>
      <c r="H40" s="114"/>
      <c r="I40" s="114"/>
      <c r="J40" s="114"/>
      <c r="K40" s="54"/>
    </row>
    <row r="41" spans="1:11" s="9" customFormat="1" ht="15" customHeight="1">
      <c r="A41" s="55" t="s">
        <v>183</v>
      </c>
      <c r="B41" s="56"/>
      <c r="C41" s="56"/>
      <c r="D41" s="56"/>
      <c r="E41" s="56"/>
      <c r="F41" s="56"/>
      <c r="G41" s="56"/>
      <c r="H41" s="56"/>
      <c r="I41" s="56"/>
      <c r="J41" s="56"/>
      <c r="K41" s="54"/>
    </row>
    <row r="42" spans="1:11" s="9" customFormat="1" ht="33" customHeight="1">
      <c r="A42" s="53"/>
      <c r="B42" s="114" t="s">
        <v>184</v>
      </c>
      <c r="C42" s="114"/>
      <c r="D42" s="114"/>
      <c r="E42" s="114"/>
      <c r="F42" s="114"/>
      <c r="G42" s="114"/>
      <c r="H42" s="114"/>
      <c r="I42" s="114"/>
      <c r="J42" s="114"/>
      <c r="K42" s="54"/>
    </row>
    <row r="43" spans="1:11" s="9" customFormat="1" ht="15" customHeight="1">
      <c r="A43" s="55" t="s">
        <v>192</v>
      </c>
      <c r="B43" s="56"/>
      <c r="C43" s="56"/>
      <c r="D43" s="56"/>
      <c r="E43" s="56"/>
      <c r="F43" s="56"/>
      <c r="G43" s="56"/>
      <c r="H43" s="56"/>
      <c r="I43" s="56"/>
      <c r="J43" s="56"/>
      <c r="K43" s="54"/>
    </row>
    <row r="44" spans="1:11" s="9" customFormat="1" ht="33" customHeight="1">
      <c r="A44" s="62"/>
      <c r="B44" s="113" t="s">
        <v>193</v>
      </c>
      <c r="C44" s="113"/>
      <c r="D44" s="113"/>
      <c r="E44" s="113"/>
      <c r="F44" s="113"/>
      <c r="G44" s="113"/>
      <c r="H44" s="113"/>
      <c r="I44" s="113"/>
      <c r="J44" s="113"/>
      <c r="K44" s="63"/>
    </row>
    <row r="46" spans="1:11">
      <c r="A46" s="92" t="s">
        <v>248</v>
      </c>
      <c r="B46" s="92"/>
      <c r="C46" s="93"/>
      <c r="D46" s="93"/>
      <c r="E46" s="93"/>
      <c r="F46" s="93"/>
      <c r="G46" s="93"/>
      <c r="H46" s="93"/>
      <c r="I46" s="93"/>
      <c r="J46" s="93"/>
      <c r="K46" s="93"/>
    </row>
    <row r="47" spans="1:11">
      <c r="A47" s="98" t="s">
        <v>223</v>
      </c>
      <c r="B47" s="51"/>
      <c r="C47" s="51"/>
      <c r="D47" s="51"/>
      <c r="E47" s="51"/>
      <c r="F47" s="51"/>
      <c r="G47" s="51"/>
      <c r="H47" s="51"/>
      <c r="I47" s="51"/>
      <c r="J47" s="94" t="s">
        <v>205</v>
      </c>
      <c r="K47" s="99"/>
    </row>
    <row r="48" spans="1:11" ht="18" customHeight="1">
      <c r="A48" s="103"/>
      <c r="B48" s="56"/>
      <c r="C48" s="56"/>
      <c r="D48" s="56"/>
      <c r="E48" s="56"/>
      <c r="F48" s="56"/>
      <c r="G48" s="56"/>
      <c r="H48" s="56"/>
      <c r="I48" s="56"/>
      <c r="J48" s="95" t="s">
        <v>206</v>
      </c>
      <c r="K48" s="104"/>
    </row>
    <row r="49" spans="1:11">
      <c r="A49" s="109" t="s">
        <v>207</v>
      </c>
      <c r="B49" s="100"/>
      <c r="C49" s="101"/>
      <c r="D49" s="101"/>
      <c r="E49" s="101"/>
      <c r="F49" s="101"/>
      <c r="G49" s="101"/>
      <c r="H49" s="101"/>
      <c r="I49" s="101"/>
      <c r="J49" s="97" t="s">
        <v>208</v>
      </c>
      <c r="K49" s="102"/>
    </row>
    <row r="50" spans="1:11" ht="18" customHeight="1">
      <c r="A50" s="103"/>
      <c r="B50" s="56"/>
      <c r="C50" s="60"/>
      <c r="D50" s="60"/>
      <c r="E50" s="60"/>
      <c r="F50" s="60"/>
      <c r="G50" s="60"/>
      <c r="H50" s="60"/>
      <c r="I50" s="60"/>
      <c r="J50" s="95" t="s">
        <v>209</v>
      </c>
      <c r="K50" s="104"/>
    </row>
    <row r="51" spans="1:11">
      <c r="A51" s="103" t="s">
        <v>210</v>
      </c>
      <c r="B51" s="56"/>
      <c r="C51" s="56"/>
      <c r="D51" s="56"/>
      <c r="E51" s="56"/>
      <c r="F51" s="56"/>
      <c r="G51" s="56"/>
      <c r="H51" s="56"/>
      <c r="I51" s="56"/>
      <c r="J51" s="95" t="s">
        <v>211</v>
      </c>
      <c r="K51" s="104"/>
    </row>
    <row r="52" spans="1:11" ht="18" customHeight="1">
      <c r="A52" s="103"/>
      <c r="B52" s="91"/>
      <c r="C52" s="91"/>
      <c r="D52" s="91"/>
      <c r="E52" s="91"/>
      <c r="F52" s="91"/>
      <c r="G52" s="91"/>
      <c r="H52" s="91"/>
      <c r="I52" s="91"/>
      <c r="J52" s="95" t="s">
        <v>212</v>
      </c>
      <c r="K52" s="104"/>
    </row>
    <row r="53" spans="1:11">
      <c r="A53" s="103" t="s">
        <v>213</v>
      </c>
      <c r="B53" s="56"/>
      <c r="C53" s="56"/>
      <c r="D53" s="56"/>
      <c r="E53" s="56"/>
      <c r="F53" s="56"/>
      <c r="G53" s="56"/>
      <c r="H53" s="56"/>
      <c r="I53" s="56"/>
      <c r="J53" s="95" t="s">
        <v>211</v>
      </c>
      <c r="K53" s="104"/>
    </row>
    <row r="54" spans="1:11" ht="18" customHeight="1">
      <c r="A54" s="103"/>
      <c r="B54" s="56"/>
      <c r="C54" s="56"/>
      <c r="D54" s="56"/>
      <c r="E54" s="56"/>
      <c r="F54" s="56"/>
      <c r="G54" s="56"/>
      <c r="H54" s="56"/>
      <c r="I54" s="56"/>
      <c r="J54" s="95" t="s">
        <v>212</v>
      </c>
      <c r="K54" s="104"/>
    </row>
    <row r="55" spans="1:11">
      <c r="A55" s="103" t="s">
        <v>214</v>
      </c>
      <c r="B55" s="56"/>
      <c r="C55" s="56"/>
      <c r="D55" s="56"/>
      <c r="E55" s="56"/>
      <c r="F55" s="56"/>
      <c r="G55" s="56"/>
      <c r="H55" s="56"/>
      <c r="I55" s="56"/>
      <c r="J55" s="95" t="s">
        <v>215</v>
      </c>
      <c r="K55" s="104"/>
    </row>
    <row r="56" spans="1:11" ht="18" customHeight="1">
      <c r="A56" s="103"/>
      <c r="B56" s="56"/>
      <c r="C56" s="56"/>
      <c r="D56" s="56"/>
      <c r="E56" s="56"/>
      <c r="F56" s="56"/>
      <c r="G56" s="56"/>
      <c r="H56" s="56"/>
      <c r="I56" s="56"/>
      <c r="J56" s="95" t="s">
        <v>225</v>
      </c>
      <c r="K56" s="104"/>
    </row>
    <row r="57" spans="1:11">
      <c r="A57" s="103" t="s">
        <v>219</v>
      </c>
      <c r="B57" s="56"/>
      <c r="C57" s="56"/>
      <c r="D57" s="56"/>
      <c r="E57" s="56"/>
      <c r="F57" s="56"/>
      <c r="G57" s="56"/>
      <c r="H57" s="56"/>
      <c r="I57" s="56"/>
      <c r="J57" s="95" t="s">
        <v>216</v>
      </c>
      <c r="K57" s="104"/>
    </row>
    <row r="58" spans="1:11" ht="18" customHeight="1">
      <c r="A58" s="110"/>
      <c r="B58" s="60"/>
      <c r="C58" s="60"/>
      <c r="D58" s="60"/>
      <c r="E58" s="60"/>
      <c r="F58" s="60"/>
      <c r="G58" s="60"/>
      <c r="H58" s="60"/>
      <c r="I58" s="60"/>
      <c r="J58" s="95" t="s">
        <v>217</v>
      </c>
      <c r="K58" s="106"/>
    </row>
    <row r="59" spans="1:11">
      <c r="A59" s="103" t="s">
        <v>218</v>
      </c>
      <c r="B59" s="60"/>
      <c r="C59" s="60"/>
      <c r="D59" s="60"/>
      <c r="E59" s="60"/>
      <c r="F59" s="60"/>
      <c r="G59" s="60"/>
      <c r="H59" s="60"/>
      <c r="I59" s="60"/>
      <c r="J59" s="95" t="s">
        <v>205</v>
      </c>
      <c r="K59" s="106"/>
    </row>
    <row r="60" spans="1:11" ht="18" customHeight="1">
      <c r="A60" s="110"/>
      <c r="B60" s="60"/>
      <c r="C60" s="60"/>
      <c r="D60" s="60"/>
      <c r="E60" s="60"/>
      <c r="F60" s="60"/>
      <c r="G60" s="60"/>
      <c r="H60" s="60"/>
      <c r="I60" s="60"/>
      <c r="J60" s="95" t="s">
        <v>206</v>
      </c>
      <c r="K60" s="106"/>
    </row>
    <row r="61" spans="1:11">
      <c r="A61" s="103" t="s">
        <v>220</v>
      </c>
      <c r="B61" s="60"/>
      <c r="C61" s="60"/>
      <c r="D61" s="60"/>
      <c r="E61" s="60"/>
      <c r="F61" s="60"/>
      <c r="G61" s="60"/>
      <c r="H61" s="60"/>
      <c r="I61" s="60"/>
      <c r="J61" s="95" t="s">
        <v>205</v>
      </c>
      <c r="K61" s="106"/>
    </row>
    <row r="62" spans="1:11" ht="18" customHeight="1">
      <c r="A62" s="110"/>
      <c r="B62" s="60"/>
      <c r="C62" s="60"/>
      <c r="D62" s="60"/>
      <c r="E62" s="60"/>
      <c r="F62" s="60"/>
      <c r="G62" s="60"/>
      <c r="H62" s="60"/>
      <c r="I62" s="60"/>
      <c r="J62" s="95" t="s">
        <v>206</v>
      </c>
      <c r="K62" s="106"/>
    </row>
    <row r="63" spans="1:11">
      <c r="A63" s="103" t="s">
        <v>221</v>
      </c>
      <c r="B63" s="60"/>
      <c r="C63" s="60"/>
      <c r="D63" s="60"/>
      <c r="E63" s="60"/>
      <c r="F63" s="60"/>
      <c r="G63" s="60"/>
      <c r="H63" s="60"/>
      <c r="I63" s="60"/>
      <c r="J63" s="95" t="s">
        <v>205</v>
      </c>
      <c r="K63" s="106"/>
    </row>
    <row r="64" spans="1:11" ht="18" customHeight="1">
      <c r="A64" s="110"/>
      <c r="B64" s="60"/>
      <c r="C64" s="60"/>
      <c r="D64" s="60"/>
      <c r="E64" s="60"/>
      <c r="F64" s="60"/>
      <c r="G64" s="60"/>
      <c r="H64" s="60"/>
      <c r="I64" s="60"/>
      <c r="J64" s="95" t="s">
        <v>222</v>
      </c>
      <c r="K64" s="106"/>
    </row>
    <row r="65" spans="1:11">
      <c r="A65" s="103" t="s">
        <v>224</v>
      </c>
      <c r="B65" s="60"/>
      <c r="C65" s="60"/>
      <c r="D65" s="60"/>
      <c r="E65" s="60"/>
      <c r="F65" s="60"/>
      <c r="G65" s="60"/>
      <c r="H65" s="60"/>
      <c r="I65" s="60"/>
      <c r="J65" s="95" t="s">
        <v>227</v>
      </c>
      <c r="K65" s="106"/>
    </row>
    <row r="66" spans="1:11">
      <c r="A66" s="110"/>
      <c r="B66" s="60"/>
      <c r="C66" s="60"/>
      <c r="D66" s="60"/>
      <c r="E66" s="60"/>
      <c r="F66" s="60"/>
      <c r="G66" s="60"/>
      <c r="H66" s="60"/>
      <c r="I66" s="60"/>
      <c r="J66" s="97" t="s">
        <v>226</v>
      </c>
      <c r="K66" s="106"/>
    </row>
    <row r="67" spans="1:11">
      <c r="A67" s="111"/>
      <c r="B67" s="107"/>
      <c r="C67" s="107"/>
      <c r="D67" s="107"/>
      <c r="E67" s="107"/>
      <c r="F67" s="107"/>
      <c r="G67" s="107"/>
      <c r="H67" s="107"/>
      <c r="I67" s="107"/>
      <c r="J67" s="95" t="s">
        <v>228</v>
      </c>
      <c r="K67" s="106"/>
    </row>
    <row r="68" spans="1:11">
      <c r="A68" s="112"/>
      <c r="B68" s="108"/>
      <c r="C68" s="108"/>
      <c r="D68" s="108"/>
      <c r="E68" s="108"/>
      <c r="F68" s="108"/>
      <c r="G68" s="108"/>
      <c r="H68" s="108"/>
      <c r="I68" s="108"/>
      <c r="J68" s="96" t="s">
        <v>229</v>
      </c>
      <c r="K68" s="105"/>
    </row>
  </sheetData>
  <mergeCells count="18">
    <mergeCell ref="B7:K8"/>
    <mergeCell ref="B3:K4"/>
    <mergeCell ref="B9:K10"/>
    <mergeCell ref="B42:J42"/>
    <mergeCell ref="B20:J20"/>
    <mergeCell ref="B5:K6"/>
    <mergeCell ref="A13:J16"/>
    <mergeCell ref="B44:J44"/>
    <mergeCell ref="B32:J32"/>
    <mergeCell ref="B22:J22"/>
    <mergeCell ref="B28:J28"/>
    <mergeCell ref="B34:J34"/>
    <mergeCell ref="B30:J30"/>
    <mergeCell ref="B40:J40"/>
    <mergeCell ref="B38:J38"/>
    <mergeCell ref="B36:J36"/>
    <mergeCell ref="B24:J24"/>
    <mergeCell ref="B26:J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CI337"/>
  <sheetViews>
    <sheetView zoomScaleNormal="100" workbookViewId="0">
      <selection activeCell="E16" sqref="E16"/>
    </sheetView>
  </sheetViews>
  <sheetFormatPr defaultRowHeight="15"/>
  <cols>
    <col min="1" max="1" width="37.42578125" style="75" customWidth="1"/>
    <col min="2" max="2" width="16.28515625" customWidth="1"/>
    <col min="3" max="3" width="2.42578125" style="67" customWidth="1"/>
    <col min="4" max="13" width="12" customWidth="1"/>
    <col min="14" max="84" width="9.140625" style="67"/>
  </cols>
  <sheetData>
    <row r="1" spans="1:87" s="66" customFormat="1" ht="16.5" thickBot="1">
      <c r="A1" s="66" t="s">
        <v>0</v>
      </c>
    </row>
    <row r="2" spans="1:87" s="67" customFormat="1" ht="16.5" thickTop="1" thickBot="1">
      <c r="A2" s="127" t="s">
        <v>232</v>
      </c>
      <c r="B2" s="127"/>
      <c r="C2" s="127"/>
      <c r="D2" s="127"/>
    </row>
    <row r="3" spans="1:87" s="68" customFormat="1" ht="12.75">
      <c r="A3" s="68" t="s">
        <v>1</v>
      </c>
    </row>
    <row r="4" spans="1:87" s="69" customFormat="1" ht="11.25"/>
    <row r="5" spans="1:87" s="4" customFormat="1" ht="11.25">
      <c r="A5" s="70" t="s">
        <v>2</v>
      </c>
      <c r="B5" s="86" t="s">
        <v>230</v>
      </c>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4"/>
      <c r="CH5" s="64"/>
      <c r="CI5" s="64"/>
    </row>
    <row r="6" spans="1:87" s="4" customFormat="1" ht="11.25">
      <c r="A6" s="70" t="s">
        <v>8</v>
      </c>
      <c r="B6" s="86"/>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4"/>
      <c r="CH6" s="64"/>
      <c r="CI6" s="64"/>
    </row>
    <row r="7" spans="1:87" s="4" customFormat="1" ht="11.25">
      <c r="A7" s="70" t="s">
        <v>3</v>
      </c>
      <c r="B7" s="86"/>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4"/>
      <c r="CH7" s="64"/>
      <c r="CI7" s="64"/>
    </row>
    <row r="8" spans="1:87" s="4" customFormat="1" ht="11.25">
      <c r="A8" s="70" t="s">
        <v>144</v>
      </c>
      <c r="B8" s="87">
        <v>100000</v>
      </c>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4"/>
      <c r="CH8" s="64"/>
      <c r="CI8" s="64"/>
    </row>
    <row r="9" spans="1:87" s="65" customFormat="1" ht="11.25"/>
    <row r="10" spans="1:87" s="65" customFormat="1" ht="12" thickBot="1"/>
    <row r="11" spans="1:87" s="76" customFormat="1" ht="12.75">
      <c r="A11" s="68" t="s">
        <v>4</v>
      </c>
      <c r="B11" s="83" t="s">
        <v>9</v>
      </c>
      <c r="D11" s="76">
        <v>2000</v>
      </c>
      <c r="E11" s="76">
        <v>2001</v>
      </c>
      <c r="F11" s="76">
        <v>2002</v>
      </c>
      <c r="G11" s="76">
        <v>2003</v>
      </c>
      <c r="H11" s="76">
        <v>2004</v>
      </c>
      <c r="I11" s="76">
        <v>2005</v>
      </c>
      <c r="J11" s="76">
        <v>2006</v>
      </c>
      <c r="K11" s="76">
        <v>2007</v>
      </c>
      <c r="L11" s="76">
        <v>2008</v>
      </c>
      <c r="M11" s="76">
        <v>2009</v>
      </c>
    </row>
    <row r="12" spans="1:87" s="65" customFormat="1" ht="11.25">
      <c r="A12" s="71" t="s">
        <v>67</v>
      </c>
      <c r="B12" s="84"/>
      <c r="C12" s="77"/>
    </row>
    <row r="13" spans="1:87" s="65" customFormat="1" ht="11.25">
      <c r="A13" s="70"/>
      <c r="C13" s="78"/>
    </row>
    <row r="14" spans="1:87" s="4" customFormat="1" ht="11.25">
      <c r="A14" s="70" t="s">
        <v>6</v>
      </c>
      <c r="B14" s="88">
        <v>5000000</v>
      </c>
      <c r="C14" s="79"/>
      <c r="D14" s="88">
        <v>4500000</v>
      </c>
      <c r="E14" s="88">
        <f>1.02*D14</f>
        <v>4590000</v>
      </c>
      <c r="F14" s="88">
        <f t="shared" ref="F14:M14" si="0">1.02*E14</f>
        <v>4681800</v>
      </c>
      <c r="G14" s="88">
        <f t="shared" si="0"/>
        <v>4775436</v>
      </c>
      <c r="H14" s="88">
        <f t="shared" si="0"/>
        <v>4870944.72</v>
      </c>
      <c r="I14" s="88">
        <f t="shared" si="0"/>
        <v>4968363.6143999994</v>
      </c>
      <c r="J14" s="88">
        <f t="shared" si="0"/>
        <v>5067730.8866879996</v>
      </c>
      <c r="K14" s="88">
        <f t="shared" si="0"/>
        <v>5169085.5044217594</v>
      </c>
      <c r="L14" s="88">
        <f t="shared" si="0"/>
        <v>5272467.214510195</v>
      </c>
      <c r="M14" s="88">
        <f t="shared" si="0"/>
        <v>5377916.5588003993</v>
      </c>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row>
    <row r="15" spans="1:87" s="4" customFormat="1" ht="11.25">
      <c r="A15" s="70" t="s">
        <v>7</v>
      </c>
      <c r="B15" s="88">
        <v>30000000</v>
      </c>
      <c r="C15" s="79"/>
      <c r="D15" s="88">
        <v>25000000</v>
      </c>
      <c r="E15" s="88">
        <f>1.01*D15</f>
        <v>25250000</v>
      </c>
      <c r="F15" s="88">
        <f t="shared" ref="F15:M15" si="1">1.01*E15</f>
        <v>25502500</v>
      </c>
      <c r="G15" s="88">
        <f t="shared" si="1"/>
        <v>25757525</v>
      </c>
      <c r="H15" s="88">
        <f t="shared" si="1"/>
        <v>26015100.25</v>
      </c>
      <c r="I15" s="88">
        <f t="shared" si="1"/>
        <v>26275251.252500001</v>
      </c>
      <c r="J15" s="88">
        <f t="shared" si="1"/>
        <v>26538003.765025001</v>
      </c>
      <c r="K15" s="88">
        <f t="shared" si="1"/>
        <v>26803383.802675251</v>
      </c>
      <c r="L15" s="88">
        <f t="shared" si="1"/>
        <v>27071417.640702005</v>
      </c>
      <c r="M15" s="88">
        <f t="shared" si="1"/>
        <v>27342131.817109026</v>
      </c>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row>
    <row r="16" spans="1:87" s="4" customFormat="1" ht="11.25">
      <c r="A16" s="70" t="s">
        <v>21</v>
      </c>
      <c r="B16" s="88"/>
      <c r="C16" s="79"/>
      <c r="D16" s="88"/>
      <c r="E16" s="88"/>
      <c r="F16" s="88"/>
      <c r="G16" s="88"/>
      <c r="H16" s="88"/>
      <c r="I16" s="88"/>
      <c r="J16" s="88"/>
      <c r="K16" s="88"/>
      <c r="L16" s="88"/>
      <c r="M16" s="88"/>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row>
    <row r="17" spans="1:84" s="65" customFormat="1" ht="11.25">
      <c r="A17" s="70"/>
      <c r="C17" s="78"/>
    </row>
    <row r="18" spans="1:84" s="4" customFormat="1" ht="11.25">
      <c r="A18" s="70" t="s">
        <v>22</v>
      </c>
      <c r="B18" s="88"/>
      <c r="C18" s="79"/>
      <c r="D18" s="88"/>
      <c r="E18" s="88"/>
      <c r="F18" s="88"/>
      <c r="G18" s="88"/>
      <c r="H18" s="88"/>
      <c r="I18" s="88"/>
      <c r="J18" s="88"/>
      <c r="K18" s="88"/>
      <c r="L18" s="88"/>
      <c r="M18" s="88"/>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row>
    <row r="19" spans="1:84" s="4" customFormat="1" ht="11.25">
      <c r="A19" s="70" t="s">
        <v>23</v>
      </c>
      <c r="B19" s="88">
        <v>60000000</v>
      </c>
      <c r="C19" s="79"/>
      <c r="D19" s="88">
        <v>55000000</v>
      </c>
      <c r="E19" s="88">
        <f>1.02*D19</f>
        <v>56100000</v>
      </c>
      <c r="F19" s="88">
        <f t="shared" ref="F19:M19" si="2">1.02*E19</f>
        <v>57222000</v>
      </c>
      <c r="G19" s="88">
        <f t="shared" si="2"/>
        <v>58366440</v>
      </c>
      <c r="H19" s="88">
        <f t="shared" si="2"/>
        <v>59533768.800000004</v>
      </c>
      <c r="I19" s="88">
        <f t="shared" si="2"/>
        <v>60724444.176000006</v>
      </c>
      <c r="J19" s="88">
        <f t="shared" si="2"/>
        <v>61938933.059520006</v>
      </c>
      <c r="K19" s="88">
        <f t="shared" si="2"/>
        <v>63177711.720710404</v>
      </c>
      <c r="L19" s="88">
        <f t="shared" si="2"/>
        <v>64441265.955124617</v>
      </c>
      <c r="M19" s="88">
        <f t="shared" si="2"/>
        <v>65730091.274227113</v>
      </c>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row>
    <row r="20" spans="1:84" s="4" customFormat="1" ht="11.25">
      <c r="A20" s="70" t="s">
        <v>24</v>
      </c>
      <c r="B20" s="88"/>
      <c r="C20" s="79"/>
      <c r="D20" s="88"/>
      <c r="E20" s="88"/>
      <c r="F20" s="88"/>
      <c r="G20" s="88"/>
      <c r="H20" s="88"/>
      <c r="I20" s="88"/>
      <c r="J20" s="88"/>
      <c r="K20" s="88"/>
      <c r="L20" s="88"/>
      <c r="M20" s="88"/>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row>
    <row r="21" spans="1:84" s="65" customFormat="1" ht="11.25">
      <c r="A21" s="70" t="s">
        <v>5</v>
      </c>
      <c r="B21" s="81">
        <f>SUM(B18:B20)</f>
        <v>60000000</v>
      </c>
      <c r="C21" s="80"/>
      <c r="D21" s="81">
        <f t="shared" ref="D21:M21" si="3">SUM(D18:D20)</f>
        <v>55000000</v>
      </c>
      <c r="E21" s="81">
        <f t="shared" si="3"/>
        <v>56100000</v>
      </c>
      <c r="F21" s="81">
        <f t="shared" si="3"/>
        <v>57222000</v>
      </c>
      <c r="G21" s="81">
        <f t="shared" si="3"/>
        <v>58366440</v>
      </c>
      <c r="H21" s="81">
        <f t="shared" si="3"/>
        <v>59533768.800000004</v>
      </c>
      <c r="I21" s="81">
        <f t="shared" si="3"/>
        <v>60724444.176000006</v>
      </c>
      <c r="J21" s="81">
        <f t="shared" si="3"/>
        <v>61938933.059520006</v>
      </c>
      <c r="K21" s="81">
        <f t="shared" si="3"/>
        <v>63177711.720710404</v>
      </c>
      <c r="L21" s="81">
        <f t="shared" si="3"/>
        <v>64441265.955124617</v>
      </c>
      <c r="M21" s="81">
        <f t="shared" si="3"/>
        <v>65730091.274227113</v>
      </c>
    </row>
    <row r="22" spans="1:84" s="65" customFormat="1" ht="11.25">
      <c r="A22" s="70"/>
      <c r="C22" s="78"/>
    </row>
    <row r="23" spans="1:84" s="4" customFormat="1" ht="11.25">
      <c r="A23" s="70" t="s">
        <v>20</v>
      </c>
      <c r="B23" s="88">
        <v>3000000</v>
      </c>
      <c r="C23" s="79"/>
      <c r="D23" s="88">
        <f>2500000</f>
        <v>2500000</v>
      </c>
      <c r="E23" s="88">
        <f>1.01*D23</f>
        <v>2525000</v>
      </c>
      <c r="F23" s="88">
        <f t="shared" ref="F23:M23" si="4">1.01*E23</f>
        <v>2550250</v>
      </c>
      <c r="G23" s="88">
        <f t="shared" si="4"/>
        <v>2575752.5</v>
      </c>
      <c r="H23" s="88">
        <f t="shared" si="4"/>
        <v>2601510.0249999999</v>
      </c>
      <c r="I23" s="88">
        <f t="shared" si="4"/>
        <v>2627525.12525</v>
      </c>
      <c r="J23" s="88">
        <f t="shared" si="4"/>
        <v>2653800.3765024999</v>
      </c>
      <c r="K23" s="88">
        <f t="shared" si="4"/>
        <v>2680338.3802675251</v>
      </c>
      <c r="L23" s="88">
        <f t="shared" si="4"/>
        <v>2707141.7640702003</v>
      </c>
      <c r="M23" s="88">
        <f t="shared" si="4"/>
        <v>2734213.1817109021</v>
      </c>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row>
    <row r="24" spans="1:84" s="4" customFormat="1" ht="11.25">
      <c r="A24" s="70" t="s">
        <v>11</v>
      </c>
      <c r="B24" s="88">
        <v>16000000</v>
      </c>
      <c r="C24" s="79"/>
      <c r="D24" s="88">
        <v>15000000</v>
      </c>
      <c r="E24" s="88">
        <f>1.01*D24</f>
        <v>15150000</v>
      </c>
      <c r="F24" s="88">
        <f t="shared" ref="F24:M24" si="5">1.01*E24</f>
        <v>15301500</v>
      </c>
      <c r="G24" s="88">
        <f t="shared" si="5"/>
        <v>15454515</v>
      </c>
      <c r="H24" s="88">
        <f t="shared" si="5"/>
        <v>15609060.15</v>
      </c>
      <c r="I24" s="88">
        <f t="shared" si="5"/>
        <v>15765150.751500001</v>
      </c>
      <c r="J24" s="88">
        <f t="shared" si="5"/>
        <v>15922802.259015001</v>
      </c>
      <c r="K24" s="88">
        <f t="shared" si="5"/>
        <v>16082030.281605152</v>
      </c>
      <c r="L24" s="88">
        <f t="shared" si="5"/>
        <v>16242850.584421204</v>
      </c>
      <c r="M24" s="88">
        <f t="shared" si="5"/>
        <v>16405279.090265417</v>
      </c>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row>
    <row r="25" spans="1:84" s="4" customFormat="1" ht="11.25">
      <c r="A25" s="70" t="s">
        <v>25</v>
      </c>
      <c r="B25" s="88">
        <v>15000000</v>
      </c>
      <c r="C25" s="79"/>
      <c r="D25" s="88">
        <v>14000000</v>
      </c>
      <c r="E25" s="88">
        <f>1.02*D25</f>
        <v>14280000</v>
      </c>
      <c r="F25" s="88">
        <f t="shared" ref="F25:M25" si="6">1.02*E25</f>
        <v>14565600</v>
      </c>
      <c r="G25" s="88">
        <f t="shared" si="6"/>
        <v>14856912</v>
      </c>
      <c r="H25" s="88">
        <f t="shared" si="6"/>
        <v>15154050.24</v>
      </c>
      <c r="I25" s="88">
        <f t="shared" si="6"/>
        <v>15457131.244800001</v>
      </c>
      <c r="J25" s="88">
        <f t="shared" si="6"/>
        <v>15766273.869696002</v>
      </c>
      <c r="K25" s="88">
        <f t="shared" si="6"/>
        <v>16081599.347089922</v>
      </c>
      <c r="L25" s="88">
        <f t="shared" si="6"/>
        <v>16403231.334031722</v>
      </c>
      <c r="M25" s="88">
        <f t="shared" si="6"/>
        <v>16731295.960712356</v>
      </c>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row>
    <row r="26" spans="1:84" s="4" customFormat="1" ht="11.25">
      <c r="A26" s="70" t="s">
        <v>18</v>
      </c>
      <c r="B26" s="88">
        <v>120000</v>
      </c>
      <c r="C26" s="79"/>
      <c r="D26" s="88">
        <f>105000</f>
        <v>105000</v>
      </c>
      <c r="E26" s="88">
        <f>1.01*D26</f>
        <v>106050</v>
      </c>
      <c r="F26" s="88">
        <f t="shared" ref="F26:M26" si="7">1.01*E26</f>
        <v>107110.5</v>
      </c>
      <c r="G26" s="88">
        <f t="shared" si="7"/>
        <v>108181.605</v>
      </c>
      <c r="H26" s="88">
        <f t="shared" si="7"/>
        <v>109263.42104999999</v>
      </c>
      <c r="I26" s="88">
        <f t="shared" si="7"/>
        <v>110356.0552605</v>
      </c>
      <c r="J26" s="88">
        <f t="shared" si="7"/>
        <v>111459.615813105</v>
      </c>
      <c r="K26" s="88">
        <f t="shared" si="7"/>
        <v>112574.21197123606</v>
      </c>
      <c r="L26" s="88">
        <f t="shared" si="7"/>
        <v>113699.95409094842</v>
      </c>
      <c r="M26" s="88">
        <f t="shared" si="7"/>
        <v>114836.9536318579</v>
      </c>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row>
    <row r="27" spans="1:84" s="4" customFormat="1" ht="11.25">
      <c r="A27" s="70" t="s">
        <v>12</v>
      </c>
      <c r="B27" s="88"/>
      <c r="C27" s="79"/>
      <c r="D27" s="88"/>
      <c r="E27" s="88"/>
      <c r="F27" s="88"/>
      <c r="G27" s="88"/>
      <c r="H27" s="88"/>
      <c r="I27" s="88"/>
      <c r="J27" s="88"/>
      <c r="K27" s="88"/>
      <c r="L27" s="88"/>
      <c r="M27" s="88"/>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row>
    <row r="28" spans="1:84" s="4" customFormat="1" ht="11.25">
      <c r="A28" s="70" t="s">
        <v>26</v>
      </c>
      <c r="B28" s="88">
        <v>40000000</v>
      </c>
      <c r="C28" s="79"/>
      <c r="D28" s="88">
        <v>45000000</v>
      </c>
      <c r="E28" s="88">
        <f>1.01*D28</f>
        <v>45450000</v>
      </c>
      <c r="F28" s="88">
        <f t="shared" ref="F28:M28" si="8">1.01*E28</f>
        <v>45904500</v>
      </c>
      <c r="G28" s="88">
        <f t="shared" si="8"/>
        <v>46363545</v>
      </c>
      <c r="H28" s="88">
        <f t="shared" si="8"/>
        <v>46827180.450000003</v>
      </c>
      <c r="I28" s="88">
        <f t="shared" si="8"/>
        <v>47295452.254500002</v>
      </c>
      <c r="J28" s="88">
        <f t="shared" si="8"/>
        <v>47768406.777045004</v>
      </c>
      <c r="K28" s="88">
        <f t="shared" si="8"/>
        <v>48246090.844815455</v>
      </c>
      <c r="L28" s="88">
        <f t="shared" si="8"/>
        <v>48728551.753263608</v>
      </c>
      <c r="M28" s="88">
        <f t="shared" si="8"/>
        <v>49215837.270796247</v>
      </c>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row>
    <row r="29" spans="1:84" s="65" customFormat="1" ht="11.25">
      <c r="A29" s="70" t="s">
        <v>13</v>
      </c>
      <c r="B29" s="85">
        <f>SUM(B23:B28)</f>
        <v>74120000</v>
      </c>
      <c r="C29" s="80"/>
      <c r="D29" s="85">
        <f t="shared" ref="D29:M29" si="9">SUM(D23:D28)</f>
        <v>76605000</v>
      </c>
      <c r="E29" s="85">
        <f t="shared" si="9"/>
        <v>77511050</v>
      </c>
      <c r="F29" s="85">
        <f t="shared" si="9"/>
        <v>78428960.5</v>
      </c>
      <c r="G29" s="85">
        <f t="shared" si="9"/>
        <v>79358906.105000004</v>
      </c>
      <c r="H29" s="85">
        <f t="shared" si="9"/>
        <v>80301064.286050007</v>
      </c>
      <c r="I29" s="85">
        <f t="shared" si="9"/>
        <v>81255615.431310505</v>
      </c>
      <c r="J29" s="85">
        <f t="shared" si="9"/>
        <v>82222742.898071617</v>
      </c>
      <c r="K29" s="85">
        <f t="shared" si="9"/>
        <v>83202633.065749288</v>
      </c>
      <c r="L29" s="85">
        <f t="shared" si="9"/>
        <v>84195475.389877677</v>
      </c>
      <c r="M29" s="85">
        <f t="shared" si="9"/>
        <v>85201462.457116783</v>
      </c>
    </row>
    <row r="30" spans="1:84" s="65" customFormat="1" ht="11.25">
      <c r="A30" s="70"/>
      <c r="B30" s="78"/>
      <c r="C30" s="78"/>
      <c r="D30" s="78"/>
      <c r="E30" s="78"/>
      <c r="F30" s="78"/>
      <c r="G30" s="78"/>
      <c r="H30" s="78"/>
      <c r="I30" s="78"/>
      <c r="J30" s="78"/>
      <c r="K30" s="78"/>
      <c r="L30" s="78"/>
      <c r="M30" s="78"/>
    </row>
    <row r="31" spans="1:84" s="4" customFormat="1" ht="11.25">
      <c r="A31" s="70" t="s">
        <v>175</v>
      </c>
      <c r="B31" s="88">
        <v>3500000</v>
      </c>
      <c r="C31" s="79"/>
      <c r="D31" s="88">
        <v>3000000</v>
      </c>
      <c r="E31" s="88">
        <f>1.02*D31</f>
        <v>3060000</v>
      </c>
      <c r="F31" s="88">
        <f t="shared" ref="F31:M31" si="10">1.02*E31</f>
        <v>3121200</v>
      </c>
      <c r="G31" s="88">
        <f t="shared" si="10"/>
        <v>3183624</v>
      </c>
      <c r="H31" s="88">
        <f t="shared" si="10"/>
        <v>3247296.48</v>
      </c>
      <c r="I31" s="88">
        <f t="shared" si="10"/>
        <v>3312242.4095999999</v>
      </c>
      <c r="J31" s="88">
        <f t="shared" si="10"/>
        <v>3378487.2577919997</v>
      </c>
      <c r="K31" s="88">
        <f t="shared" si="10"/>
        <v>3446057.0029478399</v>
      </c>
      <c r="L31" s="88">
        <f t="shared" si="10"/>
        <v>3514978.1430067969</v>
      </c>
      <c r="M31" s="88">
        <f t="shared" si="10"/>
        <v>3585277.7058669329</v>
      </c>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row>
    <row r="32" spans="1:84" s="4" customFormat="1" ht="11.25">
      <c r="A32" s="70" t="s">
        <v>89</v>
      </c>
      <c r="B32" s="88"/>
      <c r="C32" s="79"/>
      <c r="D32" s="88"/>
      <c r="E32" s="88"/>
      <c r="F32" s="88"/>
      <c r="G32" s="88"/>
      <c r="H32" s="88"/>
      <c r="I32" s="88"/>
      <c r="J32" s="88"/>
      <c r="K32" s="88"/>
      <c r="L32" s="88"/>
      <c r="M32" s="88"/>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row>
    <row r="33" spans="1:84" s="4" customFormat="1" ht="11.25">
      <c r="A33" s="70" t="s">
        <v>28</v>
      </c>
      <c r="B33" s="88">
        <v>800000</v>
      </c>
      <c r="C33" s="79"/>
      <c r="D33" s="88">
        <v>6000000</v>
      </c>
      <c r="E33" s="88">
        <f>1.03*D33</f>
        <v>6180000</v>
      </c>
      <c r="F33" s="88">
        <f t="shared" ref="F33:M33" si="11">1.03*E33</f>
        <v>6365400</v>
      </c>
      <c r="G33" s="88">
        <f t="shared" si="11"/>
        <v>6556362</v>
      </c>
      <c r="H33" s="88">
        <f t="shared" si="11"/>
        <v>6753052.8600000003</v>
      </c>
      <c r="I33" s="88">
        <f t="shared" si="11"/>
        <v>6955644.4458000008</v>
      </c>
      <c r="J33" s="88">
        <f t="shared" si="11"/>
        <v>7164313.779174001</v>
      </c>
      <c r="K33" s="88">
        <f t="shared" si="11"/>
        <v>7379243.1925492212</v>
      </c>
      <c r="L33" s="88">
        <f t="shared" si="11"/>
        <v>7600620.4883256983</v>
      </c>
      <c r="M33" s="88">
        <f t="shared" si="11"/>
        <v>7828639.1029754691</v>
      </c>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row>
    <row r="34" spans="1:84" s="65" customFormat="1" ht="11.25">
      <c r="A34" s="70" t="s">
        <v>68</v>
      </c>
      <c r="B34" s="80">
        <f>SUM(B31:B33)</f>
        <v>4300000</v>
      </c>
      <c r="C34" s="80"/>
      <c r="D34" s="80">
        <f t="shared" ref="D34:M34" si="12">SUM(D31:D33)</f>
        <v>9000000</v>
      </c>
      <c r="E34" s="80">
        <f t="shared" si="12"/>
        <v>9240000</v>
      </c>
      <c r="F34" s="80">
        <f t="shared" si="12"/>
        <v>9486600</v>
      </c>
      <c r="G34" s="80">
        <f t="shared" si="12"/>
        <v>9739986</v>
      </c>
      <c r="H34" s="80">
        <f t="shared" si="12"/>
        <v>10000349.34</v>
      </c>
      <c r="I34" s="80">
        <f t="shared" si="12"/>
        <v>10267886.8554</v>
      </c>
      <c r="J34" s="80">
        <f t="shared" si="12"/>
        <v>10542801.036966</v>
      </c>
      <c r="K34" s="80">
        <f t="shared" si="12"/>
        <v>10825300.195497062</v>
      </c>
      <c r="L34" s="80">
        <f t="shared" si="12"/>
        <v>11115598.631332494</v>
      </c>
      <c r="M34" s="80">
        <f t="shared" si="12"/>
        <v>11413916.808842402</v>
      </c>
    </row>
    <row r="35" spans="1:84" s="65" customFormat="1" ht="11.25">
      <c r="A35" s="70"/>
      <c r="C35" s="78"/>
    </row>
    <row r="36" spans="1:84" s="65" customFormat="1" ht="11.25">
      <c r="A36" s="70" t="s">
        <v>14</v>
      </c>
      <c r="B36" s="81">
        <f>SUM(B31:B33,B24:B28,B23,B18:B20,B14:B16)</f>
        <v>173420000</v>
      </c>
      <c r="C36" s="80"/>
      <c r="D36" s="81">
        <f t="shared" ref="D36:M36" si="13">SUM(D31:D33,D24:D28,D23,D18:D20,D14:D16)</f>
        <v>170105000</v>
      </c>
      <c r="E36" s="81">
        <f t="shared" si="13"/>
        <v>172691050</v>
      </c>
      <c r="F36" s="81">
        <f t="shared" si="13"/>
        <v>175321860.5</v>
      </c>
      <c r="G36" s="81">
        <f t="shared" si="13"/>
        <v>177998293.10499999</v>
      </c>
      <c r="H36" s="81">
        <f t="shared" si="13"/>
        <v>180721227.39605001</v>
      </c>
      <c r="I36" s="81">
        <f t="shared" si="13"/>
        <v>183491561.3296105</v>
      </c>
      <c r="J36" s="81">
        <f t="shared" si="13"/>
        <v>186310211.6462706</v>
      </c>
      <c r="K36" s="81">
        <f t="shared" si="13"/>
        <v>189178114.28905377</v>
      </c>
      <c r="L36" s="81">
        <f t="shared" si="13"/>
        <v>192096224.83154702</v>
      </c>
      <c r="M36" s="81">
        <f t="shared" si="13"/>
        <v>195065518.9160957</v>
      </c>
    </row>
    <row r="37" spans="1:84" s="65" customFormat="1" ht="11.25">
      <c r="A37" s="70"/>
      <c r="C37" s="77"/>
    </row>
    <row r="38" spans="1:84" s="65" customFormat="1" ht="12" thickBot="1">
      <c r="A38" s="70"/>
    </row>
    <row r="39" spans="1:84" s="76" customFormat="1" ht="12.75">
      <c r="A39" s="72" t="s">
        <v>15</v>
      </c>
      <c r="B39" s="83" t="s">
        <v>9</v>
      </c>
      <c r="D39" s="76">
        <v>2000</v>
      </c>
      <c r="E39" s="76">
        <v>2001</v>
      </c>
      <c r="F39" s="76">
        <v>2002</v>
      </c>
      <c r="G39" s="76">
        <v>2003</v>
      </c>
      <c r="H39" s="76">
        <v>2004</v>
      </c>
      <c r="I39" s="76">
        <v>2005</v>
      </c>
      <c r="J39" s="76">
        <v>2006</v>
      </c>
      <c r="K39" s="76">
        <v>2007</v>
      </c>
      <c r="L39" s="76">
        <v>2008</v>
      </c>
      <c r="M39" s="76">
        <v>2009</v>
      </c>
    </row>
    <row r="40" spans="1:84" s="65" customFormat="1" ht="11.25">
      <c r="A40" s="73" t="s">
        <v>66</v>
      </c>
    </row>
    <row r="41" spans="1:84" s="65" customFormat="1" ht="11.25">
      <c r="A41" s="70"/>
    </row>
    <row r="42" spans="1:84" s="4" customFormat="1" ht="11.25">
      <c r="A42" s="70" t="s">
        <v>32</v>
      </c>
      <c r="B42" s="88">
        <v>42000000</v>
      </c>
      <c r="C42" s="65"/>
      <c r="D42" s="88">
        <v>40000000</v>
      </c>
      <c r="E42" s="88">
        <f>1.01*D42</f>
        <v>40400000</v>
      </c>
      <c r="F42" s="88">
        <f t="shared" ref="F42:M42" si="14">1.01*E42</f>
        <v>40804000</v>
      </c>
      <c r="G42" s="88">
        <f t="shared" si="14"/>
        <v>41212040</v>
      </c>
      <c r="H42" s="88">
        <f t="shared" si="14"/>
        <v>41624160.399999999</v>
      </c>
      <c r="I42" s="88">
        <f t="shared" si="14"/>
        <v>42040402.004000001</v>
      </c>
      <c r="J42" s="88">
        <f t="shared" si="14"/>
        <v>42460806.024039999</v>
      </c>
      <c r="K42" s="88">
        <f t="shared" si="14"/>
        <v>42885414.084280401</v>
      </c>
      <c r="L42" s="88">
        <f t="shared" si="14"/>
        <v>43314268.225123204</v>
      </c>
      <c r="M42" s="88">
        <f t="shared" si="14"/>
        <v>43747410.907374434</v>
      </c>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row>
    <row r="43" spans="1:84" s="65" customFormat="1" ht="11.25">
      <c r="A43" s="70"/>
    </row>
    <row r="44" spans="1:84" s="4" customFormat="1" ht="11.25">
      <c r="A44" s="70" t="s">
        <v>33</v>
      </c>
      <c r="B44" s="88">
        <v>40000000</v>
      </c>
      <c r="C44" s="65"/>
      <c r="D44" s="88">
        <v>36000000</v>
      </c>
      <c r="E44" s="88">
        <f>1.02*D44</f>
        <v>36720000</v>
      </c>
      <c r="F44" s="88">
        <f t="shared" ref="F44:M44" si="15">1.02*E44</f>
        <v>37454400</v>
      </c>
      <c r="G44" s="88">
        <f t="shared" si="15"/>
        <v>38203488</v>
      </c>
      <c r="H44" s="88">
        <f t="shared" si="15"/>
        <v>38967557.759999998</v>
      </c>
      <c r="I44" s="88">
        <f t="shared" si="15"/>
        <v>39746908.915199995</v>
      </c>
      <c r="J44" s="88">
        <f t="shared" si="15"/>
        <v>40541847.093503997</v>
      </c>
      <c r="K44" s="88">
        <f t="shared" si="15"/>
        <v>41352684.035374075</v>
      </c>
      <c r="L44" s="88">
        <f t="shared" si="15"/>
        <v>42179737.71608156</v>
      </c>
      <c r="M44" s="88">
        <f t="shared" si="15"/>
        <v>43023332.470403194</v>
      </c>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row>
    <row r="45" spans="1:84" s="4" customFormat="1" ht="11.25">
      <c r="A45" s="70" t="s">
        <v>16</v>
      </c>
      <c r="B45" s="88"/>
      <c r="C45" s="65"/>
      <c r="D45" s="88"/>
      <c r="E45" s="88"/>
      <c r="F45" s="88"/>
      <c r="G45" s="88"/>
      <c r="H45" s="88"/>
      <c r="I45" s="88"/>
      <c r="J45" s="88"/>
      <c r="K45" s="88"/>
      <c r="L45" s="88"/>
      <c r="M45" s="88"/>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row>
    <row r="46" spans="1:84" s="65" customFormat="1" ht="11.25">
      <c r="A46" s="70"/>
    </row>
    <row r="47" spans="1:84" s="4" customFormat="1" ht="11.25">
      <c r="A47" s="70" t="s">
        <v>10</v>
      </c>
      <c r="B47" s="88">
        <v>24000000</v>
      </c>
      <c r="C47" s="65"/>
      <c r="D47" s="88">
        <v>20000000</v>
      </c>
      <c r="E47" s="88">
        <f>1.02*D47</f>
        <v>20400000</v>
      </c>
      <c r="F47" s="88">
        <f t="shared" ref="F47:M47" si="16">1.02*E47</f>
        <v>20808000</v>
      </c>
      <c r="G47" s="88">
        <f t="shared" si="16"/>
        <v>21224160</v>
      </c>
      <c r="H47" s="88">
        <f t="shared" si="16"/>
        <v>21648643.199999999</v>
      </c>
      <c r="I47" s="88">
        <f t="shared" si="16"/>
        <v>22081616.063999999</v>
      </c>
      <c r="J47" s="88">
        <f t="shared" si="16"/>
        <v>22523248.385279998</v>
      </c>
      <c r="K47" s="88">
        <f t="shared" si="16"/>
        <v>22973713.352985598</v>
      </c>
      <c r="L47" s="88">
        <f t="shared" si="16"/>
        <v>23433187.620045312</v>
      </c>
      <c r="M47" s="88">
        <f t="shared" si="16"/>
        <v>23901851.372446217</v>
      </c>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row>
    <row r="48" spans="1:84" s="4" customFormat="1" ht="11.25">
      <c r="A48" s="70" t="s">
        <v>34</v>
      </c>
      <c r="B48" s="88">
        <v>18000000</v>
      </c>
      <c r="C48" s="65"/>
      <c r="D48" s="88">
        <v>16000000</v>
      </c>
      <c r="E48" s="88">
        <f>1.01*D48</f>
        <v>16160000</v>
      </c>
      <c r="F48" s="88">
        <f t="shared" ref="F48:M48" si="17">1.01*E48</f>
        <v>16321600</v>
      </c>
      <c r="G48" s="88">
        <f t="shared" si="17"/>
        <v>16484816</v>
      </c>
      <c r="H48" s="88">
        <f t="shared" si="17"/>
        <v>16649664.16</v>
      </c>
      <c r="I48" s="88">
        <f t="shared" si="17"/>
        <v>16816160.801600002</v>
      </c>
      <c r="J48" s="88">
        <f t="shared" si="17"/>
        <v>16984322.409616001</v>
      </c>
      <c r="K48" s="88">
        <f t="shared" si="17"/>
        <v>17154165.633712161</v>
      </c>
      <c r="L48" s="88">
        <f t="shared" si="17"/>
        <v>17325707.290049285</v>
      </c>
      <c r="M48" s="88">
        <f t="shared" si="17"/>
        <v>17498964.362949777</v>
      </c>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row>
    <row r="49" spans="1:84" s="4" customFormat="1" ht="11.25">
      <c r="A49" s="70" t="s">
        <v>17</v>
      </c>
      <c r="B49" s="88">
        <v>17000000</v>
      </c>
      <c r="C49" s="65"/>
      <c r="D49" s="88">
        <v>15000000</v>
      </c>
      <c r="E49" s="88">
        <f>1.02*D49</f>
        <v>15300000</v>
      </c>
      <c r="F49" s="88">
        <f t="shared" ref="F49:M49" si="18">1.02*E49</f>
        <v>15606000</v>
      </c>
      <c r="G49" s="88">
        <f t="shared" si="18"/>
        <v>15918120</v>
      </c>
      <c r="H49" s="88">
        <f t="shared" si="18"/>
        <v>16236482.4</v>
      </c>
      <c r="I49" s="88">
        <f t="shared" si="18"/>
        <v>16561212.048</v>
      </c>
      <c r="J49" s="88">
        <f t="shared" si="18"/>
        <v>16892436.288960002</v>
      </c>
      <c r="K49" s="88">
        <f t="shared" si="18"/>
        <v>17230285.014739204</v>
      </c>
      <c r="L49" s="88">
        <f t="shared" si="18"/>
        <v>17574890.715033989</v>
      </c>
      <c r="M49" s="88">
        <f t="shared" si="18"/>
        <v>17926388.529334668</v>
      </c>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row>
    <row r="50" spans="1:84" s="65" customFormat="1" ht="11.25">
      <c r="A50" s="70"/>
    </row>
    <row r="51" spans="1:84" s="4" customFormat="1" ht="11.25">
      <c r="A51" s="70" t="s">
        <v>35</v>
      </c>
      <c r="B51" s="88"/>
      <c r="C51" s="65"/>
      <c r="D51" s="88"/>
      <c r="E51" s="88"/>
      <c r="F51" s="88"/>
      <c r="G51" s="88"/>
      <c r="H51" s="88"/>
      <c r="I51" s="88"/>
      <c r="J51" s="88"/>
      <c r="K51" s="88"/>
      <c r="L51" s="88"/>
      <c r="M51" s="88"/>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row>
    <row r="52" spans="1:84" s="4" customFormat="1" ht="11.25">
      <c r="A52" s="70" t="s">
        <v>36</v>
      </c>
      <c r="B52" s="88">
        <v>1900000</v>
      </c>
      <c r="C52" s="65"/>
      <c r="D52" s="88">
        <v>1000000</v>
      </c>
      <c r="E52" s="88">
        <f>1.03*D52</f>
        <v>1030000</v>
      </c>
      <c r="F52" s="88">
        <f t="shared" ref="F52:M52" si="19">1.03*E52</f>
        <v>1060900</v>
      </c>
      <c r="G52" s="88">
        <f t="shared" si="19"/>
        <v>1092727</v>
      </c>
      <c r="H52" s="88">
        <f t="shared" si="19"/>
        <v>1125508.81</v>
      </c>
      <c r="I52" s="88">
        <f t="shared" si="19"/>
        <v>1159274.0743</v>
      </c>
      <c r="J52" s="88">
        <f t="shared" si="19"/>
        <v>1194052.2965289999</v>
      </c>
      <c r="K52" s="88">
        <f t="shared" si="19"/>
        <v>1229873.86542487</v>
      </c>
      <c r="L52" s="88">
        <f t="shared" si="19"/>
        <v>1266770.0813876162</v>
      </c>
      <c r="M52" s="88">
        <f t="shared" si="19"/>
        <v>1304773.1838292447</v>
      </c>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row>
    <row r="53" spans="1:84" s="4" customFormat="1" ht="11.25">
      <c r="A53" s="70" t="s">
        <v>29</v>
      </c>
      <c r="B53" s="88">
        <v>14000000</v>
      </c>
      <c r="C53" s="65"/>
      <c r="D53" s="88">
        <v>13000000</v>
      </c>
      <c r="E53" s="88">
        <f>1.03*D53</f>
        <v>13390000</v>
      </c>
      <c r="F53" s="88">
        <f t="shared" ref="F53:M53" si="20">1.03*E53</f>
        <v>13791700</v>
      </c>
      <c r="G53" s="88">
        <f t="shared" si="20"/>
        <v>14205451</v>
      </c>
      <c r="H53" s="88">
        <f t="shared" si="20"/>
        <v>14631614.530000001</v>
      </c>
      <c r="I53" s="88">
        <f t="shared" si="20"/>
        <v>15070562.965900002</v>
      </c>
      <c r="J53" s="88">
        <f t="shared" si="20"/>
        <v>15522679.854877003</v>
      </c>
      <c r="K53" s="88">
        <f t="shared" si="20"/>
        <v>15988360.250523314</v>
      </c>
      <c r="L53" s="88">
        <f t="shared" si="20"/>
        <v>16468011.058039013</v>
      </c>
      <c r="M53" s="88">
        <f t="shared" si="20"/>
        <v>16962051.389780182</v>
      </c>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row>
    <row r="54" spans="1:84" s="4" customFormat="1" ht="11.25">
      <c r="A54" s="70" t="s">
        <v>37</v>
      </c>
      <c r="B54" s="88">
        <v>11000000</v>
      </c>
      <c r="C54" s="65"/>
      <c r="D54" s="88">
        <v>10000000</v>
      </c>
      <c r="E54" s="88">
        <f>D54*1.023</f>
        <v>10230000</v>
      </c>
      <c r="F54" s="88">
        <f t="shared" ref="F54:M54" si="21">E54*1.023</f>
        <v>10465290</v>
      </c>
      <c r="G54" s="88">
        <f t="shared" si="21"/>
        <v>10705991.67</v>
      </c>
      <c r="H54" s="88">
        <f t="shared" si="21"/>
        <v>10952229.478409998</v>
      </c>
      <c r="I54" s="88">
        <f t="shared" si="21"/>
        <v>11204130.756413426</v>
      </c>
      <c r="J54" s="88">
        <f t="shared" si="21"/>
        <v>11461825.763810934</v>
      </c>
      <c r="K54" s="88">
        <f t="shared" si="21"/>
        <v>11725447.756378585</v>
      </c>
      <c r="L54" s="88">
        <f t="shared" si="21"/>
        <v>11995133.054775292</v>
      </c>
      <c r="M54" s="88">
        <f t="shared" si="21"/>
        <v>12271021.115035122</v>
      </c>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row>
    <row r="55" spans="1:84" s="65" customFormat="1" ht="11.25">
      <c r="A55" s="70"/>
    </row>
    <row r="56" spans="1:84" s="4" customFormat="1" ht="11.25">
      <c r="A56" s="70" t="s">
        <v>31</v>
      </c>
      <c r="B56" s="88">
        <v>3000000</v>
      </c>
      <c r="C56" s="65"/>
      <c r="D56" s="88">
        <v>2500000</v>
      </c>
      <c r="E56" s="88">
        <f>1.02*D56</f>
        <v>2550000</v>
      </c>
      <c r="F56" s="88">
        <f t="shared" ref="F56:M56" si="22">1.02*E56</f>
        <v>2601000</v>
      </c>
      <c r="G56" s="88">
        <f t="shared" si="22"/>
        <v>2653020</v>
      </c>
      <c r="H56" s="88">
        <f t="shared" si="22"/>
        <v>2706080.4</v>
      </c>
      <c r="I56" s="88">
        <f t="shared" si="22"/>
        <v>2760202.0079999999</v>
      </c>
      <c r="J56" s="88">
        <f t="shared" si="22"/>
        <v>2815406.0481599998</v>
      </c>
      <c r="K56" s="88">
        <f t="shared" si="22"/>
        <v>2871714.1691231998</v>
      </c>
      <c r="L56" s="88">
        <f t="shared" si="22"/>
        <v>2929148.452505664</v>
      </c>
      <c r="M56" s="88">
        <f t="shared" si="22"/>
        <v>2987731.4215557771</v>
      </c>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c r="BY56" s="65"/>
      <c r="BZ56" s="65"/>
      <c r="CA56" s="65"/>
      <c r="CB56" s="65"/>
      <c r="CC56" s="65"/>
      <c r="CD56" s="65"/>
      <c r="CE56" s="65"/>
      <c r="CF56" s="65"/>
    </row>
    <row r="57" spans="1:84" s="4" customFormat="1" ht="11.25">
      <c r="A57" s="70" t="s">
        <v>89</v>
      </c>
      <c r="B57" s="88"/>
      <c r="C57" s="65"/>
      <c r="D57" s="88"/>
      <c r="E57" s="88"/>
      <c r="F57" s="88"/>
      <c r="G57" s="88"/>
      <c r="H57" s="88"/>
      <c r="I57" s="88"/>
      <c r="J57" s="88"/>
      <c r="K57" s="88"/>
      <c r="L57" s="88"/>
      <c r="M57" s="88"/>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row>
    <row r="58" spans="1:84" s="4" customFormat="1" ht="11.25">
      <c r="A58" s="70" t="s">
        <v>19</v>
      </c>
      <c r="B58" s="88">
        <v>20000000</v>
      </c>
      <c r="C58" s="65"/>
      <c r="D58" s="88">
        <v>18000000</v>
      </c>
      <c r="E58" s="88">
        <f>1.01*D58</f>
        <v>18180000</v>
      </c>
      <c r="F58" s="88">
        <f t="shared" ref="F58:M58" si="23">1.01*E58</f>
        <v>18361800</v>
      </c>
      <c r="G58" s="88">
        <f t="shared" si="23"/>
        <v>18545418</v>
      </c>
      <c r="H58" s="88">
        <f t="shared" si="23"/>
        <v>18730872.18</v>
      </c>
      <c r="I58" s="88">
        <f t="shared" si="23"/>
        <v>18918180.901799999</v>
      </c>
      <c r="J58" s="88">
        <f t="shared" si="23"/>
        <v>19107362.710818</v>
      </c>
      <c r="K58" s="88">
        <f t="shared" si="23"/>
        <v>19298436.337926179</v>
      </c>
      <c r="L58" s="88">
        <f t="shared" si="23"/>
        <v>19491420.701305442</v>
      </c>
      <c r="M58" s="88">
        <f t="shared" si="23"/>
        <v>19686334.908318497</v>
      </c>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5"/>
      <c r="BX58" s="65"/>
      <c r="BY58" s="65"/>
      <c r="BZ58" s="65"/>
      <c r="CA58" s="65"/>
      <c r="CB58" s="65"/>
      <c r="CC58" s="65"/>
      <c r="CD58" s="65"/>
      <c r="CE58" s="65"/>
      <c r="CF58" s="65"/>
    </row>
    <row r="59" spans="1:84" s="65" customFormat="1" ht="11.25">
      <c r="A59" s="70"/>
    </row>
    <row r="60" spans="1:84" s="65" customFormat="1" ht="11.25">
      <c r="A60" s="70" t="s">
        <v>30</v>
      </c>
      <c r="B60" s="81">
        <f>SUM(B56:B58,B51:B54,B47:B49,B44:B45,B42)</f>
        <v>190900000</v>
      </c>
      <c r="C60" s="81"/>
      <c r="D60" s="81">
        <f t="shared" ref="D60:M60" si="24">SUM(D56:D58,D51:D54,D47:D49,D44:D45,D42)</f>
        <v>171500000</v>
      </c>
      <c r="E60" s="81">
        <f t="shared" si="24"/>
        <v>174360000</v>
      </c>
      <c r="F60" s="81">
        <f t="shared" si="24"/>
        <v>177274690</v>
      </c>
      <c r="G60" s="81">
        <f t="shared" si="24"/>
        <v>180245231.67000002</v>
      </c>
      <c r="H60" s="81">
        <f t="shared" si="24"/>
        <v>183272813.31841001</v>
      </c>
      <c r="I60" s="81">
        <f t="shared" si="24"/>
        <v>186358650.53921345</v>
      </c>
      <c r="J60" s="81">
        <f t="shared" si="24"/>
        <v>189503986.87559491</v>
      </c>
      <c r="K60" s="81">
        <f t="shared" si="24"/>
        <v>192710094.50046757</v>
      </c>
      <c r="L60" s="81">
        <f t="shared" si="24"/>
        <v>195978274.91434637</v>
      </c>
      <c r="M60" s="81">
        <f t="shared" si="24"/>
        <v>199309859.66102713</v>
      </c>
    </row>
    <row r="61" spans="1:84" s="65" customFormat="1" ht="11.25">
      <c r="A61" s="70"/>
    </row>
    <row r="62" spans="1:84" s="65" customFormat="1" ht="12" thickBot="1">
      <c r="A62" s="70"/>
    </row>
    <row r="63" spans="1:84" s="76" customFormat="1" ht="12.75">
      <c r="A63" s="72" t="s">
        <v>38</v>
      </c>
      <c r="B63" s="83" t="s">
        <v>9</v>
      </c>
      <c r="D63" s="76">
        <v>2000</v>
      </c>
      <c r="E63" s="76">
        <v>2001</v>
      </c>
      <c r="F63" s="76">
        <v>2002</v>
      </c>
      <c r="G63" s="76">
        <v>2003</v>
      </c>
      <c r="H63" s="76">
        <v>2004</v>
      </c>
      <c r="I63" s="76">
        <v>2005</v>
      </c>
      <c r="J63" s="76">
        <v>2006</v>
      </c>
      <c r="K63" s="76">
        <v>2007</v>
      </c>
      <c r="L63" s="76">
        <v>2008</v>
      </c>
      <c r="M63" s="76">
        <v>2009</v>
      </c>
    </row>
    <row r="64" spans="1:84" s="65" customFormat="1" ht="11.25">
      <c r="A64" s="70"/>
    </row>
    <row r="65" spans="1:84" s="4" customFormat="1" ht="11.25">
      <c r="A65" s="70" t="s">
        <v>39</v>
      </c>
      <c r="B65" s="89">
        <v>1200</v>
      </c>
      <c r="C65" s="65"/>
      <c r="D65" s="89">
        <v>900</v>
      </c>
      <c r="E65" s="89">
        <f>1.02*D65</f>
        <v>918</v>
      </c>
      <c r="F65" s="89">
        <f t="shared" ref="F65:M65" si="25">1.02*E65</f>
        <v>936.36</v>
      </c>
      <c r="G65" s="89">
        <f t="shared" si="25"/>
        <v>955.08720000000005</v>
      </c>
      <c r="H65" s="89">
        <f t="shared" si="25"/>
        <v>974.18894400000011</v>
      </c>
      <c r="I65" s="89">
        <f t="shared" si="25"/>
        <v>993.67272288000015</v>
      </c>
      <c r="J65" s="89">
        <f t="shared" si="25"/>
        <v>1013.5461773376002</v>
      </c>
      <c r="K65" s="89">
        <f t="shared" si="25"/>
        <v>1033.8171008843522</v>
      </c>
      <c r="L65" s="89">
        <f t="shared" si="25"/>
        <v>1054.4934429020393</v>
      </c>
      <c r="M65" s="89">
        <f t="shared" si="25"/>
        <v>1075.5833117600801</v>
      </c>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5"/>
      <c r="BX65" s="65"/>
      <c r="BY65" s="65"/>
      <c r="BZ65" s="65"/>
      <c r="CA65" s="65"/>
      <c r="CB65" s="65"/>
      <c r="CC65" s="65"/>
      <c r="CD65" s="65"/>
      <c r="CE65" s="65"/>
      <c r="CF65" s="65"/>
    </row>
    <row r="66" spans="1:84" s="65" customFormat="1" ht="11.25">
      <c r="A66" s="70"/>
    </row>
    <row r="67" spans="1:84" s="4" customFormat="1" ht="11.25">
      <c r="A67" s="70" t="s">
        <v>40</v>
      </c>
      <c r="B67" s="88">
        <v>53000000</v>
      </c>
      <c r="C67" s="65"/>
      <c r="D67" s="88">
        <v>49000000</v>
      </c>
      <c r="E67" s="88">
        <f>1.01*D67</f>
        <v>49490000</v>
      </c>
      <c r="F67" s="88">
        <f t="shared" ref="F67:M67" si="26">1.01*E67</f>
        <v>49984900</v>
      </c>
      <c r="G67" s="88">
        <f t="shared" si="26"/>
        <v>50484749</v>
      </c>
      <c r="H67" s="88">
        <f t="shared" si="26"/>
        <v>50989596.490000002</v>
      </c>
      <c r="I67" s="88">
        <f t="shared" si="26"/>
        <v>51499492.454900004</v>
      </c>
      <c r="J67" s="88">
        <f t="shared" si="26"/>
        <v>52014487.379449002</v>
      </c>
      <c r="K67" s="88">
        <f t="shared" si="26"/>
        <v>52534632.253243491</v>
      </c>
      <c r="L67" s="88">
        <f t="shared" si="26"/>
        <v>53059978.575775929</v>
      </c>
      <c r="M67" s="88">
        <f t="shared" si="26"/>
        <v>53590578.361533687</v>
      </c>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65"/>
      <c r="CE67" s="65"/>
      <c r="CF67" s="65"/>
    </row>
    <row r="68" spans="1:84" s="4" customFormat="1" ht="11.25">
      <c r="A68" s="70" t="s">
        <v>41</v>
      </c>
      <c r="B68" s="88">
        <v>0</v>
      </c>
      <c r="C68" s="65"/>
      <c r="D68" s="88">
        <v>0</v>
      </c>
      <c r="E68" s="88">
        <v>0</v>
      </c>
      <c r="F68" s="88">
        <v>0</v>
      </c>
      <c r="G68" s="88">
        <v>0</v>
      </c>
      <c r="H68" s="88">
        <v>0</v>
      </c>
      <c r="I68" s="88">
        <v>0</v>
      </c>
      <c r="J68" s="88">
        <v>0</v>
      </c>
      <c r="K68" s="88">
        <v>0</v>
      </c>
      <c r="L68" s="88">
        <v>0</v>
      </c>
      <c r="M68" s="88">
        <v>0</v>
      </c>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5"/>
      <c r="BX68" s="65"/>
      <c r="BY68" s="65"/>
      <c r="BZ68" s="65"/>
      <c r="CA68" s="65"/>
      <c r="CB68" s="65"/>
      <c r="CC68" s="65"/>
      <c r="CD68" s="65"/>
      <c r="CE68" s="65"/>
      <c r="CF68" s="65"/>
    </row>
    <row r="69" spans="1:84" s="65" customFormat="1" ht="11.25">
      <c r="A69" s="70" t="s">
        <v>42</v>
      </c>
      <c r="B69" s="81">
        <f>B68+B67</f>
        <v>53000000</v>
      </c>
      <c r="C69" s="81"/>
      <c r="D69" s="81">
        <f t="shared" ref="D69:M69" si="27">D68+D67</f>
        <v>49000000</v>
      </c>
      <c r="E69" s="81">
        <f t="shared" si="27"/>
        <v>49490000</v>
      </c>
      <c r="F69" s="81">
        <f t="shared" si="27"/>
        <v>49984900</v>
      </c>
      <c r="G69" s="81">
        <f t="shared" si="27"/>
        <v>50484749</v>
      </c>
      <c r="H69" s="81">
        <f t="shared" si="27"/>
        <v>50989596.490000002</v>
      </c>
      <c r="I69" s="81">
        <f t="shared" si="27"/>
        <v>51499492.454900004</v>
      </c>
      <c r="J69" s="81">
        <f t="shared" si="27"/>
        <v>52014487.379449002</v>
      </c>
      <c r="K69" s="81">
        <f t="shared" si="27"/>
        <v>52534632.253243491</v>
      </c>
      <c r="L69" s="81">
        <f t="shared" si="27"/>
        <v>53059978.575775929</v>
      </c>
      <c r="M69" s="81">
        <f t="shared" si="27"/>
        <v>53590578.361533687</v>
      </c>
    </row>
    <row r="70" spans="1:84" s="65" customFormat="1" ht="11.25">
      <c r="A70" s="70"/>
    </row>
    <row r="71" spans="1:84" s="65" customFormat="1" ht="11.25">
      <c r="A71" s="70" t="s">
        <v>43</v>
      </c>
      <c r="B71" s="81">
        <f>IF(B65=0,0,B69/B65)</f>
        <v>44166.666666666664</v>
      </c>
      <c r="C71" s="81"/>
      <c r="D71" s="81">
        <f t="shared" ref="D71:M71" si="28">IF(D65=0,0,D69/D65)</f>
        <v>54444.444444444445</v>
      </c>
      <c r="E71" s="81">
        <f t="shared" si="28"/>
        <v>53910.675381263616</v>
      </c>
      <c r="F71" s="81">
        <f t="shared" si="28"/>
        <v>53382.139348113975</v>
      </c>
      <c r="G71" s="81">
        <f t="shared" si="28"/>
        <v>52858.785040779519</v>
      </c>
      <c r="H71" s="81">
        <f t="shared" si="28"/>
        <v>52340.561658026782</v>
      </c>
      <c r="I71" s="81">
        <f t="shared" si="28"/>
        <v>51827.418896673575</v>
      </c>
      <c r="J71" s="81">
        <f t="shared" si="28"/>
        <v>51319.306946706187</v>
      </c>
      <c r="K71" s="81">
        <f t="shared" si="28"/>
        <v>50816.176486444361</v>
      </c>
      <c r="L71" s="81">
        <f t="shared" si="28"/>
        <v>50317.978677753723</v>
      </c>
      <c r="M71" s="81">
        <f t="shared" si="28"/>
        <v>49824.665161305158</v>
      </c>
    </row>
    <row r="72" spans="1:84" s="65" customFormat="1" ht="11.25">
      <c r="A72" s="70"/>
    </row>
    <row r="73" spans="1:84" s="65" customFormat="1" ht="12" thickBot="1">
      <c r="A73" s="70"/>
    </row>
    <row r="74" spans="1:84" s="76" customFormat="1" ht="12.75">
      <c r="A74" s="72" t="s">
        <v>44</v>
      </c>
      <c r="B74" s="83" t="s">
        <v>45</v>
      </c>
      <c r="D74" s="76">
        <v>2000</v>
      </c>
      <c r="E74" s="76">
        <v>2001</v>
      </c>
      <c r="F74" s="76">
        <v>2002</v>
      </c>
      <c r="G74" s="76">
        <v>2003</v>
      </c>
      <c r="H74" s="76">
        <v>2004</v>
      </c>
      <c r="I74" s="76">
        <v>2005</v>
      </c>
      <c r="J74" s="76">
        <v>2006</v>
      </c>
      <c r="K74" s="76">
        <v>2007</v>
      </c>
      <c r="L74" s="76">
        <v>2008</v>
      </c>
      <c r="M74" s="76">
        <v>2009</v>
      </c>
    </row>
    <row r="75" spans="1:84" s="65" customFormat="1" ht="11.25">
      <c r="A75" s="70"/>
    </row>
    <row r="76" spans="1:84" s="65" customFormat="1" ht="11.25">
      <c r="A76" s="74" t="s">
        <v>46</v>
      </c>
    </row>
    <row r="77" spans="1:84" s="4" customFormat="1" ht="11.25">
      <c r="A77" s="70" t="s">
        <v>94</v>
      </c>
      <c r="B77" s="88">
        <v>8000000</v>
      </c>
      <c r="C77" s="65"/>
      <c r="D77" s="88"/>
      <c r="E77" s="88"/>
      <c r="F77" s="88"/>
      <c r="G77" s="88"/>
      <c r="H77" s="88"/>
      <c r="I77" s="88"/>
      <c r="J77" s="88"/>
      <c r="K77" s="88"/>
      <c r="L77" s="88"/>
      <c r="M77" s="88"/>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5"/>
      <c r="BX77" s="65"/>
      <c r="BY77" s="65"/>
      <c r="BZ77" s="65"/>
      <c r="CA77" s="65"/>
      <c r="CB77" s="65"/>
      <c r="CC77" s="65"/>
      <c r="CD77" s="65"/>
      <c r="CE77" s="65"/>
      <c r="CF77" s="65"/>
    </row>
    <row r="78" spans="1:84" s="65" customFormat="1" ht="11.25">
      <c r="A78" s="74"/>
    </row>
    <row r="79" spans="1:84" s="4" customFormat="1" ht="11.25">
      <c r="A79" s="70" t="s">
        <v>103</v>
      </c>
      <c r="B79" s="88">
        <v>4600000</v>
      </c>
      <c r="C79" s="65"/>
      <c r="D79" s="88"/>
      <c r="E79" s="88"/>
      <c r="F79" s="88"/>
      <c r="G79" s="88"/>
      <c r="H79" s="88"/>
      <c r="I79" s="88"/>
      <c r="J79" s="88"/>
      <c r="K79" s="88"/>
      <c r="L79" s="88"/>
      <c r="M79" s="88"/>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c r="BV79" s="65"/>
      <c r="BW79" s="65"/>
      <c r="BX79" s="65"/>
      <c r="BY79" s="65"/>
      <c r="BZ79" s="65"/>
      <c r="CA79" s="65"/>
      <c r="CB79" s="65"/>
      <c r="CC79" s="65"/>
      <c r="CD79" s="65"/>
      <c r="CE79" s="65"/>
      <c r="CF79" s="65"/>
    </row>
    <row r="80" spans="1:84" s="4" customFormat="1" ht="11.25">
      <c r="A80" s="70" t="s">
        <v>65</v>
      </c>
      <c r="B80" s="88">
        <v>3000000</v>
      </c>
      <c r="C80" s="65"/>
      <c r="D80" s="88"/>
      <c r="E80" s="88"/>
      <c r="F80" s="88"/>
      <c r="G80" s="88"/>
      <c r="H80" s="88"/>
      <c r="I80" s="88"/>
      <c r="J80" s="88"/>
      <c r="K80" s="88"/>
      <c r="L80" s="88"/>
      <c r="M80" s="88"/>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65"/>
      <c r="BS80" s="65"/>
      <c r="BT80" s="65"/>
      <c r="BU80" s="65"/>
      <c r="BV80" s="65"/>
      <c r="BW80" s="65"/>
      <c r="BX80" s="65"/>
      <c r="BY80" s="65"/>
      <c r="BZ80" s="65"/>
      <c r="CA80" s="65"/>
      <c r="CB80" s="65"/>
      <c r="CC80" s="65"/>
      <c r="CD80" s="65"/>
      <c r="CE80" s="65"/>
      <c r="CF80" s="65"/>
    </row>
    <row r="81" spans="1:84" s="4" customFormat="1" ht="11.25">
      <c r="A81" s="70" t="s">
        <v>92</v>
      </c>
      <c r="B81" s="88">
        <v>14700000</v>
      </c>
      <c r="C81" s="65"/>
      <c r="D81" s="88"/>
      <c r="E81" s="88"/>
      <c r="F81" s="88"/>
      <c r="G81" s="88"/>
      <c r="H81" s="88"/>
      <c r="I81" s="88"/>
      <c r="J81" s="88"/>
      <c r="K81" s="88"/>
      <c r="L81" s="88"/>
      <c r="M81" s="88"/>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c r="BV81" s="65"/>
      <c r="BW81" s="65"/>
      <c r="BX81" s="65"/>
      <c r="BY81" s="65"/>
      <c r="BZ81" s="65"/>
      <c r="CA81" s="65"/>
      <c r="CB81" s="65"/>
      <c r="CC81" s="65"/>
      <c r="CD81" s="65"/>
      <c r="CE81" s="65"/>
      <c r="CF81" s="65"/>
    </row>
    <row r="82" spans="1:84" s="65" customFormat="1" ht="11.25">
      <c r="A82" s="70"/>
    </row>
    <row r="83" spans="1:84" s="4" customFormat="1" ht="11.25">
      <c r="A83" s="70" t="s">
        <v>91</v>
      </c>
      <c r="B83" s="88">
        <v>6000000</v>
      </c>
      <c r="C83" s="65"/>
      <c r="D83" s="88"/>
      <c r="E83" s="88"/>
      <c r="F83" s="88"/>
      <c r="G83" s="88"/>
      <c r="H83" s="88"/>
      <c r="I83" s="88"/>
      <c r="J83" s="88"/>
      <c r="K83" s="88"/>
      <c r="L83" s="88"/>
      <c r="M83" s="88"/>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c r="BO83" s="65"/>
      <c r="BP83" s="65"/>
      <c r="BQ83" s="65"/>
      <c r="BR83" s="65"/>
      <c r="BS83" s="65"/>
      <c r="BT83" s="65"/>
      <c r="BU83" s="65"/>
      <c r="BV83" s="65"/>
      <c r="BW83" s="65"/>
      <c r="BX83" s="65"/>
      <c r="BY83" s="65"/>
      <c r="BZ83" s="65"/>
      <c r="CA83" s="65"/>
      <c r="CB83" s="65"/>
      <c r="CC83" s="65"/>
      <c r="CD83" s="65"/>
      <c r="CE83" s="65"/>
      <c r="CF83" s="65"/>
    </row>
    <row r="84" spans="1:84" s="4" customFormat="1" ht="11.25">
      <c r="A84" s="70" t="s">
        <v>106</v>
      </c>
      <c r="B84" s="88">
        <v>44000</v>
      </c>
      <c r="C84" s="65"/>
      <c r="D84" s="88"/>
      <c r="E84" s="88"/>
      <c r="F84" s="88"/>
      <c r="G84" s="88"/>
      <c r="H84" s="88"/>
      <c r="I84" s="88"/>
      <c r="J84" s="88"/>
      <c r="K84" s="88"/>
      <c r="L84" s="88"/>
      <c r="M84" s="88"/>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c r="CD84" s="65"/>
      <c r="CE84" s="65"/>
      <c r="CF84" s="65"/>
    </row>
    <row r="85" spans="1:84" s="4" customFormat="1" ht="11.25">
      <c r="A85" s="70" t="s">
        <v>48</v>
      </c>
      <c r="B85" s="88">
        <v>0</v>
      </c>
      <c r="C85" s="65"/>
      <c r="D85" s="88"/>
      <c r="E85" s="88"/>
      <c r="F85" s="88"/>
      <c r="G85" s="88"/>
      <c r="H85" s="88"/>
      <c r="I85" s="88"/>
      <c r="J85" s="88"/>
      <c r="K85" s="88"/>
      <c r="L85" s="88"/>
      <c r="M85" s="88"/>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5"/>
      <c r="BX85" s="65"/>
      <c r="BY85" s="65"/>
      <c r="BZ85" s="65"/>
      <c r="CA85" s="65"/>
      <c r="CB85" s="65"/>
      <c r="CC85" s="65"/>
      <c r="CD85" s="65"/>
      <c r="CE85" s="65"/>
      <c r="CF85" s="65"/>
    </row>
    <row r="86" spans="1:84" s="4" customFormat="1" ht="11.25">
      <c r="A86" s="70" t="s">
        <v>93</v>
      </c>
      <c r="B86" s="88">
        <v>7000000</v>
      </c>
      <c r="C86" s="65"/>
      <c r="D86" s="88"/>
      <c r="E86" s="88"/>
      <c r="F86" s="88"/>
      <c r="G86" s="88"/>
      <c r="H86" s="88"/>
      <c r="I86" s="88"/>
      <c r="J86" s="88"/>
      <c r="K86" s="88"/>
      <c r="L86" s="88"/>
      <c r="M86" s="88"/>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65"/>
      <c r="BT86" s="65"/>
      <c r="BU86" s="65"/>
      <c r="BV86" s="65"/>
      <c r="BW86" s="65"/>
      <c r="BX86" s="65"/>
      <c r="BY86" s="65"/>
      <c r="BZ86" s="65"/>
      <c r="CA86" s="65"/>
      <c r="CB86" s="65"/>
      <c r="CC86" s="65"/>
      <c r="CD86" s="65"/>
      <c r="CE86" s="65"/>
      <c r="CF86" s="65"/>
    </row>
    <row r="87" spans="1:84" s="65" customFormat="1" ht="11.25">
      <c r="A87" s="70"/>
    </row>
    <row r="88" spans="1:84" s="65" customFormat="1" ht="11.25">
      <c r="A88" s="70" t="s">
        <v>49</v>
      </c>
      <c r="B88" s="81">
        <f>B81-B86</f>
        <v>7700000</v>
      </c>
      <c r="C88" s="81"/>
      <c r="D88" s="81">
        <f t="shared" ref="D88:M88" si="29">D81-D86</f>
        <v>0</v>
      </c>
      <c r="E88" s="81">
        <f t="shared" si="29"/>
        <v>0</v>
      </c>
      <c r="F88" s="81">
        <f t="shared" si="29"/>
        <v>0</v>
      </c>
      <c r="G88" s="81">
        <f t="shared" si="29"/>
        <v>0</v>
      </c>
      <c r="H88" s="81">
        <f t="shared" si="29"/>
        <v>0</v>
      </c>
      <c r="I88" s="81">
        <f t="shared" si="29"/>
        <v>0</v>
      </c>
      <c r="J88" s="81">
        <f t="shared" si="29"/>
        <v>0</v>
      </c>
      <c r="K88" s="81">
        <f t="shared" si="29"/>
        <v>0</v>
      </c>
      <c r="L88" s="81">
        <f t="shared" si="29"/>
        <v>0</v>
      </c>
      <c r="M88" s="81">
        <f t="shared" si="29"/>
        <v>0</v>
      </c>
    </row>
    <row r="89" spans="1:84" s="4" customFormat="1" ht="11.25">
      <c r="A89" s="70" t="s">
        <v>115</v>
      </c>
      <c r="B89" s="88">
        <v>7500000</v>
      </c>
      <c r="C89" s="65"/>
      <c r="D89" s="88"/>
      <c r="E89" s="88"/>
      <c r="F89" s="88"/>
      <c r="G89" s="88"/>
      <c r="H89" s="88"/>
      <c r="I89" s="88"/>
      <c r="J89" s="88"/>
      <c r="K89" s="88"/>
      <c r="L89" s="88"/>
      <c r="M89" s="88"/>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row>
    <row r="90" spans="1:84" s="65" customFormat="1" ht="11.25">
      <c r="A90" s="70"/>
      <c r="B90" s="80"/>
    </row>
    <row r="91" spans="1:84" s="65" customFormat="1" ht="11.25">
      <c r="A91" s="70"/>
    </row>
    <row r="92" spans="1:84" s="65" customFormat="1" ht="11.25">
      <c r="A92" s="74" t="s">
        <v>97</v>
      </c>
      <c r="B92" s="65" t="s">
        <v>98</v>
      </c>
    </row>
    <row r="93" spans="1:84" s="4" customFormat="1" ht="11.25">
      <c r="A93" s="70" t="s">
        <v>99</v>
      </c>
      <c r="B93" s="88">
        <v>17000000</v>
      </c>
      <c r="C93" s="65"/>
      <c r="D93" s="88"/>
      <c r="E93" s="88"/>
      <c r="F93" s="88"/>
      <c r="G93" s="88"/>
      <c r="H93" s="88"/>
      <c r="I93" s="88"/>
      <c r="J93" s="88"/>
      <c r="K93" s="88"/>
      <c r="L93" s="88"/>
      <c r="M93" s="88"/>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5"/>
      <c r="BX93" s="65"/>
      <c r="BY93" s="65"/>
      <c r="BZ93" s="65"/>
      <c r="CA93" s="65"/>
      <c r="CB93" s="65"/>
      <c r="CC93" s="65"/>
      <c r="CD93" s="65"/>
      <c r="CE93" s="65"/>
      <c r="CF93" s="65"/>
    </row>
    <row r="94" spans="1:84" s="65" customFormat="1" ht="11.25">
      <c r="A94" s="74"/>
    </row>
    <row r="95" spans="1:84" s="4" customFormat="1" ht="11.25">
      <c r="A95" s="70" t="s">
        <v>102</v>
      </c>
      <c r="B95" s="88">
        <v>19000000</v>
      </c>
      <c r="C95" s="65"/>
      <c r="D95" s="88"/>
      <c r="E95" s="88"/>
      <c r="F95" s="88"/>
      <c r="G95" s="88"/>
      <c r="H95" s="88"/>
      <c r="I95" s="88"/>
      <c r="J95" s="88"/>
      <c r="K95" s="88"/>
      <c r="L95" s="88"/>
      <c r="M95" s="88"/>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5"/>
      <c r="BX95" s="65"/>
      <c r="BY95" s="65"/>
      <c r="BZ95" s="65"/>
      <c r="CA95" s="65"/>
      <c r="CB95" s="65"/>
      <c r="CC95" s="65"/>
      <c r="CD95" s="65"/>
      <c r="CE95" s="65"/>
      <c r="CF95" s="65"/>
    </row>
    <row r="96" spans="1:84" s="4" customFormat="1" ht="11.25">
      <c r="A96" s="70" t="s">
        <v>65</v>
      </c>
      <c r="B96" s="88">
        <v>310000</v>
      </c>
      <c r="C96" s="65"/>
      <c r="D96" s="88"/>
      <c r="E96" s="88"/>
      <c r="F96" s="88"/>
      <c r="G96" s="88"/>
      <c r="H96" s="88"/>
      <c r="I96" s="88"/>
      <c r="J96" s="88"/>
      <c r="K96" s="88"/>
      <c r="L96" s="88"/>
      <c r="M96" s="88"/>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5"/>
      <c r="BS96" s="65"/>
      <c r="BT96" s="65"/>
      <c r="BU96" s="65"/>
      <c r="BV96" s="65"/>
      <c r="BW96" s="65"/>
      <c r="BX96" s="65"/>
      <c r="BY96" s="65"/>
      <c r="BZ96" s="65"/>
      <c r="CA96" s="65"/>
      <c r="CB96" s="65"/>
      <c r="CC96" s="65"/>
      <c r="CD96" s="65"/>
      <c r="CE96" s="65"/>
      <c r="CF96" s="65"/>
    </row>
    <row r="97" spans="1:84" s="4" customFormat="1" ht="11.25">
      <c r="A97" s="70" t="s">
        <v>100</v>
      </c>
      <c r="B97" s="88">
        <v>342000000</v>
      </c>
      <c r="C97" s="65"/>
      <c r="D97" s="88"/>
      <c r="E97" s="88"/>
      <c r="F97" s="88"/>
      <c r="G97" s="88"/>
      <c r="H97" s="88"/>
      <c r="I97" s="88"/>
      <c r="J97" s="88"/>
      <c r="K97" s="88"/>
      <c r="L97" s="88"/>
      <c r="M97" s="88"/>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c r="CF97" s="65"/>
    </row>
    <row r="98" spans="1:84" s="65" customFormat="1" ht="11.25">
      <c r="A98" s="70"/>
    </row>
    <row r="99" spans="1:84" s="4" customFormat="1" ht="11.25">
      <c r="A99" s="70" t="s">
        <v>91</v>
      </c>
      <c r="B99" s="88">
        <v>6000000</v>
      </c>
      <c r="C99" s="65"/>
      <c r="D99" s="88"/>
      <c r="E99" s="88"/>
      <c r="F99" s="88"/>
      <c r="G99" s="88"/>
      <c r="H99" s="88"/>
      <c r="I99" s="88"/>
      <c r="J99" s="88"/>
      <c r="K99" s="88"/>
      <c r="L99" s="88"/>
      <c r="M99" s="88"/>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row>
    <row r="100" spans="1:84" s="4" customFormat="1" ht="11.25">
      <c r="A100" s="70" t="s">
        <v>47</v>
      </c>
      <c r="B100" s="88">
        <v>2000000</v>
      </c>
      <c r="C100" s="65"/>
      <c r="D100" s="88"/>
      <c r="E100" s="88"/>
      <c r="F100" s="88"/>
      <c r="G100" s="88"/>
      <c r="H100" s="88"/>
      <c r="I100" s="88"/>
      <c r="J100" s="88"/>
      <c r="K100" s="88"/>
      <c r="L100" s="88"/>
      <c r="M100" s="88"/>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row>
    <row r="101" spans="1:84" s="4" customFormat="1" ht="11.25">
      <c r="A101" s="70" t="s">
        <v>48</v>
      </c>
      <c r="B101" s="88">
        <v>71000000</v>
      </c>
      <c r="C101" s="65"/>
      <c r="D101" s="88"/>
      <c r="E101" s="88"/>
      <c r="F101" s="88"/>
      <c r="G101" s="88"/>
      <c r="H101" s="88"/>
      <c r="I101" s="88"/>
      <c r="J101" s="88"/>
      <c r="K101" s="88"/>
      <c r="L101" s="88"/>
      <c r="M101" s="88"/>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5"/>
      <c r="BX101" s="65"/>
      <c r="BY101" s="65"/>
      <c r="BZ101" s="65"/>
      <c r="CA101" s="65"/>
      <c r="CB101" s="65"/>
      <c r="CC101" s="65"/>
      <c r="CD101" s="65"/>
      <c r="CE101" s="65"/>
      <c r="CF101" s="65"/>
    </row>
    <row r="102" spans="1:84" s="4" customFormat="1" ht="11.25">
      <c r="A102" s="70" t="s">
        <v>101</v>
      </c>
      <c r="B102" s="88">
        <v>115000000</v>
      </c>
      <c r="C102" s="65"/>
      <c r="D102" s="88"/>
      <c r="E102" s="88"/>
      <c r="F102" s="88"/>
      <c r="G102" s="88"/>
      <c r="H102" s="88"/>
      <c r="I102" s="88"/>
      <c r="J102" s="88"/>
      <c r="K102" s="88"/>
      <c r="L102" s="88"/>
      <c r="M102" s="88"/>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row>
    <row r="103" spans="1:84" s="65" customFormat="1" ht="11.25">
      <c r="A103" s="70"/>
    </row>
    <row r="104" spans="1:84" s="65" customFormat="1" ht="11.25">
      <c r="A104" s="70" t="s">
        <v>96</v>
      </c>
      <c r="B104" s="81">
        <f>B97-B102</f>
        <v>227000000</v>
      </c>
      <c r="C104" s="81"/>
      <c r="D104" s="81">
        <f t="shared" ref="D104:M104" si="30">D97-D102</f>
        <v>0</v>
      </c>
      <c r="E104" s="81">
        <f t="shared" si="30"/>
        <v>0</v>
      </c>
      <c r="F104" s="81">
        <f t="shared" si="30"/>
        <v>0</v>
      </c>
      <c r="G104" s="81">
        <f t="shared" si="30"/>
        <v>0</v>
      </c>
      <c r="H104" s="81">
        <f t="shared" si="30"/>
        <v>0</v>
      </c>
      <c r="I104" s="81">
        <f t="shared" si="30"/>
        <v>0</v>
      </c>
      <c r="J104" s="81">
        <f t="shared" si="30"/>
        <v>0</v>
      </c>
      <c r="K104" s="81">
        <f t="shared" si="30"/>
        <v>0</v>
      </c>
      <c r="L104" s="81">
        <f t="shared" si="30"/>
        <v>0</v>
      </c>
      <c r="M104" s="81">
        <f t="shared" si="30"/>
        <v>0</v>
      </c>
    </row>
    <row r="105" spans="1:84" s="4" customFormat="1" ht="11.25">
      <c r="A105" s="70" t="s">
        <v>116</v>
      </c>
      <c r="B105" s="88">
        <v>150000000</v>
      </c>
      <c r="C105" s="65"/>
      <c r="D105" s="88"/>
      <c r="E105" s="88"/>
      <c r="F105" s="88"/>
      <c r="G105" s="88"/>
      <c r="H105" s="88"/>
      <c r="I105" s="88"/>
      <c r="J105" s="88"/>
      <c r="K105" s="88"/>
      <c r="L105" s="88"/>
      <c r="M105" s="88"/>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5"/>
      <c r="BX105" s="65"/>
      <c r="BY105" s="65"/>
      <c r="BZ105" s="65"/>
      <c r="CA105" s="65"/>
      <c r="CB105" s="65"/>
      <c r="CC105" s="65"/>
      <c r="CD105" s="65"/>
      <c r="CE105" s="65"/>
      <c r="CF105" s="65"/>
    </row>
    <row r="106" spans="1:84" s="65" customFormat="1" ht="11.25">
      <c r="A106" s="70"/>
    </row>
    <row r="107" spans="1:84" s="65" customFormat="1" ht="12" thickBot="1">
      <c r="A107" s="70"/>
    </row>
    <row r="108" spans="1:84" s="76" customFormat="1" ht="12.75">
      <c r="A108" s="72" t="s">
        <v>51</v>
      </c>
      <c r="B108" s="83" t="s">
        <v>9</v>
      </c>
      <c r="D108" s="76">
        <v>2000</v>
      </c>
      <c r="E108" s="76">
        <v>2001</v>
      </c>
      <c r="F108" s="76">
        <v>2002</v>
      </c>
      <c r="G108" s="76">
        <v>2003</v>
      </c>
      <c r="H108" s="76">
        <v>2004</v>
      </c>
      <c r="I108" s="76">
        <v>2005</v>
      </c>
      <c r="J108" s="76">
        <v>2006</v>
      </c>
      <c r="K108" s="76">
        <v>2007</v>
      </c>
      <c r="L108" s="76">
        <v>2008</v>
      </c>
      <c r="M108" s="76">
        <v>2009</v>
      </c>
    </row>
    <row r="109" spans="1:84" s="65" customFormat="1" ht="11.25">
      <c r="A109" s="70"/>
    </row>
    <row r="110" spans="1:84" s="4" customFormat="1" ht="11.25">
      <c r="A110" s="70" t="s">
        <v>52</v>
      </c>
      <c r="B110" s="88"/>
      <c r="C110" s="65"/>
      <c r="D110" s="88"/>
      <c r="E110" s="88"/>
      <c r="F110" s="88"/>
      <c r="G110" s="88"/>
      <c r="H110" s="88"/>
      <c r="I110" s="88"/>
      <c r="J110" s="88"/>
      <c r="K110" s="88"/>
      <c r="L110" s="88"/>
      <c r="M110" s="88"/>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5"/>
      <c r="BR110" s="65"/>
      <c r="BS110" s="65"/>
      <c r="BT110" s="65"/>
      <c r="BU110" s="65"/>
      <c r="BV110" s="65"/>
      <c r="BW110" s="65"/>
      <c r="BX110" s="65"/>
      <c r="BY110" s="65"/>
      <c r="BZ110" s="65"/>
      <c r="CA110" s="65"/>
      <c r="CB110" s="65"/>
      <c r="CC110" s="65"/>
      <c r="CD110" s="65"/>
      <c r="CE110" s="65"/>
      <c r="CF110" s="65"/>
    </row>
    <row r="111" spans="1:84" s="4" customFormat="1" ht="11.25">
      <c r="A111" s="70" t="s">
        <v>53</v>
      </c>
      <c r="B111" s="88"/>
      <c r="C111" s="65"/>
      <c r="D111" s="88"/>
      <c r="E111" s="88"/>
      <c r="F111" s="88"/>
      <c r="G111" s="88"/>
      <c r="H111" s="88"/>
      <c r="I111" s="88"/>
      <c r="J111" s="88"/>
      <c r="K111" s="88"/>
      <c r="L111" s="88"/>
      <c r="M111" s="88"/>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5"/>
      <c r="BR111" s="65"/>
      <c r="BS111" s="65"/>
      <c r="BT111" s="65"/>
      <c r="BU111" s="65"/>
      <c r="BV111" s="65"/>
      <c r="BW111" s="65"/>
      <c r="BX111" s="65"/>
      <c r="BY111" s="65"/>
      <c r="BZ111" s="65"/>
      <c r="CA111" s="65"/>
      <c r="CB111" s="65"/>
      <c r="CC111" s="65"/>
      <c r="CD111" s="65"/>
      <c r="CE111" s="65"/>
      <c r="CF111" s="65"/>
    </row>
    <row r="112" spans="1:84" s="4" customFormat="1" ht="11.25">
      <c r="A112" s="70" t="s">
        <v>54</v>
      </c>
      <c r="B112" s="88"/>
      <c r="C112" s="65"/>
      <c r="D112" s="88"/>
      <c r="E112" s="88"/>
      <c r="F112" s="88"/>
      <c r="G112" s="88"/>
      <c r="H112" s="88"/>
      <c r="I112" s="88"/>
      <c r="J112" s="88"/>
      <c r="K112" s="88"/>
      <c r="L112" s="88"/>
      <c r="M112" s="88"/>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5"/>
      <c r="BR112" s="65"/>
      <c r="BS112" s="65"/>
      <c r="BT112" s="65"/>
      <c r="BU112" s="65"/>
      <c r="BV112" s="65"/>
      <c r="BW112" s="65"/>
      <c r="BX112" s="65"/>
      <c r="BY112" s="65"/>
      <c r="BZ112" s="65"/>
      <c r="CA112" s="65"/>
      <c r="CB112" s="65"/>
      <c r="CC112" s="65"/>
      <c r="CD112" s="65"/>
      <c r="CE112" s="65"/>
      <c r="CF112" s="65"/>
    </row>
    <row r="113" spans="1:84" s="4" customFormat="1" ht="11.25">
      <c r="A113" s="70" t="s">
        <v>55</v>
      </c>
      <c r="B113" s="88"/>
      <c r="C113" s="65"/>
      <c r="D113" s="88"/>
      <c r="E113" s="88"/>
      <c r="F113" s="88"/>
      <c r="G113" s="88"/>
      <c r="H113" s="88"/>
      <c r="I113" s="88"/>
      <c r="J113" s="88"/>
      <c r="K113" s="88"/>
      <c r="L113" s="88"/>
      <c r="M113" s="88"/>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5"/>
      <c r="BR113" s="65"/>
      <c r="BS113" s="65"/>
      <c r="BT113" s="65"/>
      <c r="BU113" s="65"/>
      <c r="BV113" s="65"/>
      <c r="BW113" s="65"/>
      <c r="BX113" s="65"/>
      <c r="BY113" s="65"/>
      <c r="BZ113" s="65"/>
      <c r="CA113" s="65"/>
      <c r="CB113" s="65"/>
      <c r="CC113" s="65"/>
      <c r="CD113" s="65"/>
      <c r="CE113" s="65"/>
      <c r="CF113" s="65"/>
    </row>
    <row r="114" spans="1:84" s="65" customFormat="1" ht="11.25">
      <c r="A114" s="70"/>
    </row>
    <row r="115" spans="1:84" s="4" customFormat="1" ht="11.25">
      <c r="A115" s="70" t="s">
        <v>134</v>
      </c>
      <c r="B115" s="88">
        <v>0</v>
      </c>
      <c r="C115" s="65"/>
      <c r="D115" s="88"/>
      <c r="E115" s="88"/>
      <c r="F115" s="88"/>
      <c r="G115" s="88"/>
      <c r="H115" s="88"/>
      <c r="I115" s="88"/>
      <c r="J115" s="88"/>
      <c r="K115" s="88"/>
      <c r="L115" s="88"/>
      <c r="M115" s="88"/>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5"/>
      <c r="BX115" s="65"/>
      <c r="BY115" s="65"/>
      <c r="BZ115" s="65"/>
      <c r="CA115" s="65"/>
      <c r="CB115" s="65"/>
      <c r="CC115" s="65"/>
      <c r="CD115" s="65"/>
      <c r="CE115" s="65"/>
      <c r="CF115" s="65"/>
    </row>
    <row r="116" spans="1:84" s="4" customFormat="1" ht="11.25">
      <c r="A116" s="70" t="s">
        <v>95</v>
      </c>
      <c r="B116" s="88">
        <v>80000000</v>
      </c>
      <c r="C116" s="65"/>
      <c r="D116" s="88">
        <v>75000000</v>
      </c>
      <c r="E116" s="88">
        <v>77000000</v>
      </c>
      <c r="F116" s="88">
        <v>78000000</v>
      </c>
      <c r="G116" s="88">
        <v>78500000</v>
      </c>
      <c r="H116" s="88">
        <v>78800000</v>
      </c>
      <c r="I116" s="88">
        <v>80000000</v>
      </c>
      <c r="J116" s="88">
        <v>80500000</v>
      </c>
      <c r="K116" s="88">
        <v>80700000</v>
      </c>
      <c r="L116" s="88">
        <v>81000000</v>
      </c>
      <c r="M116" s="88">
        <v>81300000</v>
      </c>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5"/>
      <c r="BR116" s="65"/>
      <c r="BS116" s="65"/>
      <c r="BT116" s="65"/>
      <c r="BU116" s="65"/>
      <c r="BV116" s="65"/>
      <c r="BW116" s="65"/>
      <c r="BX116" s="65"/>
      <c r="BY116" s="65"/>
      <c r="BZ116" s="65"/>
      <c r="CA116" s="65"/>
      <c r="CB116" s="65"/>
      <c r="CC116" s="65"/>
      <c r="CD116" s="65"/>
      <c r="CE116" s="65"/>
      <c r="CF116" s="65"/>
    </row>
    <row r="117" spans="1:84" s="65" customFormat="1" ht="11.25">
      <c r="A117" s="70"/>
    </row>
    <row r="118" spans="1:84" s="65" customFormat="1" ht="12" thickBot="1">
      <c r="A118" s="70"/>
    </row>
    <row r="119" spans="1:84" s="76" customFormat="1" ht="12.75">
      <c r="A119" s="72" t="s">
        <v>50</v>
      </c>
      <c r="B119" s="83" t="s">
        <v>45</v>
      </c>
      <c r="D119" s="76">
        <v>2000</v>
      </c>
      <c r="E119" s="76">
        <v>2001</v>
      </c>
      <c r="F119" s="76">
        <v>2002</v>
      </c>
      <c r="G119" s="76">
        <v>2003</v>
      </c>
      <c r="H119" s="76">
        <v>2004</v>
      </c>
      <c r="I119" s="76">
        <v>2005</v>
      </c>
      <c r="J119" s="76">
        <v>2006</v>
      </c>
      <c r="K119" s="76">
        <v>2007</v>
      </c>
      <c r="L119" s="76">
        <v>2008</v>
      </c>
      <c r="M119" s="76">
        <v>2009</v>
      </c>
    </row>
    <row r="120" spans="1:84" s="65" customFormat="1" ht="11.25">
      <c r="A120" s="70" t="s">
        <v>56</v>
      </c>
    </row>
    <row r="121" spans="1:84" s="65" customFormat="1" ht="11.25">
      <c r="A121" s="70"/>
    </row>
    <row r="122" spans="1:84" s="65" customFormat="1" ht="11.25">
      <c r="A122" s="74" t="s">
        <v>60</v>
      </c>
    </row>
    <row r="123" spans="1:84" s="4" customFormat="1" ht="11.25">
      <c r="A123" s="70" t="s">
        <v>57</v>
      </c>
      <c r="B123" s="88">
        <v>3600000</v>
      </c>
      <c r="C123" s="65"/>
      <c r="D123" s="88">
        <v>3000000</v>
      </c>
      <c r="E123" s="88">
        <v>3077000</v>
      </c>
      <c r="F123" s="88">
        <v>3180000</v>
      </c>
      <c r="G123" s="88">
        <v>3251000</v>
      </c>
      <c r="H123" s="88">
        <v>3271000</v>
      </c>
      <c r="I123" s="88">
        <v>3384000</v>
      </c>
      <c r="J123" s="88">
        <v>3347000</v>
      </c>
      <c r="K123" s="88">
        <v>3434000</v>
      </c>
      <c r="L123" s="88">
        <v>3629000</v>
      </c>
      <c r="M123" s="88">
        <v>3610000</v>
      </c>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5"/>
      <c r="CA123" s="65"/>
      <c r="CB123" s="65"/>
      <c r="CC123" s="65"/>
      <c r="CD123" s="65"/>
      <c r="CE123" s="65"/>
      <c r="CF123" s="65"/>
    </row>
    <row r="124" spans="1:84" s="4" customFormat="1" ht="11.25">
      <c r="A124" s="70" t="s">
        <v>58</v>
      </c>
      <c r="B124" s="88">
        <v>3400000</v>
      </c>
      <c r="C124" s="65"/>
      <c r="D124" s="88">
        <v>2800000</v>
      </c>
      <c r="E124" s="88">
        <v>2902000</v>
      </c>
      <c r="F124" s="88">
        <v>2912000</v>
      </c>
      <c r="G124" s="88">
        <v>2761000</v>
      </c>
      <c r="H124" s="88">
        <v>2538000</v>
      </c>
      <c r="I124" s="88">
        <v>2470000</v>
      </c>
      <c r="J124" s="88">
        <v>3222000</v>
      </c>
      <c r="K124" s="88">
        <v>3374000</v>
      </c>
      <c r="L124" s="88">
        <v>3587000</v>
      </c>
      <c r="M124" s="88">
        <v>3641000</v>
      </c>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5"/>
      <c r="BS124" s="65"/>
      <c r="BT124" s="65"/>
      <c r="BU124" s="65"/>
      <c r="BV124" s="65"/>
      <c r="BW124" s="65"/>
      <c r="BX124" s="65"/>
      <c r="BY124" s="65"/>
      <c r="BZ124" s="65"/>
      <c r="CA124" s="65"/>
      <c r="CB124" s="65"/>
      <c r="CC124" s="65"/>
      <c r="CD124" s="65"/>
      <c r="CE124" s="65"/>
      <c r="CF124" s="65"/>
    </row>
    <row r="125" spans="1:84" s="65" customFormat="1" ht="11.25">
      <c r="A125" s="70" t="s">
        <v>59</v>
      </c>
      <c r="B125" s="81">
        <f>B123-B124</f>
        <v>200000</v>
      </c>
      <c r="C125" s="81"/>
      <c r="D125" s="81">
        <f t="shared" ref="D125:M125" si="31">D123-D124</f>
        <v>200000</v>
      </c>
      <c r="E125" s="81">
        <f t="shared" si="31"/>
        <v>175000</v>
      </c>
      <c r="F125" s="81">
        <f t="shared" si="31"/>
        <v>268000</v>
      </c>
      <c r="G125" s="81">
        <f t="shared" si="31"/>
        <v>490000</v>
      </c>
      <c r="H125" s="81">
        <f t="shared" si="31"/>
        <v>733000</v>
      </c>
      <c r="I125" s="81">
        <f t="shared" si="31"/>
        <v>914000</v>
      </c>
      <c r="J125" s="81">
        <f t="shared" si="31"/>
        <v>125000</v>
      </c>
      <c r="K125" s="81">
        <f t="shared" si="31"/>
        <v>60000</v>
      </c>
      <c r="L125" s="81">
        <f t="shared" si="31"/>
        <v>42000</v>
      </c>
      <c r="M125" s="81">
        <f t="shared" si="31"/>
        <v>-31000</v>
      </c>
    </row>
    <row r="126" spans="1:84" s="65" customFormat="1" ht="11.25">
      <c r="A126" s="70"/>
    </row>
    <row r="127" spans="1:84" s="4" customFormat="1" ht="11.25">
      <c r="A127" s="70" t="s">
        <v>202</v>
      </c>
      <c r="B127" s="88"/>
      <c r="C127" s="65"/>
      <c r="D127" s="88"/>
      <c r="E127" s="88"/>
      <c r="F127" s="88"/>
      <c r="G127" s="88"/>
      <c r="H127" s="88"/>
      <c r="I127" s="88"/>
      <c r="J127" s="88"/>
      <c r="K127" s="88"/>
      <c r="L127" s="88"/>
      <c r="M127" s="88"/>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5"/>
      <c r="BX127" s="65"/>
      <c r="BY127" s="65"/>
      <c r="BZ127" s="65"/>
      <c r="CA127" s="65"/>
      <c r="CB127" s="65"/>
      <c r="CC127" s="65"/>
      <c r="CD127" s="65"/>
      <c r="CE127" s="65"/>
      <c r="CF127" s="65"/>
    </row>
    <row r="128" spans="1:84" s="4" customFormat="1" ht="11.25">
      <c r="A128" s="70" t="s">
        <v>61</v>
      </c>
      <c r="B128" s="88"/>
      <c r="C128" s="65"/>
      <c r="D128" s="88"/>
      <c r="E128" s="88"/>
      <c r="F128" s="88"/>
      <c r="G128" s="88"/>
      <c r="H128" s="88"/>
      <c r="I128" s="88"/>
      <c r="J128" s="88"/>
      <c r="K128" s="88"/>
      <c r="L128" s="88"/>
      <c r="M128" s="88"/>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c r="CD128" s="65"/>
      <c r="CE128" s="65"/>
      <c r="CF128" s="65"/>
    </row>
    <row r="129" spans="1:84" s="65" customFormat="1" ht="11.25">
      <c r="A129" s="70" t="s">
        <v>63</v>
      </c>
      <c r="B129" s="82">
        <f>IF(B127=0,0,B128/B127)</f>
        <v>0</v>
      </c>
      <c r="C129" s="82"/>
      <c r="D129" s="82">
        <f t="shared" ref="D129:M129" si="32">IF(D127=0,0,D128/D127)</f>
        <v>0</v>
      </c>
      <c r="E129" s="82">
        <f t="shared" si="32"/>
        <v>0</v>
      </c>
      <c r="F129" s="82">
        <f t="shared" si="32"/>
        <v>0</v>
      </c>
      <c r="G129" s="82">
        <f t="shared" si="32"/>
        <v>0</v>
      </c>
      <c r="H129" s="82">
        <f t="shared" si="32"/>
        <v>0</v>
      </c>
      <c r="I129" s="82">
        <f t="shared" si="32"/>
        <v>0</v>
      </c>
      <c r="J129" s="82">
        <f t="shared" si="32"/>
        <v>0</v>
      </c>
      <c r="K129" s="82">
        <f t="shared" si="32"/>
        <v>0</v>
      </c>
      <c r="L129" s="82">
        <f t="shared" si="32"/>
        <v>0</v>
      </c>
      <c r="M129" s="82">
        <f t="shared" si="32"/>
        <v>0</v>
      </c>
    </row>
    <row r="130" spans="1:84" s="65" customFormat="1" ht="11.25">
      <c r="A130" s="70"/>
    </row>
    <row r="131" spans="1:84" s="65" customFormat="1" ht="11.25">
      <c r="A131" s="74" t="s">
        <v>64</v>
      </c>
    </row>
    <row r="132" spans="1:84" s="4" customFormat="1" ht="11.25">
      <c r="A132" s="70" t="s">
        <v>57</v>
      </c>
      <c r="B132" s="88">
        <v>4900000</v>
      </c>
      <c r="C132" s="65"/>
      <c r="D132" s="88">
        <v>4500000</v>
      </c>
      <c r="E132" s="88">
        <v>4532000</v>
      </c>
      <c r="F132" s="88">
        <v>4638000</v>
      </c>
      <c r="G132" s="88">
        <v>4793000</v>
      </c>
      <c r="H132" s="88">
        <v>4800000</v>
      </c>
      <c r="I132" s="88">
        <v>4750000</v>
      </c>
      <c r="J132" s="88">
        <v>4820000</v>
      </c>
      <c r="K132" s="88">
        <v>4824000</v>
      </c>
      <c r="L132" s="88">
        <v>4897000</v>
      </c>
      <c r="M132" s="88">
        <v>4950000</v>
      </c>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c r="BE132" s="65"/>
      <c r="BF132" s="65"/>
      <c r="BG132" s="65"/>
      <c r="BH132" s="65"/>
      <c r="BI132" s="65"/>
      <c r="BJ132" s="65"/>
      <c r="BK132" s="65"/>
      <c r="BL132" s="65"/>
      <c r="BM132" s="65"/>
      <c r="BN132" s="65"/>
      <c r="BO132" s="65"/>
      <c r="BP132" s="65"/>
      <c r="BQ132" s="65"/>
      <c r="BR132" s="65"/>
      <c r="BS132" s="65"/>
      <c r="BT132" s="65"/>
      <c r="BU132" s="65"/>
      <c r="BV132" s="65"/>
      <c r="BW132" s="65"/>
      <c r="BX132" s="65"/>
      <c r="BY132" s="65"/>
      <c r="BZ132" s="65"/>
      <c r="CA132" s="65"/>
      <c r="CB132" s="65"/>
      <c r="CC132" s="65"/>
      <c r="CD132" s="65"/>
      <c r="CE132" s="65"/>
      <c r="CF132" s="65"/>
    </row>
    <row r="133" spans="1:84" s="4" customFormat="1" ht="11.25">
      <c r="A133" s="70" t="s">
        <v>58</v>
      </c>
      <c r="B133" s="88">
        <v>0</v>
      </c>
      <c r="C133" s="65"/>
      <c r="D133" s="88">
        <v>0</v>
      </c>
      <c r="E133" s="88">
        <v>0</v>
      </c>
      <c r="F133" s="88">
        <v>0</v>
      </c>
      <c r="G133" s="88">
        <v>0</v>
      </c>
      <c r="H133" s="88">
        <v>0</v>
      </c>
      <c r="I133" s="88">
        <v>0</v>
      </c>
      <c r="J133" s="88">
        <v>0</v>
      </c>
      <c r="K133" s="88">
        <v>0</v>
      </c>
      <c r="L133" s="88">
        <v>0</v>
      </c>
      <c r="M133" s="88">
        <v>0</v>
      </c>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5"/>
      <c r="BX133" s="65"/>
      <c r="BY133" s="65"/>
      <c r="BZ133" s="65"/>
      <c r="CA133" s="65"/>
      <c r="CB133" s="65"/>
      <c r="CC133" s="65"/>
      <c r="CD133" s="65"/>
      <c r="CE133" s="65"/>
      <c r="CF133" s="65"/>
    </row>
    <row r="134" spans="1:84" s="65" customFormat="1" ht="11.25">
      <c r="A134" s="70" t="s">
        <v>59</v>
      </c>
      <c r="B134" s="81">
        <f>B132-B133</f>
        <v>4900000</v>
      </c>
      <c r="C134" s="81"/>
      <c r="D134" s="81">
        <f t="shared" ref="D134:M134" si="33">D132-D133</f>
        <v>4500000</v>
      </c>
      <c r="E134" s="81">
        <f t="shared" si="33"/>
        <v>4532000</v>
      </c>
      <c r="F134" s="81">
        <f t="shared" si="33"/>
        <v>4638000</v>
      </c>
      <c r="G134" s="81">
        <f t="shared" si="33"/>
        <v>4793000</v>
      </c>
      <c r="H134" s="81">
        <f t="shared" si="33"/>
        <v>4800000</v>
      </c>
      <c r="I134" s="81">
        <f t="shared" si="33"/>
        <v>4750000</v>
      </c>
      <c r="J134" s="81">
        <f t="shared" si="33"/>
        <v>4820000</v>
      </c>
      <c r="K134" s="81">
        <f t="shared" si="33"/>
        <v>4824000</v>
      </c>
      <c r="L134" s="81">
        <f t="shared" si="33"/>
        <v>4897000</v>
      </c>
      <c r="M134" s="81">
        <f t="shared" si="33"/>
        <v>4950000</v>
      </c>
    </row>
    <row r="135" spans="1:84" s="65" customFormat="1" ht="11.25">
      <c r="A135" s="70"/>
    </row>
    <row r="136" spans="1:84" s="4" customFormat="1" ht="11.25">
      <c r="A136" s="70" t="s">
        <v>62</v>
      </c>
      <c r="B136" s="88"/>
      <c r="C136" s="65"/>
      <c r="D136" s="88"/>
      <c r="E136" s="88"/>
      <c r="F136" s="88"/>
      <c r="G136" s="88"/>
      <c r="H136" s="88"/>
      <c r="I136" s="88"/>
      <c r="J136" s="88"/>
      <c r="K136" s="88"/>
      <c r="L136" s="88"/>
      <c r="M136" s="88"/>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5"/>
      <c r="BX136" s="65"/>
      <c r="BY136" s="65"/>
      <c r="BZ136" s="65"/>
      <c r="CA136" s="65"/>
      <c r="CB136" s="65"/>
      <c r="CC136" s="65"/>
      <c r="CD136" s="65"/>
      <c r="CE136" s="65"/>
      <c r="CF136" s="65"/>
    </row>
    <row r="137" spans="1:84" s="4" customFormat="1" ht="11.25">
      <c r="A137" s="70" t="s">
        <v>143</v>
      </c>
      <c r="B137" s="88"/>
      <c r="C137" s="65"/>
      <c r="D137" s="88"/>
      <c r="E137" s="88"/>
      <c r="F137" s="88"/>
      <c r="G137" s="88"/>
      <c r="H137" s="88"/>
      <c r="I137" s="88"/>
      <c r="J137" s="88"/>
      <c r="K137" s="88"/>
      <c r="L137" s="88"/>
      <c r="M137" s="88"/>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c r="BE137" s="65"/>
      <c r="BF137" s="65"/>
      <c r="BG137" s="65"/>
      <c r="BH137" s="65"/>
      <c r="BI137" s="65"/>
      <c r="BJ137" s="65"/>
      <c r="BK137" s="65"/>
      <c r="BL137" s="65"/>
      <c r="BM137" s="65"/>
      <c r="BN137" s="65"/>
      <c r="BO137" s="65"/>
      <c r="BP137" s="65"/>
      <c r="BQ137" s="65"/>
      <c r="BR137" s="65"/>
      <c r="BS137" s="65"/>
      <c r="BT137" s="65"/>
      <c r="BU137" s="65"/>
      <c r="BV137" s="65"/>
      <c r="BW137" s="65"/>
      <c r="BX137" s="65"/>
      <c r="BY137" s="65"/>
      <c r="BZ137" s="65"/>
      <c r="CA137" s="65"/>
      <c r="CB137" s="65"/>
      <c r="CC137" s="65"/>
      <c r="CD137" s="65"/>
      <c r="CE137" s="65"/>
      <c r="CF137" s="65"/>
    </row>
    <row r="138" spans="1:84" s="65" customFormat="1" ht="11.25">
      <c r="A138" s="70" t="s">
        <v>63</v>
      </c>
      <c r="B138" s="82">
        <f>IF(B136=0,0,B137/B136)</f>
        <v>0</v>
      </c>
      <c r="C138" s="82"/>
      <c r="D138" s="82">
        <f t="shared" ref="D138:M138" si="34">IF(D136=0,0,D137/D136)</f>
        <v>0</v>
      </c>
      <c r="E138" s="82">
        <f t="shared" si="34"/>
        <v>0</v>
      </c>
      <c r="F138" s="82">
        <f t="shared" si="34"/>
        <v>0</v>
      </c>
      <c r="G138" s="82">
        <f t="shared" si="34"/>
        <v>0</v>
      </c>
      <c r="H138" s="82">
        <f t="shared" si="34"/>
        <v>0</v>
      </c>
      <c r="I138" s="82">
        <f t="shared" si="34"/>
        <v>0</v>
      </c>
      <c r="J138" s="82">
        <f t="shared" si="34"/>
        <v>0</v>
      </c>
      <c r="K138" s="82">
        <f t="shared" si="34"/>
        <v>0</v>
      </c>
      <c r="L138" s="82">
        <f t="shared" si="34"/>
        <v>0</v>
      </c>
      <c r="M138" s="82">
        <f t="shared" si="34"/>
        <v>0</v>
      </c>
    </row>
    <row r="139" spans="1:84" s="65" customFormat="1" ht="11.25">
      <c r="A139" s="70"/>
    </row>
    <row r="140" spans="1:84" s="65" customFormat="1" ht="11.25">
      <c r="A140" s="70"/>
    </row>
    <row r="141" spans="1:84" s="65" customFormat="1" ht="11.25">
      <c r="A141" s="70"/>
    </row>
    <row r="142" spans="1:84" s="65" customFormat="1" ht="11.25">
      <c r="A142" s="70"/>
    </row>
    <row r="143" spans="1:84" s="65" customFormat="1" ht="11.25">
      <c r="A143" s="70"/>
    </row>
    <row r="144" spans="1:84" s="65" customFormat="1" ht="11.25">
      <c r="A144" s="70"/>
    </row>
    <row r="145" spans="1:1" s="65" customFormat="1" ht="11.25">
      <c r="A145" s="70"/>
    </row>
    <row r="146" spans="1:1" s="65" customFormat="1" ht="11.25">
      <c r="A146" s="70"/>
    </row>
    <row r="147" spans="1:1" s="65" customFormat="1" ht="11.25">
      <c r="A147" s="70"/>
    </row>
    <row r="148" spans="1:1" s="65" customFormat="1" ht="11.25">
      <c r="A148" s="70"/>
    </row>
    <row r="149" spans="1:1" s="65" customFormat="1" ht="11.25">
      <c r="A149" s="70"/>
    </row>
    <row r="150" spans="1:1" s="65" customFormat="1" ht="11.25">
      <c r="A150" s="70"/>
    </row>
    <row r="151" spans="1:1" s="65" customFormat="1" ht="11.25">
      <c r="A151" s="70"/>
    </row>
    <row r="152" spans="1:1" s="65" customFormat="1" ht="11.25">
      <c r="A152" s="70"/>
    </row>
    <row r="153" spans="1:1" s="65" customFormat="1" ht="11.25">
      <c r="A153" s="70"/>
    </row>
    <row r="154" spans="1:1" s="65" customFormat="1" ht="11.25">
      <c r="A154" s="70"/>
    </row>
    <row r="155" spans="1:1" s="65" customFormat="1" ht="11.25">
      <c r="A155" s="70"/>
    </row>
    <row r="156" spans="1:1" s="67" customFormat="1">
      <c r="A156" s="75"/>
    </row>
    <row r="157" spans="1:1" s="67" customFormat="1">
      <c r="A157" s="75"/>
    </row>
    <row r="158" spans="1:1" s="67" customFormat="1">
      <c r="A158" s="75"/>
    </row>
    <row r="159" spans="1:1" s="67" customFormat="1">
      <c r="A159" s="75"/>
    </row>
    <row r="160" spans="1:1" s="67" customFormat="1">
      <c r="A160" s="75"/>
    </row>
    <row r="161" spans="1:1" s="67" customFormat="1">
      <c r="A161" s="75"/>
    </row>
    <row r="162" spans="1:1" s="67" customFormat="1">
      <c r="A162" s="75"/>
    </row>
    <row r="163" spans="1:1" s="67" customFormat="1">
      <c r="A163" s="75"/>
    </row>
    <row r="164" spans="1:1" s="67" customFormat="1">
      <c r="A164" s="75"/>
    </row>
    <row r="165" spans="1:1" s="67" customFormat="1">
      <c r="A165" s="75"/>
    </row>
    <row r="166" spans="1:1" s="67" customFormat="1">
      <c r="A166" s="75"/>
    </row>
    <row r="167" spans="1:1" s="67" customFormat="1">
      <c r="A167" s="75"/>
    </row>
    <row r="168" spans="1:1" s="67" customFormat="1">
      <c r="A168" s="75"/>
    </row>
    <row r="169" spans="1:1" s="67" customFormat="1">
      <c r="A169" s="75"/>
    </row>
    <row r="170" spans="1:1" s="67" customFormat="1">
      <c r="A170" s="75"/>
    </row>
    <row r="171" spans="1:1" s="67" customFormat="1">
      <c r="A171" s="75"/>
    </row>
    <row r="172" spans="1:1" s="67" customFormat="1">
      <c r="A172" s="75"/>
    </row>
    <row r="173" spans="1:1" s="67" customFormat="1">
      <c r="A173" s="75"/>
    </row>
    <row r="174" spans="1:1" s="67" customFormat="1">
      <c r="A174" s="75"/>
    </row>
    <row r="175" spans="1:1" s="67" customFormat="1">
      <c r="A175" s="75"/>
    </row>
    <row r="176" spans="1:1" s="67" customFormat="1">
      <c r="A176" s="75"/>
    </row>
    <row r="177" spans="1:1" s="67" customFormat="1">
      <c r="A177" s="75"/>
    </row>
    <row r="178" spans="1:1" s="67" customFormat="1">
      <c r="A178" s="75"/>
    </row>
    <row r="179" spans="1:1" s="67" customFormat="1">
      <c r="A179" s="75"/>
    </row>
    <row r="180" spans="1:1" s="67" customFormat="1">
      <c r="A180" s="75"/>
    </row>
    <row r="181" spans="1:1" s="67" customFormat="1">
      <c r="A181" s="75"/>
    </row>
    <row r="182" spans="1:1" s="67" customFormat="1">
      <c r="A182" s="75"/>
    </row>
    <row r="183" spans="1:1" s="67" customFormat="1">
      <c r="A183" s="75"/>
    </row>
    <row r="184" spans="1:1" s="67" customFormat="1">
      <c r="A184" s="75"/>
    </row>
    <row r="185" spans="1:1" s="67" customFormat="1">
      <c r="A185" s="75"/>
    </row>
    <row r="186" spans="1:1" s="67" customFormat="1">
      <c r="A186" s="75"/>
    </row>
    <row r="187" spans="1:1" s="67" customFormat="1">
      <c r="A187" s="75"/>
    </row>
    <row r="188" spans="1:1" s="67" customFormat="1">
      <c r="A188" s="75"/>
    </row>
    <row r="189" spans="1:1" s="67" customFormat="1">
      <c r="A189" s="75"/>
    </row>
    <row r="190" spans="1:1" s="67" customFormat="1">
      <c r="A190" s="75"/>
    </row>
    <row r="191" spans="1:1" s="67" customFormat="1">
      <c r="A191" s="75"/>
    </row>
    <row r="192" spans="1:1" s="67" customFormat="1">
      <c r="A192" s="75"/>
    </row>
    <row r="193" spans="1:1" s="67" customFormat="1">
      <c r="A193" s="75"/>
    </row>
    <row r="194" spans="1:1" s="67" customFormat="1">
      <c r="A194" s="75"/>
    </row>
    <row r="195" spans="1:1" s="67" customFormat="1">
      <c r="A195" s="75"/>
    </row>
    <row r="196" spans="1:1" s="67" customFormat="1">
      <c r="A196" s="75"/>
    </row>
    <row r="197" spans="1:1" s="67" customFormat="1">
      <c r="A197" s="75"/>
    </row>
    <row r="198" spans="1:1" s="67" customFormat="1">
      <c r="A198" s="75"/>
    </row>
    <row r="199" spans="1:1" s="67" customFormat="1">
      <c r="A199" s="75"/>
    </row>
    <row r="200" spans="1:1" s="67" customFormat="1">
      <c r="A200" s="75"/>
    </row>
    <row r="201" spans="1:1" s="67" customFormat="1">
      <c r="A201" s="75"/>
    </row>
    <row r="202" spans="1:1" s="67" customFormat="1">
      <c r="A202" s="75"/>
    </row>
    <row r="203" spans="1:1" s="67" customFormat="1">
      <c r="A203" s="75"/>
    </row>
    <row r="204" spans="1:1" s="67" customFormat="1">
      <c r="A204" s="75"/>
    </row>
    <row r="205" spans="1:1" s="67" customFormat="1">
      <c r="A205" s="75"/>
    </row>
    <row r="206" spans="1:1" s="67" customFormat="1">
      <c r="A206" s="75"/>
    </row>
    <row r="207" spans="1:1" s="67" customFormat="1">
      <c r="A207" s="75"/>
    </row>
    <row r="208" spans="1:1" s="67" customFormat="1">
      <c r="A208" s="75"/>
    </row>
    <row r="209" spans="1:1" s="67" customFormat="1">
      <c r="A209" s="75"/>
    </row>
    <row r="210" spans="1:1" s="67" customFormat="1">
      <c r="A210" s="75"/>
    </row>
    <row r="211" spans="1:1" s="67" customFormat="1">
      <c r="A211" s="75"/>
    </row>
    <row r="212" spans="1:1" s="67" customFormat="1">
      <c r="A212" s="75"/>
    </row>
    <row r="213" spans="1:1" s="67" customFormat="1">
      <c r="A213" s="75"/>
    </row>
    <row r="214" spans="1:1" s="67" customFormat="1">
      <c r="A214" s="75"/>
    </row>
    <row r="215" spans="1:1" s="67" customFormat="1">
      <c r="A215" s="75"/>
    </row>
    <row r="216" spans="1:1" s="67" customFormat="1">
      <c r="A216" s="75"/>
    </row>
    <row r="217" spans="1:1" s="67" customFormat="1">
      <c r="A217" s="75"/>
    </row>
    <row r="218" spans="1:1" s="67" customFormat="1">
      <c r="A218" s="75"/>
    </row>
    <row r="219" spans="1:1" s="67" customFormat="1">
      <c r="A219" s="75"/>
    </row>
    <row r="220" spans="1:1" s="67" customFormat="1">
      <c r="A220" s="75"/>
    </row>
    <row r="221" spans="1:1" s="67" customFormat="1">
      <c r="A221" s="75"/>
    </row>
    <row r="222" spans="1:1" s="67" customFormat="1">
      <c r="A222" s="75"/>
    </row>
    <row r="223" spans="1:1" s="67" customFormat="1">
      <c r="A223" s="75"/>
    </row>
    <row r="224" spans="1:1" s="67" customFormat="1">
      <c r="A224" s="75"/>
    </row>
    <row r="225" spans="1:1" s="67" customFormat="1">
      <c r="A225" s="75"/>
    </row>
    <row r="226" spans="1:1" s="67" customFormat="1">
      <c r="A226" s="75"/>
    </row>
    <row r="227" spans="1:1" s="67" customFormat="1">
      <c r="A227" s="75"/>
    </row>
    <row r="228" spans="1:1" s="67" customFormat="1">
      <c r="A228" s="75"/>
    </row>
    <row r="229" spans="1:1" s="67" customFormat="1">
      <c r="A229" s="75"/>
    </row>
    <row r="230" spans="1:1" s="67" customFormat="1">
      <c r="A230" s="75"/>
    </row>
    <row r="231" spans="1:1" s="67" customFormat="1">
      <c r="A231" s="75"/>
    </row>
    <row r="232" spans="1:1" s="67" customFormat="1">
      <c r="A232" s="75"/>
    </row>
    <row r="233" spans="1:1" s="67" customFormat="1">
      <c r="A233" s="75"/>
    </row>
    <row r="234" spans="1:1" s="67" customFormat="1">
      <c r="A234" s="75"/>
    </row>
    <row r="235" spans="1:1" s="67" customFormat="1">
      <c r="A235" s="75"/>
    </row>
    <row r="236" spans="1:1" s="67" customFormat="1">
      <c r="A236" s="75"/>
    </row>
    <row r="237" spans="1:1" s="67" customFormat="1">
      <c r="A237" s="75"/>
    </row>
    <row r="238" spans="1:1" s="67" customFormat="1">
      <c r="A238" s="75"/>
    </row>
    <row r="239" spans="1:1" s="67" customFormat="1">
      <c r="A239" s="75"/>
    </row>
    <row r="240" spans="1:1" s="67" customFormat="1">
      <c r="A240" s="75"/>
    </row>
    <row r="241" spans="1:1" s="67" customFormat="1">
      <c r="A241" s="75"/>
    </row>
    <row r="242" spans="1:1" s="67" customFormat="1">
      <c r="A242" s="75"/>
    </row>
    <row r="243" spans="1:1" s="67" customFormat="1">
      <c r="A243" s="75"/>
    </row>
    <row r="244" spans="1:1" s="67" customFormat="1">
      <c r="A244" s="75"/>
    </row>
    <row r="245" spans="1:1" s="67" customFormat="1">
      <c r="A245" s="75"/>
    </row>
    <row r="246" spans="1:1" s="67" customFormat="1">
      <c r="A246" s="75"/>
    </row>
    <row r="247" spans="1:1" s="67" customFormat="1">
      <c r="A247" s="75"/>
    </row>
    <row r="248" spans="1:1" s="67" customFormat="1">
      <c r="A248" s="75"/>
    </row>
    <row r="249" spans="1:1" s="67" customFormat="1">
      <c r="A249" s="75"/>
    </row>
    <row r="250" spans="1:1" s="67" customFormat="1">
      <c r="A250" s="75"/>
    </row>
    <row r="251" spans="1:1" s="67" customFormat="1">
      <c r="A251" s="75"/>
    </row>
    <row r="252" spans="1:1" s="67" customFormat="1">
      <c r="A252" s="75"/>
    </row>
    <row r="253" spans="1:1" s="67" customFormat="1">
      <c r="A253" s="75"/>
    </row>
    <row r="254" spans="1:1" s="67" customFormat="1">
      <c r="A254" s="75"/>
    </row>
    <row r="255" spans="1:1" s="67" customFormat="1">
      <c r="A255" s="75"/>
    </row>
    <row r="256" spans="1:1" s="67" customFormat="1">
      <c r="A256" s="75"/>
    </row>
    <row r="257" spans="1:1" s="67" customFormat="1">
      <c r="A257" s="75"/>
    </row>
    <row r="258" spans="1:1" s="67" customFormat="1">
      <c r="A258" s="75"/>
    </row>
    <row r="259" spans="1:1" s="67" customFormat="1">
      <c r="A259" s="75"/>
    </row>
    <row r="260" spans="1:1" s="67" customFormat="1">
      <c r="A260" s="75"/>
    </row>
    <row r="261" spans="1:1" s="67" customFormat="1">
      <c r="A261" s="75"/>
    </row>
    <row r="262" spans="1:1" s="67" customFormat="1">
      <c r="A262" s="75"/>
    </row>
    <row r="263" spans="1:1" s="67" customFormat="1">
      <c r="A263" s="75"/>
    </row>
    <row r="264" spans="1:1" s="67" customFormat="1">
      <c r="A264" s="75"/>
    </row>
    <row r="265" spans="1:1" s="67" customFormat="1">
      <c r="A265" s="75"/>
    </row>
    <row r="266" spans="1:1" s="67" customFormat="1">
      <c r="A266" s="75"/>
    </row>
    <row r="267" spans="1:1" s="67" customFormat="1">
      <c r="A267" s="75"/>
    </row>
    <row r="268" spans="1:1" s="67" customFormat="1">
      <c r="A268" s="75"/>
    </row>
    <row r="269" spans="1:1" s="67" customFormat="1">
      <c r="A269" s="75"/>
    </row>
    <row r="270" spans="1:1" s="67" customFormat="1">
      <c r="A270" s="75"/>
    </row>
    <row r="271" spans="1:1" s="67" customFormat="1">
      <c r="A271" s="75"/>
    </row>
    <row r="272" spans="1:1" s="67" customFormat="1">
      <c r="A272" s="75"/>
    </row>
    <row r="273" spans="1:1" s="67" customFormat="1">
      <c r="A273" s="75"/>
    </row>
    <row r="274" spans="1:1" s="67" customFormat="1">
      <c r="A274" s="75"/>
    </row>
    <row r="275" spans="1:1" s="67" customFormat="1">
      <c r="A275" s="75"/>
    </row>
    <row r="276" spans="1:1" s="67" customFormat="1">
      <c r="A276" s="75"/>
    </row>
    <row r="277" spans="1:1" s="67" customFormat="1">
      <c r="A277" s="75"/>
    </row>
    <row r="278" spans="1:1" s="67" customFormat="1">
      <c r="A278" s="75"/>
    </row>
    <row r="279" spans="1:1" s="67" customFormat="1">
      <c r="A279" s="75"/>
    </row>
    <row r="280" spans="1:1" s="67" customFormat="1">
      <c r="A280" s="75"/>
    </row>
    <row r="281" spans="1:1" s="67" customFormat="1">
      <c r="A281" s="75"/>
    </row>
    <row r="282" spans="1:1" s="67" customFormat="1">
      <c r="A282" s="75"/>
    </row>
    <row r="283" spans="1:1" s="67" customFormat="1">
      <c r="A283" s="75"/>
    </row>
    <row r="284" spans="1:1" s="67" customFormat="1">
      <c r="A284" s="75"/>
    </row>
    <row r="285" spans="1:1" s="67" customFormat="1">
      <c r="A285" s="75"/>
    </row>
    <row r="286" spans="1:1" s="67" customFormat="1">
      <c r="A286" s="75"/>
    </row>
    <row r="287" spans="1:1" s="67" customFormat="1">
      <c r="A287" s="75"/>
    </row>
    <row r="288" spans="1:1" s="67" customFormat="1">
      <c r="A288" s="75"/>
    </row>
    <row r="289" spans="1:1" s="67" customFormat="1">
      <c r="A289" s="75"/>
    </row>
    <row r="290" spans="1:1" s="67" customFormat="1">
      <c r="A290" s="75"/>
    </row>
    <row r="291" spans="1:1" s="67" customFormat="1">
      <c r="A291" s="75"/>
    </row>
    <row r="292" spans="1:1" s="67" customFormat="1">
      <c r="A292" s="75"/>
    </row>
    <row r="293" spans="1:1" s="67" customFormat="1">
      <c r="A293" s="75"/>
    </row>
    <row r="294" spans="1:1" s="67" customFormat="1">
      <c r="A294" s="75"/>
    </row>
    <row r="295" spans="1:1" s="67" customFormat="1">
      <c r="A295" s="75"/>
    </row>
    <row r="296" spans="1:1" s="67" customFormat="1">
      <c r="A296" s="75"/>
    </row>
    <row r="297" spans="1:1" s="67" customFormat="1">
      <c r="A297" s="75"/>
    </row>
    <row r="298" spans="1:1" s="67" customFormat="1">
      <c r="A298" s="75"/>
    </row>
    <row r="299" spans="1:1" s="67" customFormat="1">
      <c r="A299" s="75"/>
    </row>
    <row r="300" spans="1:1" s="67" customFormat="1">
      <c r="A300" s="75"/>
    </row>
    <row r="301" spans="1:1" s="67" customFormat="1">
      <c r="A301" s="75"/>
    </row>
    <row r="302" spans="1:1" s="67" customFormat="1">
      <c r="A302" s="75"/>
    </row>
    <row r="303" spans="1:1" s="67" customFormat="1">
      <c r="A303" s="75"/>
    </row>
    <row r="304" spans="1:1" s="67" customFormat="1">
      <c r="A304" s="75"/>
    </row>
    <row r="305" spans="1:1" s="67" customFormat="1">
      <c r="A305" s="75"/>
    </row>
    <row r="306" spans="1:1" s="67" customFormat="1">
      <c r="A306" s="75"/>
    </row>
    <row r="307" spans="1:1" s="67" customFormat="1">
      <c r="A307" s="75"/>
    </row>
    <row r="308" spans="1:1" s="67" customFormat="1">
      <c r="A308" s="75"/>
    </row>
    <row r="309" spans="1:1" s="67" customFormat="1">
      <c r="A309" s="75"/>
    </row>
    <row r="310" spans="1:1" s="67" customFormat="1">
      <c r="A310" s="75"/>
    </row>
    <row r="311" spans="1:1" s="67" customFormat="1">
      <c r="A311" s="75"/>
    </row>
    <row r="312" spans="1:1" s="67" customFormat="1">
      <c r="A312" s="75"/>
    </row>
    <row r="313" spans="1:1" s="67" customFormat="1">
      <c r="A313" s="75"/>
    </row>
    <row r="314" spans="1:1" s="67" customFormat="1">
      <c r="A314" s="75"/>
    </row>
    <row r="315" spans="1:1" s="67" customFormat="1">
      <c r="A315" s="75"/>
    </row>
    <row r="316" spans="1:1" s="67" customFormat="1">
      <c r="A316" s="75"/>
    </row>
    <row r="317" spans="1:1" s="67" customFormat="1">
      <c r="A317" s="75"/>
    </row>
    <row r="318" spans="1:1" s="67" customFormat="1">
      <c r="A318" s="75"/>
    </row>
    <row r="319" spans="1:1" s="67" customFormat="1">
      <c r="A319" s="75"/>
    </row>
    <row r="320" spans="1:1" s="67" customFormat="1">
      <c r="A320" s="75"/>
    </row>
    <row r="321" spans="1:1" s="67" customFormat="1">
      <c r="A321" s="75"/>
    </row>
    <row r="322" spans="1:1" s="67" customFormat="1">
      <c r="A322" s="75"/>
    </row>
    <row r="323" spans="1:1" s="67" customFormat="1">
      <c r="A323" s="75"/>
    </row>
    <row r="324" spans="1:1" s="67" customFormat="1">
      <c r="A324" s="75"/>
    </row>
    <row r="325" spans="1:1" s="67" customFormat="1">
      <c r="A325" s="75"/>
    </row>
    <row r="326" spans="1:1" s="67" customFormat="1">
      <c r="A326" s="75"/>
    </row>
    <row r="327" spans="1:1" s="67" customFormat="1">
      <c r="A327" s="75"/>
    </row>
    <row r="328" spans="1:1" s="67" customFormat="1">
      <c r="A328" s="75"/>
    </row>
    <row r="329" spans="1:1" s="67" customFormat="1">
      <c r="A329" s="75"/>
    </row>
    <row r="330" spans="1:1" s="67" customFormat="1">
      <c r="A330" s="75"/>
    </row>
    <row r="331" spans="1:1" s="67" customFormat="1">
      <c r="A331" s="75"/>
    </row>
    <row r="332" spans="1:1" s="67" customFormat="1">
      <c r="A332" s="75"/>
    </row>
    <row r="333" spans="1:1" s="67" customFormat="1">
      <c r="A333" s="75"/>
    </row>
    <row r="334" spans="1:1" s="67" customFormat="1">
      <c r="A334" s="75"/>
    </row>
    <row r="335" spans="1:1" s="67" customFormat="1">
      <c r="A335" s="75"/>
    </row>
    <row r="336" spans="1:1" s="67" customFormat="1">
      <c r="A336" s="75"/>
    </row>
    <row r="337" spans="1:1" s="67" customFormat="1">
      <c r="A337" s="7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I91"/>
  <sheetViews>
    <sheetView zoomScale="80" zoomScaleNormal="80" workbookViewId="0"/>
  </sheetViews>
  <sheetFormatPr defaultRowHeight="15"/>
  <cols>
    <col min="1" max="1" width="32.85546875" customWidth="1"/>
    <col min="2" max="2" width="11" customWidth="1"/>
    <col min="3" max="3" width="13.140625" customWidth="1"/>
    <col min="4" max="4" width="11.140625" customWidth="1"/>
    <col min="5" max="5" width="3.7109375" customWidth="1"/>
    <col min="6" max="6" width="29.140625" customWidth="1"/>
    <col min="7" max="7" width="11.85546875" customWidth="1"/>
    <col min="8" max="8" width="12.5703125" customWidth="1"/>
    <col min="9" max="9" width="11.85546875" customWidth="1"/>
    <col min="10" max="13" width="9.140625" customWidth="1"/>
  </cols>
  <sheetData>
    <row r="1" spans="1:6" ht="15.75" thickBot="1">
      <c r="A1" s="35" t="s">
        <v>234</v>
      </c>
      <c r="F1" s="35" t="s">
        <v>233</v>
      </c>
    </row>
    <row r="2" spans="1:6" s="7" customFormat="1">
      <c r="A2" s="20" t="str">
        <f>'Data Entry'!B5&amp;" Revenues, Current Year"</f>
        <v>Your Municipality Revenues, Current Year</v>
      </c>
      <c r="F2" s="20" t="str">
        <f>'Data Entry'!B5&amp;" Revenues and Expenditures, 2000 to Current Year"</f>
        <v>Your Municipality Revenues and Expenditures, 2000 to Current Year</v>
      </c>
    </row>
    <row r="20" spans="1:6" s="19" customFormat="1"/>
    <row r="21" spans="1:6" s="19" customFormat="1"/>
    <row r="22" spans="1:6" s="19" customFormat="1"/>
    <row r="26" spans="1:6" s="19" customFormat="1" ht="15.75" thickBot="1"/>
    <row r="27" spans="1:6" s="7" customFormat="1">
      <c r="A27" s="20" t="s">
        <v>119</v>
      </c>
      <c r="F27" s="20"/>
    </row>
    <row r="63" spans="1:1" ht="15.75" thickBot="1"/>
    <row r="64" spans="1:1" s="7" customFormat="1">
      <c r="A64" s="7" t="s">
        <v>120</v>
      </c>
    </row>
    <row r="65" spans="1:4">
      <c r="A65" s="6" t="s">
        <v>121</v>
      </c>
      <c r="B65" t="s">
        <v>69</v>
      </c>
      <c r="C65" t="s">
        <v>71</v>
      </c>
      <c r="D65" t="s">
        <v>70</v>
      </c>
    </row>
    <row r="66" spans="1:4">
      <c r="A66" s="3" t="s">
        <v>6</v>
      </c>
      <c r="B66" s="5">
        <v>741710</v>
      </c>
      <c r="C66" s="5">
        <v>478591</v>
      </c>
      <c r="D66" s="5">
        <v>30204</v>
      </c>
    </row>
    <row r="67" spans="1:4">
      <c r="A67" s="3" t="s">
        <v>7</v>
      </c>
      <c r="B67" s="5">
        <v>3251891</v>
      </c>
      <c r="C67" s="5">
        <v>1562915</v>
      </c>
      <c r="D67" s="5">
        <v>359465</v>
      </c>
    </row>
    <row r="68" spans="1:4">
      <c r="A68" s="3" t="s">
        <v>21</v>
      </c>
      <c r="B68" s="5">
        <v>590377</v>
      </c>
      <c r="C68" s="5">
        <v>156931</v>
      </c>
      <c r="D68" s="5">
        <v>14747</v>
      </c>
    </row>
    <row r="69" spans="1:4">
      <c r="A69" s="3"/>
      <c r="B69" s="5"/>
      <c r="C69" s="5"/>
      <c r="D69" s="5"/>
    </row>
    <row r="70" spans="1:4">
      <c r="A70" s="3" t="s">
        <v>22</v>
      </c>
      <c r="B70" s="5"/>
      <c r="C70" s="5">
        <v>468445</v>
      </c>
      <c r="D70" s="5"/>
    </row>
    <row r="71" spans="1:4">
      <c r="A71" s="3" t="s">
        <v>23</v>
      </c>
      <c r="B71" s="5">
        <v>2439934</v>
      </c>
      <c r="C71" s="5">
        <v>2606527</v>
      </c>
      <c r="D71" s="5">
        <v>870330</v>
      </c>
    </row>
    <row r="72" spans="1:4">
      <c r="A72" s="3" t="s">
        <v>24</v>
      </c>
      <c r="B72" s="5">
        <v>132942</v>
      </c>
      <c r="C72" s="5">
        <v>359897</v>
      </c>
      <c r="D72" s="5">
        <v>66993</v>
      </c>
    </row>
    <row r="73" spans="1:4">
      <c r="A73" s="3" t="s">
        <v>5</v>
      </c>
      <c r="B73" s="5">
        <f>SUM(B70:B72)</f>
        <v>2572876</v>
      </c>
      <c r="C73" s="5">
        <f>SUM(C70:C72)</f>
        <v>3434869</v>
      </c>
      <c r="D73" s="5">
        <f>SUM(D70:D72)</f>
        <v>937323</v>
      </c>
    </row>
    <row r="74" spans="1:4">
      <c r="A74" s="3"/>
      <c r="B74" s="5"/>
      <c r="C74" s="5"/>
      <c r="D74" s="5"/>
    </row>
    <row r="75" spans="1:4">
      <c r="A75" s="3" t="s">
        <v>72</v>
      </c>
      <c r="B75" s="5">
        <v>1289428</v>
      </c>
      <c r="C75" s="5">
        <v>449859</v>
      </c>
      <c r="D75" s="5">
        <v>118360</v>
      </c>
    </row>
    <row r="76" spans="1:4">
      <c r="A76" s="3" t="s">
        <v>11</v>
      </c>
      <c r="B76" s="5">
        <v>38539</v>
      </c>
      <c r="C76" s="5">
        <v>1660605</v>
      </c>
      <c r="D76" s="5">
        <v>217521</v>
      </c>
    </row>
    <row r="77" spans="1:4">
      <c r="A77" s="3" t="s">
        <v>25</v>
      </c>
      <c r="B77" s="5">
        <v>210484</v>
      </c>
      <c r="C77" s="5">
        <v>1193855</v>
      </c>
      <c r="D77" s="5">
        <v>266534</v>
      </c>
    </row>
    <row r="78" spans="1:4">
      <c r="A78" s="3" t="s">
        <v>18</v>
      </c>
      <c r="B78" s="5">
        <v>32700</v>
      </c>
      <c r="C78" s="5">
        <v>128310</v>
      </c>
      <c r="D78" s="5">
        <v>16593</v>
      </c>
    </row>
    <row r="79" spans="1:4">
      <c r="A79" s="3" t="s">
        <v>12</v>
      </c>
      <c r="B79" s="5">
        <v>381883</v>
      </c>
      <c r="C79" s="5">
        <v>368736</v>
      </c>
      <c r="D79" s="5"/>
    </row>
    <row r="80" spans="1:4">
      <c r="A80" s="3" t="s">
        <v>26</v>
      </c>
      <c r="B80" s="5">
        <v>130982</v>
      </c>
      <c r="C80" s="5">
        <v>133214</v>
      </c>
      <c r="D80" s="5">
        <v>1413</v>
      </c>
    </row>
    <row r="81" spans="1:9">
      <c r="A81" s="3" t="s">
        <v>13</v>
      </c>
      <c r="B81" s="5">
        <f>SUM(B75:B80)</f>
        <v>2084016</v>
      </c>
      <c r="C81" s="5">
        <f>SUM(C75:C80)</f>
        <v>3934579</v>
      </c>
      <c r="D81" s="5">
        <f>SUM(D75:D80)</f>
        <v>620421</v>
      </c>
    </row>
    <row r="82" spans="1:9">
      <c r="A82" s="3"/>
      <c r="B82" s="5"/>
      <c r="C82" s="5"/>
      <c r="D82" s="5"/>
    </row>
    <row r="83" spans="1:9">
      <c r="A83" s="3" t="s">
        <v>27</v>
      </c>
      <c r="B83" s="5">
        <v>252822</v>
      </c>
      <c r="C83" s="5">
        <v>452070</v>
      </c>
      <c r="D83" s="5">
        <v>142364</v>
      </c>
    </row>
    <row r="84" spans="1:9" s="19" customFormat="1">
      <c r="A84" s="3" t="s">
        <v>89</v>
      </c>
      <c r="B84" s="5">
        <v>589605</v>
      </c>
      <c r="C84" s="5">
        <v>2450183</v>
      </c>
      <c r="D84" s="5">
        <v>46048</v>
      </c>
    </row>
    <row r="85" spans="1:9">
      <c r="A85" s="3" t="s">
        <v>28</v>
      </c>
      <c r="B85" s="5">
        <v>417236</v>
      </c>
      <c r="C85" s="5">
        <v>605068</v>
      </c>
      <c r="D85" s="5">
        <v>285993</v>
      </c>
      <c r="F85" s="3"/>
      <c r="G85" s="5"/>
      <c r="H85" s="5"/>
      <c r="I85" s="5"/>
    </row>
    <row r="86" spans="1:9">
      <c r="A86" s="3" t="s">
        <v>68</v>
      </c>
      <c r="B86" s="5">
        <f>SUM(B83:B85)</f>
        <v>1259663</v>
      </c>
      <c r="C86" s="5">
        <f>SUM(C83:C85)</f>
        <v>3507321</v>
      </c>
      <c r="D86" s="5">
        <f>SUM(D83:D85)</f>
        <v>474405</v>
      </c>
    </row>
    <row r="87" spans="1:9">
      <c r="A87" s="3"/>
      <c r="B87" s="5"/>
      <c r="C87" s="5"/>
      <c r="D87" s="5"/>
    </row>
    <row r="88" spans="1:9">
      <c r="A88" s="3" t="s">
        <v>14</v>
      </c>
      <c r="B88" s="5">
        <f>SUM(B83:B85,B75:B80,B70:B72,B66:B68)</f>
        <v>10500533</v>
      </c>
      <c r="C88" s="5">
        <f>SUM(C83:C85,C75:C80,C70:C72,C66:C68)</f>
        <v>13075206</v>
      </c>
      <c r="D88" s="5">
        <f>SUM(D83:D85,D75:D80,D70:D72,D66:D68)</f>
        <v>2436565</v>
      </c>
      <c r="G88" s="12"/>
      <c r="H88" s="12"/>
      <c r="I88" s="12"/>
    </row>
    <row r="89" spans="1:9">
      <c r="B89" s="4"/>
      <c r="C89" s="4"/>
      <c r="D89" s="4"/>
    </row>
    <row r="91" spans="1:9">
      <c r="A91" s="4" t="s">
        <v>73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F80"/>
  <sheetViews>
    <sheetView zoomScale="80" zoomScaleNormal="80" workbookViewId="0">
      <selection activeCell="G65" sqref="G65"/>
    </sheetView>
  </sheetViews>
  <sheetFormatPr defaultRowHeight="15"/>
  <cols>
    <col min="1" max="1" width="33.5703125" customWidth="1"/>
    <col min="2" max="4" width="12" customWidth="1"/>
  </cols>
  <sheetData>
    <row r="1" spans="1:5" ht="15.75" thickBot="1">
      <c r="A1" s="35" t="s">
        <v>235</v>
      </c>
    </row>
    <row r="2" spans="1:5" s="7" customFormat="1">
      <c r="A2" s="20" t="str">
        <f>'Data Entry'!B5&amp;" Expenditures, Current Year"</f>
        <v>Your Municipality Expenditures, Current Year</v>
      </c>
      <c r="E2" s="20" t="str">
        <f>'Data Entry'!B5&amp;" Revenues and Expenditures, 2000 to Current Year"</f>
        <v>Your Municipality Revenues and Expenditures, 2000 to Current Year</v>
      </c>
    </row>
    <row r="4" spans="1:5">
      <c r="B4" t="str">
        <f>"Expenditures for " &amp;'Data Entry'!B5</f>
        <v>Expenditures for Your Municipality</v>
      </c>
    </row>
    <row r="25" spans="1:6" ht="15.75" thickBot="1"/>
    <row r="26" spans="1:6" s="7" customFormat="1">
      <c r="A26" s="20" t="s">
        <v>123</v>
      </c>
      <c r="F26" s="20"/>
    </row>
    <row r="59" spans="1:4" ht="15.75" thickBot="1"/>
    <row r="60" spans="1:4" s="7" customFormat="1">
      <c r="A60" s="7" t="s">
        <v>122</v>
      </c>
    </row>
    <row r="61" spans="1:4">
      <c r="A61" s="6" t="s">
        <v>15</v>
      </c>
      <c r="B61" t="s">
        <v>69</v>
      </c>
      <c r="C61" t="s">
        <v>71</v>
      </c>
      <c r="D61" t="s">
        <v>70</v>
      </c>
    </row>
    <row r="62" spans="1:4">
      <c r="A62" s="3" t="s">
        <v>32</v>
      </c>
      <c r="B62" s="5">
        <v>1100993</v>
      </c>
      <c r="C62" s="5">
        <v>752834</v>
      </c>
      <c r="D62" s="5">
        <v>331377</v>
      </c>
    </row>
    <row r="63" spans="1:4">
      <c r="A63" s="3"/>
      <c r="B63" s="5"/>
      <c r="C63" s="5"/>
      <c r="D63" s="5"/>
    </row>
    <row r="64" spans="1:4">
      <c r="A64" s="3" t="s">
        <v>33</v>
      </c>
      <c r="B64" s="5">
        <v>482680</v>
      </c>
      <c r="C64" s="5">
        <v>2024716</v>
      </c>
      <c r="D64" s="5">
        <v>623439</v>
      </c>
    </row>
    <row r="65" spans="1:4">
      <c r="A65" s="3" t="s">
        <v>16</v>
      </c>
      <c r="B65" s="5">
        <v>602723</v>
      </c>
      <c r="C65" s="5">
        <v>1555</v>
      </c>
      <c r="D65" s="5"/>
    </row>
    <row r="66" spans="1:4">
      <c r="A66" s="3"/>
      <c r="B66" s="5"/>
      <c r="C66" s="5"/>
      <c r="D66" s="5"/>
    </row>
    <row r="67" spans="1:4">
      <c r="A67" s="3" t="s">
        <v>10</v>
      </c>
      <c r="B67" s="5">
        <v>115140</v>
      </c>
      <c r="C67" s="5">
        <v>2009731</v>
      </c>
      <c r="D67" s="5">
        <v>280472</v>
      </c>
    </row>
    <row r="68" spans="1:4">
      <c r="A68" s="3" t="s">
        <v>34</v>
      </c>
      <c r="B68" s="5">
        <v>361611</v>
      </c>
      <c r="C68" s="5">
        <v>1500784</v>
      </c>
      <c r="D68" s="5">
        <v>390339</v>
      </c>
    </row>
    <row r="69" spans="1:4">
      <c r="A69" s="3" t="s">
        <v>17</v>
      </c>
      <c r="B69" s="5">
        <v>1224589</v>
      </c>
      <c r="C69" s="5">
        <v>2158286</v>
      </c>
      <c r="D69" s="5">
        <v>154706</v>
      </c>
    </row>
    <row r="70" spans="1:4">
      <c r="A70" s="3"/>
      <c r="B70" s="5"/>
      <c r="C70" s="5"/>
      <c r="D70" s="5"/>
    </row>
    <row r="71" spans="1:4">
      <c r="A71" s="3" t="s">
        <v>35</v>
      </c>
      <c r="B71" s="5">
        <v>2763896</v>
      </c>
      <c r="C71" s="5">
        <v>524438</v>
      </c>
      <c r="D71" s="5">
        <v>20400</v>
      </c>
    </row>
    <row r="72" spans="1:4">
      <c r="A72" s="3" t="s">
        <v>36</v>
      </c>
      <c r="B72" s="5">
        <v>1065529</v>
      </c>
      <c r="C72" s="5">
        <v>33984</v>
      </c>
      <c r="D72" s="5">
        <v>57</v>
      </c>
    </row>
    <row r="73" spans="1:4">
      <c r="A73" s="3" t="s">
        <v>29</v>
      </c>
      <c r="B73" s="5">
        <v>48574</v>
      </c>
      <c r="C73" s="5">
        <v>402144</v>
      </c>
      <c r="D73" s="5">
        <v>16388</v>
      </c>
    </row>
    <row r="74" spans="1:4">
      <c r="A74" s="3" t="s">
        <v>37</v>
      </c>
      <c r="B74" s="5">
        <v>281360</v>
      </c>
      <c r="C74" s="5">
        <v>454281</v>
      </c>
      <c r="D74" s="5">
        <v>83381</v>
      </c>
    </row>
    <row r="75" spans="1:4">
      <c r="A75" s="3"/>
      <c r="B75" s="5"/>
      <c r="C75" s="5"/>
      <c r="D75" s="5"/>
    </row>
    <row r="76" spans="1:4">
      <c r="A76" s="3" t="s">
        <v>74</v>
      </c>
      <c r="B76" s="5">
        <v>189043</v>
      </c>
      <c r="C76" s="5">
        <v>682181</v>
      </c>
      <c r="D76" s="5">
        <v>77067</v>
      </c>
    </row>
    <row r="77" spans="1:4">
      <c r="A77" s="3" t="s">
        <v>89</v>
      </c>
      <c r="B77" s="5">
        <v>303861</v>
      </c>
      <c r="C77" s="5">
        <v>1071967</v>
      </c>
      <c r="D77" s="5">
        <v>22310</v>
      </c>
    </row>
    <row r="78" spans="1:4">
      <c r="A78" s="3" t="s">
        <v>19</v>
      </c>
      <c r="B78" s="5">
        <v>1147401</v>
      </c>
      <c r="C78" s="5">
        <v>188188</v>
      </c>
      <c r="D78" s="5">
        <v>338345</v>
      </c>
    </row>
    <row r="79" spans="1:4">
      <c r="A79" s="3"/>
      <c r="B79" s="5"/>
      <c r="C79" s="5"/>
      <c r="D79" s="5"/>
    </row>
    <row r="80" spans="1:4">
      <c r="A80" s="3" t="s">
        <v>30</v>
      </c>
      <c r="B80" s="5">
        <f>SUM(B76:B78,B71:B74,B67:B69,B64:B65,B62)</f>
        <v>9687400</v>
      </c>
      <c r="C80" s="5">
        <f>SUM(C76:C78,C71:C74,C67:C69,C64:C65,C62)</f>
        <v>11805089</v>
      </c>
      <c r="D80" s="5">
        <f>SUM(D76:D78,D71:D74,D67:D69,D64:D65,D62)</f>
        <v>2338281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K60"/>
  <sheetViews>
    <sheetView workbookViewId="0">
      <selection activeCell="A35" sqref="A35"/>
    </sheetView>
  </sheetViews>
  <sheetFormatPr defaultRowHeight="15"/>
  <cols>
    <col min="1" max="1" width="23" customWidth="1"/>
    <col min="2" max="3" width="14.140625" customWidth="1"/>
    <col min="4" max="4" width="16.85546875" customWidth="1"/>
    <col min="5" max="5" width="15.5703125" customWidth="1"/>
    <col min="6" max="6" width="16.28515625" customWidth="1"/>
    <col min="7" max="11" width="9.85546875" bestFit="1" customWidth="1"/>
  </cols>
  <sheetData>
    <row r="1" spans="1:7" ht="15.75" thickBot="1">
      <c r="A1" s="35" t="s">
        <v>236</v>
      </c>
    </row>
    <row r="2" spans="1:7" ht="15.75" thickTop="1">
      <c r="A2" s="43" t="s">
        <v>75</v>
      </c>
      <c r="B2" s="8"/>
      <c r="C2" s="8"/>
      <c r="D2" s="8"/>
      <c r="E2" s="8"/>
      <c r="F2" s="8"/>
    </row>
    <row r="3" spans="1:7">
      <c r="A3" s="9"/>
      <c r="B3" s="22" t="s">
        <v>76</v>
      </c>
      <c r="C3" s="22" t="s">
        <v>77</v>
      </c>
      <c r="D3" s="22" t="s">
        <v>78</v>
      </c>
      <c r="E3" s="22" t="s">
        <v>79</v>
      </c>
      <c r="F3" s="22" t="s">
        <v>80</v>
      </c>
      <c r="G3" s="4"/>
    </row>
    <row r="4" spans="1:7">
      <c r="A4" s="9" t="s">
        <v>81</v>
      </c>
      <c r="B4" s="10" t="s">
        <v>84</v>
      </c>
      <c r="C4" s="10" t="s">
        <v>84</v>
      </c>
      <c r="D4" s="10">
        <v>171914760000</v>
      </c>
      <c r="E4" s="11">
        <v>4299412</v>
      </c>
      <c r="F4" s="10">
        <f>D4/E4</f>
        <v>39985.644548603392</v>
      </c>
    </row>
    <row r="5" spans="1:7">
      <c r="A5" s="9" t="s">
        <v>82</v>
      </c>
      <c r="B5" s="10">
        <v>2763466647</v>
      </c>
      <c r="C5" s="10">
        <v>1634877477</v>
      </c>
      <c r="D5" s="13">
        <f>C5+B5</f>
        <v>4398344124</v>
      </c>
      <c r="E5" s="11">
        <v>51699</v>
      </c>
      <c r="F5" s="10">
        <f t="shared" ref="F5:F7" si="0">D5/E5</f>
        <v>85076</v>
      </c>
    </row>
    <row r="6" spans="1:7">
      <c r="A6" s="9" t="s">
        <v>83</v>
      </c>
      <c r="B6" s="10" t="s">
        <v>84</v>
      </c>
      <c r="C6" s="10" t="s">
        <v>84</v>
      </c>
      <c r="D6" s="10">
        <v>23374085000</v>
      </c>
      <c r="E6" s="11">
        <v>407693</v>
      </c>
      <c r="F6" s="10">
        <f t="shared" si="0"/>
        <v>57332.563963570625</v>
      </c>
    </row>
    <row r="7" spans="1:7">
      <c r="A7" s="14" t="str">
        <f>'Data Entry'!B5 &amp;", Current Year"</f>
        <v>Your Municipality, Current Year</v>
      </c>
      <c r="B7" s="15">
        <f>'Data Entry'!B67</f>
        <v>53000000</v>
      </c>
      <c r="C7" s="15">
        <f>'Data Entry'!B68</f>
        <v>0</v>
      </c>
      <c r="D7" s="15">
        <f>C7+B7</f>
        <v>53000000</v>
      </c>
      <c r="E7" s="16">
        <f>'Data Entry'!B65</f>
        <v>1200</v>
      </c>
      <c r="F7" s="15">
        <f t="shared" si="0"/>
        <v>44166.666666666664</v>
      </c>
    </row>
    <row r="34" spans="1:1">
      <c r="A34" s="19" t="s">
        <v>249</v>
      </c>
    </row>
    <row r="55" spans="1:11" ht="15.75" thickBot="1"/>
    <row r="56" spans="1:11" ht="15.75" thickTop="1">
      <c r="A56" s="8" t="s">
        <v>85</v>
      </c>
      <c r="B56" s="8"/>
      <c r="C56" s="8"/>
      <c r="D56" s="8"/>
      <c r="E56" s="8"/>
      <c r="F56" s="8"/>
      <c r="G56" s="8"/>
      <c r="H56" s="8"/>
      <c r="I56" s="8"/>
      <c r="J56" s="8"/>
      <c r="K56" s="8"/>
    </row>
    <row r="57" spans="1:11">
      <c r="A57" s="17"/>
      <c r="B57" s="17">
        <v>2000</v>
      </c>
      <c r="C57" s="17">
        <v>2001</v>
      </c>
      <c r="D57" s="17">
        <v>2002</v>
      </c>
      <c r="E57" s="18">
        <v>2003</v>
      </c>
      <c r="F57" s="18">
        <v>2004</v>
      </c>
      <c r="G57" s="18">
        <v>2005</v>
      </c>
      <c r="H57" s="18">
        <v>2006</v>
      </c>
      <c r="I57" s="18">
        <v>2007</v>
      </c>
      <c r="J57" s="18">
        <v>2008</v>
      </c>
      <c r="K57" s="18">
        <v>2009</v>
      </c>
    </row>
    <row r="58" spans="1:11">
      <c r="A58" t="s">
        <v>86</v>
      </c>
      <c r="B58" s="10">
        <v>37031</v>
      </c>
      <c r="C58" s="10">
        <v>37307.921551835607</v>
      </c>
      <c r="D58" s="10">
        <v>38131.93482171795</v>
      </c>
      <c r="E58" s="10">
        <v>40289.493319561458</v>
      </c>
      <c r="F58" s="10">
        <v>39661.540439040131</v>
      </c>
      <c r="G58" s="10">
        <v>39871.871178054273</v>
      </c>
      <c r="H58" s="10">
        <v>39943.365444720737</v>
      </c>
      <c r="I58" s="10">
        <v>40606.281378565327</v>
      </c>
      <c r="J58" s="10">
        <v>41184.307325744601</v>
      </c>
      <c r="K58" s="10">
        <v>39985.644548603392</v>
      </c>
    </row>
    <row r="59" spans="1:11">
      <c r="A59" t="s">
        <v>87</v>
      </c>
      <c r="B59" s="10">
        <v>57274</v>
      </c>
      <c r="C59" s="10">
        <v>60996</v>
      </c>
      <c r="D59" s="10">
        <v>62113</v>
      </c>
      <c r="E59" s="10">
        <v>65971</v>
      </c>
      <c r="F59" s="10">
        <v>69896</v>
      </c>
      <c r="G59" s="10">
        <v>74381</v>
      </c>
      <c r="H59" s="10">
        <v>77816</v>
      </c>
      <c r="I59" s="10">
        <v>79488</v>
      </c>
      <c r="J59" s="10">
        <v>84602</v>
      </c>
      <c r="K59" s="10">
        <v>85076</v>
      </c>
    </row>
    <row r="60" spans="1:11">
      <c r="A60" t="s">
        <v>88</v>
      </c>
      <c r="B60" s="10">
        <v>40732.79525844071</v>
      </c>
      <c r="C60" s="10">
        <v>41870.000511712657</v>
      </c>
      <c r="D60" s="10">
        <v>43311.087851325807</v>
      </c>
      <c r="E60" s="10">
        <v>45811.664359930335</v>
      </c>
      <c r="F60" s="10">
        <v>48642.933530949223</v>
      </c>
      <c r="G60" s="10">
        <v>50696.130544060412</v>
      </c>
      <c r="H60" s="10">
        <v>50745.376691076082</v>
      </c>
      <c r="I60" s="10">
        <v>52543.360991001522</v>
      </c>
      <c r="J60" s="10">
        <v>55430.705951481577</v>
      </c>
      <c r="K60" s="10">
        <v>57332.563963570625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L45"/>
  <sheetViews>
    <sheetView workbookViewId="0">
      <selection activeCell="C36" sqref="C36"/>
    </sheetView>
  </sheetViews>
  <sheetFormatPr defaultRowHeight="15"/>
  <cols>
    <col min="1" max="1" width="25.42578125" customWidth="1"/>
    <col min="2" max="2" width="14" customWidth="1"/>
    <col min="3" max="3" width="12.85546875" customWidth="1"/>
    <col min="4" max="4" width="15.42578125" customWidth="1"/>
    <col min="5" max="5" width="21.42578125" customWidth="1"/>
    <col min="6" max="6" width="14" customWidth="1"/>
    <col min="7" max="7" width="12.5703125" customWidth="1"/>
    <col min="8" max="8" width="3.140625" customWidth="1"/>
    <col min="9" max="9" width="25.5703125" customWidth="1"/>
    <col min="10" max="10" width="14" customWidth="1"/>
    <col min="11" max="11" width="12.140625" customWidth="1"/>
    <col min="12" max="12" width="15" customWidth="1"/>
  </cols>
  <sheetData>
    <row r="1" spans="1:8" ht="15.75" thickBot="1"/>
    <row r="2" spans="1:8">
      <c r="A2" s="20" t="s">
        <v>90</v>
      </c>
      <c r="B2" s="7"/>
      <c r="C2" s="7"/>
      <c r="D2" s="17"/>
      <c r="E2" s="20" t="s">
        <v>130</v>
      </c>
      <c r="F2" s="7"/>
      <c r="G2" s="7"/>
    </row>
    <row r="3" spans="1:8" s="25" customFormat="1">
      <c r="A3" s="23"/>
      <c r="B3" s="23"/>
      <c r="C3" s="24" t="s">
        <v>114</v>
      </c>
      <c r="D3" s="24"/>
      <c r="E3" s="23"/>
      <c r="F3" s="23"/>
      <c r="G3" s="24" t="s">
        <v>114</v>
      </c>
      <c r="H3" s="26"/>
    </row>
    <row r="4" spans="1:8">
      <c r="A4" s="9" t="s">
        <v>104</v>
      </c>
      <c r="B4" s="10">
        <f>'Data Entry'!B77</f>
        <v>8000000</v>
      </c>
      <c r="C4" s="21">
        <f>B4/$B$15</f>
        <v>1.0389610389610389</v>
      </c>
      <c r="D4" s="9"/>
      <c r="E4" s="9" t="s">
        <v>104</v>
      </c>
      <c r="F4" s="10">
        <f>'Data Entry'!B93</f>
        <v>17000000</v>
      </c>
      <c r="G4" s="21">
        <f>F4/$F$15</f>
        <v>7.4889867841409691E-2</v>
      </c>
      <c r="H4" s="9"/>
    </row>
    <row r="5" spans="1:8" s="19" customFormat="1">
      <c r="A5" s="9" t="s">
        <v>105</v>
      </c>
      <c r="B5" s="10">
        <f>'Data Entry'!B79</f>
        <v>4600000</v>
      </c>
      <c r="C5" s="21">
        <f>B5/$B$15</f>
        <v>0.59740259740259738</v>
      </c>
      <c r="D5" s="9"/>
      <c r="E5" s="9" t="s">
        <v>105</v>
      </c>
      <c r="F5" s="10">
        <f>'Data Entry'!B95</f>
        <v>19000000</v>
      </c>
      <c r="G5" s="21">
        <f>F5/$F$15</f>
        <v>8.3700440528634359E-2</v>
      </c>
      <c r="H5" s="9"/>
    </row>
    <row r="6" spans="1:8" s="19" customFormat="1">
      <c r="A6" s="9"/>
      <c r="B6" s="10"/>
      <c r="C6" s="21"/>
      <c r="D6" s="9"/>
      <c r="E6" s="9"/>
      <c r="F6" s="10"/>
      <c r="G6" s="21"/>
      <c r="H6" s="9"/>
    </row>
    <row r="7" spans="1:8">
      <c r="A7" s="9" t="s">
        <v>107</v>
      </c>
      <c r="B7" s="10">
        <f>'Data Entry'!B84</f>
        <v>44000</v>
      </c>
      <c r="C7" s="21">
        <f>B7/$B$15</f>
        <v>5.7142857142857143E-3</v>
      </c>
      <c r="D7" s="9"/>
      <c r="E7" s="9" t="s">
        <v>107</v>
      </c>
      <c r="F7" s="10">
        <f>'Data Entry'!B100</f>
        <v>2000000</v>
      </c>
      <c r="G7" s="21">
        <f>F7/$F$15</f>
        <v>8.8105726872246704E-3</v>
      </c>
      <c r="H7" s="9"/>
    </row>
    <row r="8" spans="1:8" ht="15" customHeight="1">
      <c r="A8" s="9" t="s">
        <v>108</v>
      </c>
      <c r="B8" s="10">
        <f>'Data Entry'!B80</f>
        <v>3000000</v>
      </c>
      <c r="C8" s="21">
        <f>B8/$B$15</f>
        <v>0.38961038961038963</v>
      </c>
      <c r="D8" s="9"/>
      <c r="E8" s="9" t="s">
        <v>108</v>
      </c>
      <c r="F8" s="10">
        <f>'Data Entry'!B96</f>
        <v>310000</v>
      </c>
      <c r="G8" s="21">
        <f>F8/$F$15</f>
        <v>1.3656387665198237E-3</v>
      </c>
      <c r="H8" s="9"/>
    </row>
    <row r="9" spans="1:8">
      <c r="A9" s="9"/>
      <c r="B9" s="10"/>
      <c r="C9" s="21"/>
      <c r="D9" s="9"/>
      <c r="E9" s="9"/>
      <c r="F9" s="10"/>
      <c r="G9" s="21"/>
      <c r="H9" s="9"/>
    </row>
    <row r="10" spans="1:8">
      <c r="A10" s="9" t="s">
        <v>112</v>
      </c>
      <c r="B10" s="10">
        <f>B15-'Data Entry'!B89</f>
        <v>200000</v>
      </c>
      <c r="C10" s="21">
        <f>B10/$B$15</f>
        <v>2.5974025974025976E-2</v>
      </c>
      <c r="D10" s="9"/>
      <c r="E10" s="9" t="s">
        <v>112</v>
      </c>
      <c r="F10" s="10">
        <f>'Data Entry'!B104-'Data Entry'!B105</f>
        <v>77000000</v>
      </c>
      <c r="G10" s="21">
        <f>F10/$F$15</f>
        <v>0.33920704845814981</v>
      </c>
      <c r="H10" s="9"/>
    </row>
    <row r="11" spans="1:8">
      <c r="A11" s="9" t="s">
        <v>113</v>
      </c>
      <c r="B11" s="9"/>
      <c r="C11" s="9"/>
      <c r="D11" s="9"/>
      <c r="E11" s="9" t="s">
        <v>113</v>
      </c>
      <c r="F11" s="9"/>
      <c r="G11" s="9"/>
      <c r="H11" s="9"/>
    </row>
    <row r="12" spans="1:8">
      <c r="A12" s="9"/>
      <c r="B12" s="10"/>
      <c r="C12" s="21"/>
      <c r="D12" s="9"/>
      <c r="E12" s="9"/>
      <c r="F12" s="10"/>
      <c r="G12" s="21"/>
      <c r="H12" s="9"/>
    </row>
    <row r="13" spans="1:8">
      <c r="A13" s="9" t="s">
        <v>109</v>
      </c>
      <c r="B13" s="10">
        <f>'Data Entry'!B81</f>
        <v>14700000</v>
      </c>
      <c r="C13" s="21"/>
      <c r="D13" s="9"/>
      <c r="E13" s="9" t="s">
        <v>109</v>
      </c>
      <c r="F13" s="10">
        <f>'Data Entry'!B97</f>
        <v>342000000</v>
      </c>
      <c r="G13" s="21"/>
      <c r="H13" s="9"/>
    </row>
    <row r="14" spans="1:8">
      <c r="A14" s="9" t="s">
        <v>110</v>
      </c>
      <c r="B14" s="10">
        <f>'Data Entry'!B86</f>
        <v>7000000</v>
      </c>
      <c r="C14" s="21"/>
      <c r="D14" s="9"/>
      <c r="E14" s="9" t="s">
        <v>110</v>
      </c>
      <c r="F14" s="10">
        <f>'Data Entry'!B102</f>
        <v>115000000</v>
      </c>
      <c r="G14" s="21"/>
      <c r="H14" s="9"/>
    </row>
    <row r="15" spans="1:8">
      <c r="A15" s="22" t="s">
        <v>111</v>
      </c>
      <c r="B15" s="10">
        <f>B13-B14</f>
        <v>7700000</v>
      </c>
      <c r="C15" s="21"/>
      <c r="D15" s="9"/>
      <c r="E15" s="22" t="s">
        <v>111</v>
      </c>
      <c r="F15" s="10">
        <f>F13-F14</f>
        <v>227000000</v>
      </c>
      <c r="G15" s="21"/>
      <c r="H15" s="9"/>
    </row>
    <row r="16" spans="1:8">
      <c r="A16" s="22" t="s">
        <v>118</v>
      </c>
      <c r="B16" s="10">
        <f>'Data Entry'!B60</f>
        <v>190900000</v>
      </c>
      <c r="C16" s="9"/>
      <c r="D16" s="9"/>
      <c r="E16" s="9"/>
      <c r="F16" s="9"/>
      <c r="G16" s="9"/>
      <c r="H16" s="9"/>
    </row>
    <row r="17" spans="1:12">
      <c r="A17" s="22"/>
      <c r="B17" s="10"/>
      <c r="C17" s="9"/>
      <c r="D17" s="9"/>
      <c r="E17" s="9"/>
      <c r="F17" s="36" t="s">
        <v>237</v>
      </c>
      <c r="G17" s="9"/>
      <c r="H17" s="9"/>
      <c r="I17" s="9"/>
      <c r="J17" s="9"/>
      <c r="K17" s="9"/>
      <c r="L17" s="9"/>
    </row>
    <row r="18" spans="1:12" ht="15.75" thickBot="1">
      <c r="L18" s="9"/>
    </row>
    <row r="19" spans="1:12">
      <c r="A19" s="20" t="str">
        <f>'Data Entry'!B5&amp;" Totals"</f>
        <v>Your Municipality Totals</v>
      </c>
      <c r="B19" s="7"/>
      <c r="C19" s="7"/>
      <c r="D19" s="7"/>
    </row>
    <row r="20" spans="1:12">
      <c r="A20" s="24"/>
      <c r="B20" s="24"/>
      <c r="C20" s="24" t="s">
        <v>114</v>
      </c>
      <c r="D20" s="26" t="s">
        <v>117</v>
      </c>
    </row>
    <row r="21" spans="1:12">
      <c r="A21" s="9" t="s">
        <v>104</v>
      </c>
      <c r="B21" s="10">
        <f>B4+F4</f>
        <v>25000000</v>
      </c>
      <c r="C21" s="21">
        <f>B21/$B$29</f>
        <v>0.10651896037494674</v>
      </c>
      <c r="D21" s="21">
        <f>B21/$B$30</f>
        <v>0.13095861707700368</v>
      </c>
    </row>
    <row r="22" spans="1:12">
      <c r="A22" s="9" t="s">
        <v>105</v>
      </c>
      <c r="B22" s="10">
        <f>B5+F5</f>
        <v>23600000</v>
      </c>
      <c r="C22" s="21">
        <f>B22/$B$29</f>
        <v>0.10055389859394973</v>
      </c>
      <c r="D22" s="21">
        <f>B22/$B$30</f>
        <v>0.12362493452069147</v>
      </c>
    </row>
    <row r="23" spans="1:12">
      <c r="A23" s="9"/>
      <c r="B23" s="10"/>
      <c r="C23" s="21"/>
      <c r="D23" s="21"/>
    </row>
    <row r="24" spans="1:12">
      <c r="A24" s="9" t="s">
        <v>112</v>
      </c>
      <c r="B24" s="10">
        <f>B10+F10</f>
        <v>77200000</v>
      </c>
      <c r="C24" s="21">
        <f>B24/$B$29</f>
        <v>0.32893054963783552</v>
      </c>
      <c r="D24" s="21">
        <f>B24/$B$30</f>
        <v>0.4044002095337873</v>
      </c>
    </row>
    <row r="25" spans="1:12">
      <c r="A25" s="9" t="s">
        <v>113</v>
      </c>
      <c r="B25" s="9"/>
      <c r="C25" s="9"/>
      <c r="D25" s="9"/>
    </row>
    <row r="26" spans="1:12">
      <c r="A26" s="9"/>
      <c r="B26" s="10"/>
      <c r="C26" s="21"/>
      <c r="D26" s="9"/>
      <c r="E26" s="19"/>
    </row>
    <row r="27" spans="1:12">
      <c r="A27" s="9" t="s">
        <v>109</v>
      </c>
      <c r="B27" s="10">
        <f>B13+F13</f>
        <v>356700000</v>
      </c>
      <c r="C27" s="21"/>
      <c r="D27" s="9"/>
      <c r="E27" s="19"/>
    </row>
    <row r="28" spans="1:12">
      <c r="A28" s="9" t="s">
        <v>110</v>
      </c>
      <c r="B28" s="10">
        <f>B14+F14</f>
        <v>122000000</v>
      </c>
      <c r="C28" s="21"/>
      <c r="D28" s="9"/>
      <c r="E28" s="19"/>
    </row>
    <row r="29" spans="1:12">
      <c r="A29" s="22" t="s">
        <v>111</v>
      </c>
      <c r="B29" s="10">
        <f>B27-B28</f>
        <v>234700000</v>
      </c>
      <c r="C29" s="21"/>
      <c r="D29" s="9"/>
      <c r="E29" s="19"/>
    </row>
    <row r="30" spans="1:12">
      <c r="A30" s="22" t="s">
        <v>118</v>
      </c>
      <c r="B30" s="10">
        <f>'Data Entry'!B60</f>
        <v>190900000</v>
      </c>
      <c r="C30" s="9"/>
      <c r="D30" s="9"/>
      <c r="E30" s="19"/>
    </row>
    <row r="31" spans="1:12">
      <c r="E31" s="19"/>
    </row>
    <row r="32" spans="1:12">
      <c r="E32" s="19"/>
    </row>
    <row r="33" spans="1:5" s="19" customFormat="1"/>
    <row r="34" spans="1:5" s="19" customFormat="1"/>
    <row r="35" spans="1:5" s="19" customFormat="1"/>
    <row r="36" spans="1:5" s="19" customFormat="1"/>
    <row r="37" spans="1:5" s="19" customFormat="1">
      <c r="E37"/>
    </row>
    <row r="38" spans="1:5" s="19" customFormat="1">
      <c r="E38"/>
    </row>
    <row r="39" spans="1:5" s="19" customFormat="1">
      <c r="E39"/>
    </row>
    <row r="40" spans="1:5" s="19" customFormat="1">
      <c r="E40"/>
    </row>
    <row r="41" spans="1:5" s="19" customFormat="1">
      <c r="E41"/>
    </row>
    <row r="42" spans="1:5" s="19" customFormat="1">
      <c r="E42"/>
    </row>
    <row r="43" spans="1:5" s="19" customFormat="1">
      <c r="A43" s="19" t="str">
        <f>'Data Entry'!B5</f>
        <v>Your Municipality</v>
      </c>
      <c r="D43" s="34">
        <f>D24</f>
        <v>0.4044002095337873</v>
      </c>
      <c r="E43" s="90">
        <v>0.1</v>
      </c>
    </row>
    <row r="44" spans="1:5">
      <c r="A44" s="19" t="s">
        <v>135</v>
      </c>
      <c r="D44" s="21">
        <v>1.4999999999999999E-2</v>
      </c>
      <c r="E44" s="90">
        <v>0.1</v>
      </c>
    </row>
    <row r="45" spans="1:5">
      <c r="A45" s="19" t="s">
        <v>136</v>
      </c>
      <c r="D45" s="21">
        <v>5.1999999999999998E-2</v>
      </c>
      <c r="E45" s="90">
        <v>0.1</v>
      </c>
    </row>
  </sheetData>
  <conditionalFormatting sqref="D24">
    <cfRule type="cellIs" dxfId="3" priority="2" operator="greaterThan">
      <formula>0.1</formula>
    </cfRule>
    <cfRule type="cellIs" dxfId="2" priority="1" operator="lessThan">
      <formula>0.1</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Q12"/>
  <sheetViews>
    <sheetView workbookViewId="0">
      <selection activeCell="I11" sqref="I11"/>
    </sheetView>
  </sheetViews>
  <sheetFormatPr defaultRowHeight="12.75"/>
  <cols>
    <col min="1" max="1" width="18.140625" style="9" customWidth="1"/>
    <col min="2" max="2" width="13.42578125" style="9" customWidth="1"/>
    <col min="3" max="3" width="3.85546875" style="9" customWidth="1"/>
    <col min="4" max="4" width="18.140625" style="9" customWidth="1"/>
    <col min="5" max="5" width="13.42578125" style="9" customWidth="1"/>
    <col min="6" max="6" width="3.85546875" style="9" customWidth="1"/>
    <col min="7" max="7" width="18.140625" style="9" customWidth="1"/>
    <col min="8" max="8" width="11" style="9" customWidth="1"/>
    <col min="9" max="9" width="3.85546875" style="9" customWidth="1"/>
    <col min="10" max="10" width="21.85546875" style="9" customWidth="1"/>
    <col min="11" max="11" width="11.5703125" style="9" customWidth="1"/>
    <col min="12" max="16384" width="9.140625" style="9"/>
  </cols>
  <sheetData>
    <row r="1" spans="1:17" ht="13.5" thickBot="1"/>
    <row r="2" spans="1:17" s="27" customFormat="1" ht="15">
      <c r="A2" s="20" t="s">
        <v>124</v>
      </c>
      <c r="B2" s="2"/>
      <c r="D2" s="20" t="s">
        <v>128</v>
      </c>
      <c r="E2" s="2"/>
      <c r="G2" s="20" t="s">
        <v>156</v>
      </c>
      <c r="H2" s="28"/>
      <c r="J2" s="20" t="s">
        <v>157</v>
      </c>
      <c r="K2" s="41"/>
    </row>
    <row r="3" spans="1:17">
      <c r="G3" s="9" t="s">
        <v>131</v>
      </c>
      <c r="H3" s="21">
        <f>(B7+E7)/'Data Entry'!B36</f>
        <v>0.46130780763464424</v>
      </c>
      <c r="J3" s="9" t="s">
        <v>87</v>
      </c>
      <c r="K3" s="10">
        <v>2410</v>
      </c>
    </row>
    <row r="4" spans="1:17">
      <c r="A4" s="9" t="s">
        <v>125</v>
      </c>
      <c r="B4" s="10">
        <f>'Data Entry'!B110</f>
        <v>0</v>
      </c>
      <c r="D4" s="9" t="s">
        <v>125</v>
      </c>
      <c r="E4" s="10">
        <f>'Data Entry'!B112</f>
        <v>0</v>
      </c>
      <c r="G4" s="9" t="s">
        <v>111</v>
      </c>
      <c r="H4" s="21">
        <f>(B7+E7)/('Data Entry'!B88+'Data Entry'!B104)</f>
        <v>0.34086067319982954</v>
      </c>
      <c r="J4" s="9" t="s">
        <v>170</v>
      </c>
      <c r="K4" s="10">
        <v>4617</v>
      </c>
    </row>
    <row r="5" spans="1:17">
      <c r="A5" s="9" t="s">
        <v>126</v>
      </c>
      <c r="B5" s="10">
        <f>'Data Entry'!B111</f>
        <v>0</v>
      </c>
      <c r="D5" s="9" t="s">
        <v>126</v>
      </c>
      <c r="E5" s="10">
        <f>'Data Entry'!B113</f>
        <v>0</v>
      </c>
      <c r="J5" s="9" t="s">
        <v>171</v>
      </c>
      <c r="K5" s="10">
        <f>19538076000/10050847</f>
        <v>1943.9233330285497</v>
      </c>
    </row>
    <row r="6" spans="1:17" ht="13.5" thickBot="1">
      <c r="J6" s="9" t="s">
        <v>159</v>
      </c>
      <c r="K6" s="10">
        <f>4397530000/10050847</f>
        <v>437.5282998537337</v>
      </c>
    </row>
    <row r="7" spans="1:17" ht="15">
      <c r="A7" s="9" t="s">
        <v>127</v>
      </c>
      <c r="B7" s="10">
        <f>'Data Entry'!B115</f>
        <v>0</v>
      </c>
      <c r="D7" s="9" t="s">
        <v>127</v>
      </c>
      <c r="E7" s="10">
        <f>'Data Entry'!B116</f>
        <v>80000000</v>
      </c>
      <c r="G7" s="20" t="s">
        <v>168</v>
      </c>
      <c r="H7" s="2"/>
      <c r="J7" s="9" t="s">
        <v>158</v>
      </c>
      <c r="K7" s="10">
        <f>14818148000/5436102</f>
        <v>2725.8774761768636</v>
      </c>
    </row>
    <row r="8" spans="1:17">
      <c r="A8" s="9" t="s">
        <v>129</v>
      </c>
      <c r="D8" s="9" t="s">
        <v>129</v>
      </c>
      <c r="G8" s="27" t="s">
        <v>139</v>
      </c>
      <c r="H8" s="44">
        <f>('Data Entry'!B115+'Data Entry'!B116)/('Data Entry'!M115+'Data Entry'!M116)-1</f>
        <v>-1.5990159901599021E-2</v>
      </c>
      <c r="J8" s="9" t="s">
        <v>160</v>
      </c>
      <c r="K8" s="10">
        <f>1943583000/4695002</f>
        <v>413.96851375143183</v>
      </c>
    </row>
    <row r="9" spans="1:17">
      <c r="G9" s="9" t="s">
        <v>132</v>
      </c>
      <c r="H9" s="21">
        <f>(('Data Entry'!B116/'Data Entry'!I116)^(1/5))-1</f>
        <v>0</v>
      </c>
      <c r="J9" s="46" t="str">
        <f>'Data Entry'!B5</f>
        <v>Your Municipality</v>
      </c>
      <c r="K9" s="47">
        <f>(E7+B7)/'Data Entry'!B8</f>
        <v>800</v>
      </c>
    </row>
    <row r="10" spans="1:17">
      <c r="G10" s="9" t="s">
        <v>133</v>
      </c>
      <c r="H10" s="21">
        <f>('Data Entry'!B116/'Data Entry'!D116)^(1/10)-1</f>
        <v>6.4747230925554788E-3</v>
      </c>
    </row>
    <row r="11" spans="1:17" ht="15.75" thickBot="1">
      <c r="A11" s="22" t="s">
        <v>238</v>
      </c>
      <c r="C11" s="42"/>
      <c r="I11" s="22" t="s">
        <v>239</v>
      </c>
    </row>
    <row r="12" spans="1:17" ht="15">
      <c r="A12" s="20" t="str">
        <f>'Data Entry'!$B$5 &amp; " Long-Term Debt, 2000-2010"</f>
        <v>Your Municipality Long-Term Debt, 2000-2010</v>
      </c>
      <c r="B12" s="1"/>
      <c r="C12" s="1"/>
      <c r="D12" s="1"/>
      <c r="E12" s="1"/>
      <c r="F12" s="1"/>
      <c r="G12" s="1"/>
      <c r="I12" s="20" t="s">
        <v>145</v>
      </c>
      <c r="J12" s="28"/>
      <c r="K12" s="28"/>
      <c r="L12" s="28"/>
      <c r="M12" s="28"/>
      <c r="N12" s="28"/>
      <c r="O12" s="28"/>
      <c r="P12" s="28"/>
      <c r="Q12" s="28"/>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K31"/>
  <sheetViews>
    <sheetView workbookViewId="0">
      <selection activeCell="A30" sqref="A30"/>
    </sheetView>
  </sheetViews>
  <sheetFormatPr defaultRowHeight="15"/>
  <cols>
    <col min="1" max="1" width="20.85546875" customWidth="1"/>
    <col min="2" max="2" width="15.42578125" customWidth="1"/>
    <col min="3" max="3" width="15.140625" customWidth="1"/>
    <col min="5" max="5" width="9.140625" style="19"/>
    <col min="8" max="8" width="3" customWidth="1"/>
    <col min="9" max="9" width="20.85546875" customWidth="1"/>
    <col min="10" max="10" width="15.42578125" customWidth="1"/>
    <col min="11" max="11" width="15.140625" customWidth="1"/>
  </cols>
  <sheetData>
    <row r="1" spans="1:9" s="19" customFormat="1" ht="15.75" thickBot="1">
      <c r="A1" s="35" t="s">
        <v>240</v>
      </c>
      <c r="I1" s="35" t="s">
        <v>241</v>
      </c>
    </row>
    <row r="2" spans="1:9" s="7" customFormat="1">
      <c r="A2" s="20" t="str">
        <f>'Data Entry'!B5 &amp; " Pension Fund Status"</f>
        <v>Your Municipality Pension Fund Status</v>
      </c>
      <c r="F2" s="20"/>
      <c r="H2" s="17"/>
      <c r="I2" s="20" t="str">
        <f>'Data Entry'!B5 &amp; " Other Post-Employment Benefit (OPEB) Fund Status"</f>
        <v>Your Municipality Other Post-Employment Benefit (OPEB) Fund Status</v>
      </c>
    </row>
    <row r="22" spans="1:11" ht="15.75" thickBot="1"/>
    <row r="23" spans="1:11">
      <c r="A23" s="20" t="s">
        <v>161</v>
      </c>
      <c r="B23" s="7"/>
      <c r="C23" s="7"/>
      <c r="I23" s="20" t="s">
        <v>162</v>
      </c>
      <c r="J23" s="7"/>
      <c r="K23" s="7"/>
    </row>
    <row r="24" spans="1:11" s="9" customFormat="1" ht="12.75">
      <c r="A24" s="9" t="s">
        <v>139</v>
      </c>
      <c r="B24" s="21">
        <f>'Data Entry'!B129</f>
        <v>0</v>
      </c>
      <c r="I24" s="9" t="s">
        <v>139</v>
      </c>
      <c r="J24" s="21">
        <f>'Data Entry'!B138</f>
        <v>0</v>
      </c>
    </row>
    <row r="25" spans="1:11" s="9" customFormat="1" ht="12.75">
      <c r="A25" s="9" t="s">
        <v>140</v>
      </c>
      <c r="B25" s="21" t="e">
        <f>SUM('Data Entry'!J128:M128,'Data Entry'!B128)/SUM('Data Entry'!J127:M127,'Data Entry'!B127)</f>
        <v>#DIV/0!</v>
      </c>
      <c r="I25" s="9" t="s">
        <v>140</v>
      </c>
      <c r="J25" s="21" t="e">
        <f>SUM('Data Entry'!J137:M137,'Data Entry'!B137)/SUM('Data Entry'!J136:M136,'Data Entry'!B136)</f>
        <v>#DIV/0!</v>
      </c>
    </row>
    <row r="26" spans="1:11" s="9" customFormat="1" ht="12.75"/>
    <row r="27" spans="1:11" s="9" customFormat="1" ht="12.75">
      <c r="A27" s="9" t="s">
        <v>141</v>
      </c>
      <c r="C27" s="10">
        <f>'Data Entry'!B125</f>
        <v>200000</v>
      </c>
      <c r="I27" s="9" t="s">
        <v>142</v>
      </c>
      <c r="K27" s="10">
        <f>'Data Entry'!B134</f>
        <v>4900000</v>
      </c>
    </row>
    <row r="30" spans="1:11" s="19" customFormat="1">
      <c r="A30" s="19" t="s">
        <v>203</v>
      </c>
    </row>
    <row r="31" spans="1:11">
      <c r="A31" s="19" t="s">
        <v>244</v>
      </c>
    </row>
  </sheetData>
  <conditionalFormatting sqref="K27 C27">
    <cfRule type="cellIs" dxfId="1" priority="1" operator="lessThan">
      <formula>0</formula>
    </cfRule>
    <cfRule type="cellIs" dxfId="0" priority="2" operator="greater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L63"/>
  <sheetViews>
    <sheetView workbookViewId="0">
      <selection activeCell="B4" sqref="B4:L11"/>
    </sheetView>
  </sheetViews>
  <sheetFormatPr defaultRowHeight="15"/>
  <cols>
    <col min="1" max="1" width="2.140625" customWidth="1"/>
    <col min="2" max="2" width="31" style="19" customWidth="1"/>
    <col min="3" max="12" width="15.42578125" customWidth="1"/>
  </cols>
  <sheetData>
    <row r="1" spans="1:12" ht="15.75" thickBot="1"/>
    <row r="2" spans="1:12" s="7" customFormat="1">
      <c r="A2" s="20" t="str">
        <f>'Data Entry'!B5 &amp; "'s Budget Gap, 2001-2010"</f>
        <v>Your Municipality's Budget Gap, 2001-2010</v>
      </c>
    </row>
    <row r="3" spans="1:12">
      <c r="A3" s="9"/>
      <c r="B3" s="9"/>
      <c r="C3" s="9">
        <v>2001</v>
      </c>
      <c r="D3" s="9">
        <v>2002</v>
      </c>
      <c r="E3" s="9">
        <v>2003</v>
      </c>
      <c r="F3" s="9">
        <v>2004</v>
      </c>
      <c r="G3" s="9">
        <v>2005</v>
      </c>
      <c r="H3" s="9">
        <v>2006</v>
      </c>
      <c r="I3" s="9">
        <v>2007</v>
      </c>
      <c r="J3" s="9">
        <v>2008</v>
      </c>
      <c r="K3" s="9">
        <v>2009</v>
      </c>
      <c r="L3" s="9">
        <v>2010</v>
      </c>
    </row>
    <row r="4" spans="1:12">
      <c r="A4" s="9"/>
      <c r="B4" s="27" t="s">
        <v>147</v>
      </c>
      <c r="C4" s="38">
        <f>'Data Entry'!E36</f>
        <v>172691050</v>
      </c>
      <c r="D4" s="38">
        <f>'Data Entry'!F36</f>
        <v>175321860.5</v>
      </c>
      <c r="E4" s="38">
        <f>'Data Entry'!G36</f>
        <v>177998293.10499999</v>
      </c>
      <c r="F4" s="38">
        <f>'Data Entry'!H36</f>
        <v>180721227.39605001</v>
      </c>
      <c r="G4" s="38">
        <f>'Data Entry'!I36</f>
        <v>183491561.3296105</v>
      </c>
      <c r="H4" s="38">
        <f>'Data Entry'!J36</f>
        <v>186310211.6462706</v>
      </c>
      <c r="I4" s="38">
        <f>'Data Entry'!K36</f>
        <v>189178114.28905377</v>
      </c>
      <c r="J4" s="38">
        <f>'Data Entry'!L36</f>
        <v>192096224.83154702</v>
      </c>
      <c r="K4" s="38">
        <f>'Data Entry'!M36</f>
        <v>195065518.9160957</v>
      </c>
      <c r="L4" s="38">
        <f>'Data Entry'!B36</f>
        <v>173420000</v>
      </c>
    </row>
    <row r="5" spans="1:12">
      <c r="A5" s="37" t="s">
        <v>148</v>
      </c>
      <c r="B5" s="37" t="s">
        <v>149</v>
      </c>
      <c r="C5" s="39">
        <f>'Data Entry'!E60</f>
        <v>174360000</v>
      </c>
      <c r="D5" s="39">
        <f>'Data Entry'!F60</f>
        <v>177274690</v>
      </c>
      <c r="E5" s="39">
        <f>'Data Entry'!G60</f>
        <v>180245231.67000002</v>
      </c>
      <c r="F5" s="39">
        <f>'Data Entry'!H60</f>
        <v>183272813.31841001</v>
      </c>
      <c r="G5" s="39">
        <f>'Data Entry'!I60</f>
        <v>186358650.53921345</v>
      </c>
      <c r="H5" s="39">
        <f>'Data Entry'!J60</f>
        <v>189503986.87559491</v>
      </c>
      <c r="I5" s="39">
        <f>'Data Entry'!K60</f>
        <v>192710094.50046757</v>
      </c>
      <c r="J5" s="39">
        <f>'Data Entry'!L60</f>
        <v>195978274.91434637</v>
      </c>
      <c r="K5" s="39">
        <f>'Data Entry'!M60</f>
        <v>199309859.66102713</v>
      </c>
      <c r="L5" s="39">
        <f>'Data Entry'!B60</f>
        <v>190900000</v>
      </c>
    </row>
    <row r="6" spans="1:12" s="35" customFormat="1">
      <c r="A6" s="22"/>
      <c r="B6" s="22" t="s">
        <v>146</v>
      </c>
      <c r="C6" s="36">
        <f>C4-C5</f>
        <v>-1668950</v>
      </c>
      <c r="D6" s="36">
        <f t="shared" ref="D6:L6" si="0">D4-D5</f>
        <v>-1952829.5</v>
      </c>
      <c r="E6" s="36">
        <f t="shared" si="0"/>
        <v>-2246938.5650000274</v>
      </c>
      <c r="F6" s="36">
        <f t="shared" si="0"/>
        <v>-2551585.922360003</v>
      </c>
      <c r="G6" s="36">
        <f t="shared" si="0"/>
        <v>-2867089.209602952</v>
      </c>
      <c r="H6" s="36">
        <f t="shared" si="0"/>
        <v>-3193775.229324311</v>
      </c>
      <c r="I6" s="36">
        <f t="shared" si="0"/>
        <v>-3531980.2114138007</v>
      </c>
      <c r="J6" s="36">
        <f t="shared" si="0"/>
        <v>-3882050.0827993453</v>
      </c>
      <c r="K6" s="36">
        <f t="shared" si="0"/>
        <v>-4244340.7449314296</v>
      </c>
      <c r="L6" s="36">
        <f t="shared" si="0"/>
        <v>-17480000</v>
      </c>
    </row>
    <row r="7" spans="1:12">
      <c r="A7" s="9" t="s">
        <v>148</v>
      </c>
      <c r="B7" s="9" t="s">
        <v>150</v>
      </c>
      <c r="C7" s="10">
        <f>'Data Entry'!E125-'Data Entry'!D125</f>
        <v>-25000</v>
      </c>
      <c r="D7" s="10">
        <f>'Data Entry'!F125-'Data Entry'!E125</f>
        <v>93000</v>
      </c>
      <c r="E7" s="10">
        <f>'Data Entry'!G125-'Data Entry'!F125</f>
        <v>222000</v>
      </c>
      <c r="F7" s="10">
        <f>'Data Entry'!H125-'Data Entry'!G125</f>
        <v>243000</v>
      </c>
      <c r="G7" s="10">
        <f>'Data Entry'!I125-'Data Entry'!H125</f>
        <v>181000</v>
      </c>
      <c r="H7" s="10">
        <f>'Data Entry'!J125-'Data Entry'!I125</f>
        <v>-789000</v>
      </c>
      <c r="I7" s="10">
        <f>'Data Entry'!K125-'Data Entry'!J125</f>
        <v>-65000</v>
      </c>
      <c r="J7" s="10">
        <f>'Data Entry'!L125-'Data Entry'!K125</f>
        <v>-18000</v>
      </c>
      <c r="K7" s="10">
        <f>'Data Entry'!M125-'Data Entry'!L125</f>
        <v>-73000</v>
      </c>
      <c r="L7" s="10">
        <f>'Data Entry'!B125-'Data Entry'!M125</f>
        <v>231000</v>
      </c>
    </row>
    <row r="8" spans="1:12">
      <c r="A8" s="37" t="s">
        <v>148</v>
      </c>
      <c r="B8" s="37" t="s">
        <v>151</v>
      </c>
      <c r="C8" s="39">
        <f>'Data Entry'!E134-'Data Entry'!D134</f>
        <v>32000</v>
      </c>
      <c r="D8" s="39">
        <f>'Data Entry'!F134-'Data Entry'!E134</f>
        <v>106000</v>
      </c>
      <c r="E8" s="39">
        <f>'Data Entry'!G134-'Data Entry'!F134</f>
        <v>155000</v>
      </c>
      <c r="F8" s="39">
        <f>'Data Entry'!H134-'Data Entry'!G134</f>
        <v>7000</v>
      </c>
      <c r="G8" s="39">
        <f>'Data Entry'!I134-'Data Entry'!H134</f>
        <v>-50000</v>
      </c>
      <c r="H8" s="39">
        <f>'Data Entry'!J134-'Data Entry'!I134</f>
        <v>70000</v>
      </c>
      <c r="I8" s="39">
        <f>'Data Entry'!K134-'Data Entry'!J134</f>
        <v>4000</v>
      </c>
      <c r="J8" s="39">
        <f>'Data Entry'!L134-'Data Entry'!K134</f>
        <v>73000</v>
      </c>
      <c r="K8" s="39">
        <f>'Data Entry'!M134-'Data Entry'!L134</f>
        <v>53000</v>
      </c>
      <c r="L8" s="39">
        <f>'Data Entry'!B134-'Data Entry'!M134</f>
        <v>-50000</v>
      </c>
    </row>
    <row r="9" spans="1:12">
      <c r="A9" s="9"/>
      <c r="B9" s="22" t="s">
        <v>152</v>
      </c>
      <c r="C9" s="36">
        <f>C6-C7-C8</f>
        <v>-1675950</v>
      </c>
      <c r="D9" s="36">
        <f t="shared" ref="D9:L9" si="1">D6-D7-D8</f>
        <v>-2151829.5</v>
      </c>
      <c r="E9" s="36">
        <f t="shared" si="1"/>
        <v>-2623938.5650000274</v>
      </c>
      <c r="F9" s="36">
        <f t="shared" si="1"/>
        <v>-2801585.922360003</v>
      </c>
      <c r="G9" s="36">
        <f t="shared" si="1"/>
        <v>-2998089.209602952</v>
      </c>
      <c r="H9" s="36">
        <f t="shared" si="1"/>
        <v>-2474775.229324311</v>
      </c>
      <c r="I9" s="36">
        <f t="shared" si="1"/>
        <v>-3470980.2114138007</v>
      </c>
      <c r="J9" s="36">
        <f t="shared" si="1"/>
        <v>-3937050.0827993453</v>
      </c>
      <c r="K9" s="36">
        <f t="shared" si="1"/>
        <v>-4224340.7449314296</v>
      </c>
      <c r="L9" s="36">
        <f t="shared" si="1"/>
        <v>-17661000</v>
      </c>
    </row>
    <row r="10" spans="1:12" s="9" customFormat="1" ht="12.75">
      <c r="B10" s="22" t="s">
        <v>153</v>
      </c>
      <c r="C10" s="40">
        <f>C9/'Data Entry'!$B$8</f>
        <v>-16.759499999999999</v>
      </c>
      <c r="D10" s="40">
        <f>D9/'Data Entry'!$B$8</f>
        <v>-21.518294999999998</v>
      </c>
      <c r="E10" s="40">
        <f>E9/'Data Entry'!$B$8</f>
        <v>-26.239385650000273</v>
      </c>
      <c r="F10" s="40">
        <f>F9/'Data Entry'!$B$8</f>
        <v>-28.015859223600032</v>
      </c>
      <c r="G10" s="40">
        <f>G9/'Data Entry'!$B$8</f>
        <v>-29.980892096029521</v>
      </c>
      <c r="H10" s="40">
        <f>H9/'Data Entry'!$B$8</f>
        <v>-24.74775229324311</v>
      </c>
      <c r="I10" s="40">
        <f>I9/'Data Entry'!$B$8</f>
        <v>-34.709802114138007</v>
      </c>
      <c r="J10" s="40">
        <f>J9/'Data Entry'!$B$8</f>
        <v>-39.370500827993453</v>
      </c>
      <c r="K10" s="40">
        <f>K9/'Data Entry'!$B$8</f>
        <v>-42.243407449314297</v>
      </c>
      <c r="L10" s="40">
        <f>L9/'Data Entry'!$B$8</f>
        <v>-176.61</v>
      </c>
    </row>
    <row r="11" spans="1:12" s="9" customFormat="1" ht="12.75">
      <c r="B11" s="22" t="s">
        <v>169</v>
      </c>
      <c r="C11" s="21">
        <f>C9/'Budget Gap'!C4</f>
        <v>-9.7049036415031344E-3</v>
      </c>
      <c r="D11" s="21">
        <f>D9/'Budget Gap'!D4</f>
        <v>-1.2273594940546504E-2</v>
      </c>
      <c r="E11" s="21">
        <f>E9/'Budget Gap'!E4</f>
        <v>-1.474136925263763E-2</v>
      </c>
      <c r="F11" s="21">
        <f>F9/'Budget Gap'!F4</f>
        <v>-1.5502251521457056E-2</v>
      </c>
      <c r="G11" s="21">
        <f>G9/'Budget Gap'!G4</f>
        <v>-1.6339112207004489E-2</v>
      </c>
      <c r="H11" s="21">
        <f>H9/'Budget Gap'!H4</f>
        <v>-1.3283089571187489E-2</v>
      </c>
      <c r="I11" s="21">
        <f>I9/'Budget Gap'!I4</f>
        <v>-1.8347683739517211E-2</v>
      </c>
      <c r="J11" s="21">
        <f>J9/'Budget Gap'!J4</f>
        <v>-2.0495197582627262E-2</v>
      </c>
      <c r="K11" s="21">
        <f>K9/'Budget Gap'!K4</f>
        <v>-2.1656009572601408E-2</v>
      </c>
      <c r="L11" s="21">
        <f>L9/'Budget Gap'!L4</f>
        <v>-0.10183946488294314</v>
      </c>
    </row>
    <row r="12" spans="1:12" s="9" customFormat="1" ht="12.75">
      <c r="B12" s="22"/>
      <c r="C12" s="21"/>
      <c r="D12" s="21"/>
      <c r="E12" s="21"/>
      <c r="F12" s="21"/>
      <c r="G12" s="21"/>
      <c r="H12" s="21"/>
      <c r="I12" s="21"/>
      <c r="J12" s="21"/>
      <c r="K12" s="21"/>
      <c r="L12" s="21"/>
    </row>
    <row r="13" spans="1:12" s="9" customFormat="1" ht="12.75">
      <c r="B13" s="22"/>
      <c r="C13" s="21"/>
      <c r="D13" s="21"/>
      <c r="E13" s="21"/>
      <c r="F13" s="21"/>
      <c r="G13" s="21"/>
      <c r="H13" s="21"/>
      <c r="I13" s="21"/>
      <c r="J13" s="21"/>
      <c r="K13" s="21"/>
      <c r="L13" s="21"/>
    </row>
    <row r="14" spans="1:12" s="9" customFormat="1" ht="12.75">
      <c r="A14" s="22" t="s">
        <v>155</v>
      </c>
      <c r="C14" s="10">
        <f>SUM(C6:L6)</f>
        <v>-43619539.465431869</v>
      </c>
      <c r="D14" s="21"/>
      <c r="E14" s="21"/>
      <c r="F14" s="21"/>
      <c r="G14" s="21"/>
      <c r="H14" s="21"/>
      <c r="I14" s="21"/>
      <c r="J14" s="21"/>
      <c r="K14" s="21"/>
      <c r="L14" s="21"/>
    </row>
    <row r="15" spans="1:12" s="9" customFormat="1" ht="12.75">
      <c r="A15" s="22" t="s">
        <v>154</v>
      </c>
      <c r="C15" s="10">
        <f>SUM(C9:L9)</f>
        <v>-44019539.465431869</v>
      </c>
      <c r="D15" s="21"/>
      <c r="E15" s="21"/>
      <c r="F15" s="21"/>
      <c r="G15" s="21"/>
      <c r="H15" s="21"/>
      <c r="I15" s="21"/>
      <c r="J15" s="21"/>
      <c r="K15" s="21"/>
      <c r="L15" s="21"/>
    </row>
    <row r="16" spans="1:12" s="9" customFormat="1" ht="12.75">
      <c r="A16" s="22"/>
      <c r="C16" s="10"/>
      <c r="D16" s="21"/>
      <c r="E16" s="21"/>
      <c r="F16" s="21"/>
      <c r="G16" s="21"/>
      <c r="H16" s="21"/>
      <c r="I16" s="21"/>
      <c r="J16" s="21"/>
      <c r="K16" s="21"/>
      <c r="L16" s="21"/>
    </row>
    <row r="17" spans="1:7" ht="15.75" thickBot="1">
      <c r="A17" s="35" t="s">
        <v>242</v>
      </c>
      <c r="G17" s="35" t="s">
        <v>243</v>
      </c>
    </row>
    <row r="18" spans="1:7" s="7" customFormat="1">
      <c r="A18" s="20" t="str">
        <f>"Deficits and Budget Gaps in " &amp;'Data Entry'!B5&amp;", 2001-2010"</f>
        <v>Deficits and Budget Gaps in Your Municipality, 2001-2010</v>
      </c>
      <c r="G18" s="20" t="str">
        <f>"Per Capita Budget Gap in "&amp;'Data Entry'!B5&amp;" vs. Local &amp; State Government in Michigan, 2001-2009"</f>
        <v>Per Capita Budget Gap in Your Municipality vs. Local &amp; State Government in Michigan, 2001-2009</v>
      </c>
    </row>
    <row r="36" spans="1:1">
      <c r="A36" s="19" t="s">
        <v>203</v>
      </c>
    </row>
    <row r="37" spans="1:1">
      <c r="A37" s="19" t="s">
        <v>204</v>
      </c>
    </row>
    <row r="56" spans="2:11">
      <c r="C56">
        <v>2001</v>
      </c>
      <c r="D56">
        <v>2002</v>
      </c>
      <c r="E56">
        <v>2003</v>
      </c>
      <c r="F56">
        <v>2004</v>
      </c>
      <c r="G56">
        <v>2005</v>
      </c>
      <c r="H56">
        <v>2006</v>
      </c>
      <c r="I56">
        <v>2007</v>
      </c>
      <c r="J56">
        <v>2008</v>
      </c>
      <c r="K56">
        <v>2009</v>
      </c>
    </row>
    <row r="57" spans="2:11">
      <c r="B57" s="19" t="s">
        <v>163</v>
      </c>
      <c r="C57" s="38">
        <v>-1079.6143943505595</v>
      </c>
      <c r="D57" s="38">
        <v>-6314.2186496439172</v>
      </c>
      <c r="E57" s="38">
        <v>-6236.013737960755</v>
      </c>
      <c r="F57" s="38">
        <v>-3764.9159397066542</v>
      </c>
      <c r="G57" s="38">
        <v>-3755.263660229888</v>
      </c>
      <c r="H57" s="38">
        <v>3159.8452341234588</v>
      </c>
      <c r="I57" s="38">
        <v>244.82866666667542</v>
      </c>
      <c r="J57" s="38">
        <v>-5888.987000000001</v>
      </c>
      <c r="K57" s="38">
        <v>-8319.8859999999986</v>
      </c>
    </row>
    <row r="58" spans="2:11">
      <c r="B58" s="19" t="s">
        <v>164</v>
      </c>
      <c r="C58" s="10">
        <v>-1583.8865000000005</v>
      </c>
      <c r="D58" s="10">
        <v>-3661.3089999999938</v>
      </c>
      <c r="E58" s="10">
        <v>-3159.6755000000048</v>
      </c>
      <c r="F58" s="10">
        <v>-2450.9389999999985</v>
      </c>
      <c r="G58" s="10">
        <v>1361.1830000000045</v>
      </c>
      <c r="H58" s="10">
        <v>714.67200000000594</v>
      </c>
      <c r="I58" s="10">
        <v>1551.9200000000055</v>
      </c>
      <c r="J58" s="10">
        <v>-2660.0610000000015</v>
      </c>
      <c r="K58" s="10">
        <v>-1935.8099999999977</v>
      </c>
    </row>
    <row r="59" spans="2:11" s="19" customFormat="1">
      <c r="C59" s="10"/>
      <c r="D59" s="10"/>
      <c r="E59" s="10"/>
      <c r="F59" s="10"/>
      <c r="G59" s="10"/>
      <c r="H59" s="10"/>
      <c r="I59" s="10"/>
      <c r="J59" s="10"/>
      <c r="K59" s="10"/>
    </row>
    <row r="60" spans="2:11">
      <c r="B60" s="19" t="s">
        <v>165</v>
      </c>
      <c r="C60" s="45">
        <v>10006093</v>
      </c>
      <c r="D60" s="45">
        <v>10038767</v>
      </c>
      <c r="E60" s="45">
        <v>10066351</v>
      </c>
      <c r="F60" s="45">
        <v>10089305</v>
      </c>
      <c r="G60" s="45">
        <v>10090554</v>
      </c>
      <c r="H60" s="45">
        <v>10082438</v>
      </c>
      <c r="I60" s="45">
        <v>10050847</v>
      </c>
      <c r="J60" s="45">
        <v>10002486</v>
      </c>
      <c r="K60" s="45">
        <v>9969727</v>
      </c>
    </row>
    <row r="62" spans="2:11">
      <c r="B62" s="19" t="s">
        <v>166</v>
      </c>
      <c r="C62" s="10">
        <f>C57*1000000/C$60</f>
        <v>-107.89569858590755</v>
      </c>
      <c r="D62" s="10">
        <f t="shared" ref="D62:K62" si="2">D57*1000000/D$60</f>
        <v>-628.98348468929669</v>
      </c>
      <c r="E62" s="10">
        <f t="shared" si="2"/>
        <v>-619.49098913407204</v>
      </c>
      <c r="F62" s="10">
        <f t="shared" si="2"/>
        <v>-373.15909665796147</v>
      </c>
      <c r="G62" s="10">
        <f t="shared" si="2"/>
        <v>-372.15634148827587</v>
      </c>
      <c r="H62" s="10">
        <f t="shared" si="2"/>
        <v>313.40090899874207</v>
      </c>
      <c r="I62" s="10">
        <f t="shared" si="2"/>
        <v>24.3590084165718</v>
      </c>
      <c r="J62" s="10">
        <f t="shared" si="2"/>
        <v>-588.75233616922844</v>
      </c>
      <c r="K62" s="10">
        <f t="shared" si="2"/>
        <v>-834.51492703862391</v>
      </c>
    </row>
    <row r="63" spans="2:11">
      <c r="B63" s="19" t="s">
        <v>167</v>
      </c>
      <c r="C63" s="10">
        <f>C58*1000000/C$60</f>
        <v>-158.29220256097963</v>
      </c>
      <c r="D63" s="10">
        <f t="shared" ref="D63:K63" si="3">D58*1000000/D$60</f>
        <v>-364.71700159989706</v>
      </c>
      <c r="E63" s="10">
        <f t="shared" si="3"/>
        <v>-313.88489235076395</v>
      </c>
      <c r="F63" s="10">
        <f t="shared" si="3"/>
        <v>-242.92446308244212</v>
      </c>
      <c r="G63" s="10">
        <f t="shared" si="3"/>
        <v>134.8967559164744</v>
      </c>
      <c r="H63" s="10">
        <f t="shared" si="3"/>
        <v>70.882855912429704</v>
      </c>
      <c r="I63" s="10">
        <f t="shared" si="3"/>
        <v>154.40688730014548</v>
      </c>
      <c r="J63" s="10">
        <f t="shared" si="3"/>
        <v>-265.93998731915258</v>
      </c>
      <c r="K63" s="10">
        <f t="shared" si="3"/>
        <v>-194.16880723012753</v>
      </c>
    </row>
  </sheetData>
  <sheetProtection password="C8DD"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A-D</vt:lpstr>
      <vt:lpstr>Data Entry</vt:lpstr>
      <vt:lpstr>Revenues</vt:lpstr>
      <vt:lpstr>Expenditures</vt:lpstr>
      <vt:lpstr>Compensation</vt:lpstr>
      <vt:lpstr>Equity &amp; Reserves</vt:lpstr>
      <vt:lpstr>Debt</vt:lpstr>
      <vt:lpstr>Pensions and OPEB</vt:lpstr>
      <vt:lpstr>Budget Gap</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jhorwitz</dc:creator>
  <cp:lastModifiedBy>csallee</cp:lastModifiedBy>
  <cp:lastPrinted>2011-01-10T23:56:33Z</cp:lastPrinted>
  <dcterms:created xsi:type="dcterms:W3CDTF">2010-12-15T16:27:24Z</dcterms:created>
  <dcterms:modified xsi:type="dcterms:W3CDTF">2011-01-29T01:03:31Z</dcterms:modified>
</cp:coreProperties>
</file>