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hamlinj2\Desktop\2019 Data for the stats page\"/>
    </mc:Choice>
  </mc:AlternateContent>
  <xr:revisionPtr revIDLastSave="0" documentId="8_{3F5AE4CA-7A00-4A3D-93B3-DA426957EED6}" xr6:coauthVersionLast="45" xr6:coauthVersionMax="45" xr10:uidLastSave="{00000000-0000-0000-0000-000000000000}"/>
  <bookViews>
    <workbookView xWindow="-120" yWindow="-120" windowWidth="29040" windowHeight="15840" xr2:uid="{817A832B-6659-4CB5-BE84-77B61617DB7C}"/>
  </bookViews>
  <sheets>
    <sheet name="Table of Contents" sheetId="1" r:id="rId1"/>
    <sheet name="Summary and Definitions" sheetId="2" r:id="rId2"/>
    <sheet name="Outlets, Hours and SqFt" sheetId="3" r:id="rId3"/>
    <sheet name="Collections" sheetId="4" r:id="rId4"/>
    <sheet name="Services" sheetId="5" r:id="rId5"/>
    <sheet name="Programs" sheetId="6" r:id="rId6"/>
    <sheet name="Technology" sheetId="7" r:id="rId7"/>
    <sheet name="Millages" sheetId="8" r:id="rId8"/>
    <sheet name="Operating Income" sheetId="9" r:id="rId9"/>
    <sheet name="Operating Expenditure" sheetId="10" r:id="rId10"/>
    <sheet name="Capital Income &amp; Expenditure" sheetId="11" r:id="rId11"/>
    <sheet name="Nonresident Fees" sheetId="12" r:id="rId12"/>
    <sheet name="Staffing" sheetId="14" r:id="rId13"/>
    <sheet name="Director's Salary" sheetId="13" r:id="rId14"/>
    <sheet name="Other Employee Salary" sheetId="15"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96" i="4" l="1"/>
  <c r="F396" i="4"/>
  <c r="G396" i="4"/>
  <c r="H396" i="4"/>
  <c r="I396" i="4"/>
  <c r="J396" i="4"/>
  <c r="K396" i="4"/>
  <c r="L396" i="4"/>
  <c r="E397" i="4"/>
  <c r="F397" i="4"/>
  <c r="G397" i="4"/>
  <c r="H397" i="4"/>
  <c r="I397" i="4"/>
  <c r="J397" i="4"/>
  <c r="K397" i="4"/>
  <c r="L397" i="4"/>
  <c r="D397" i="4"/>
  <c r="D396" i="4"/>
  <c r="C395" i="4"/>
  <c r="P49" i="4"/>
  <c r="P43" i="4"/>
  <c r="P74" i="4"/>
  <c r="P66" i="4"/>
  <c r="P30" i="4"/>
  <c r="P46" i="4"/>
  <c r="P52" i="4"/>
  <c r="P79" i="4"/>
  <c r="P59" i="4"/>
  <c r="P36" i="4"/>
  <c r="P24" i="4"/>
  <c r="P123" i="4"/>
  <c r="P41" i="4"/>
  <c r="P12" i="4"/>
  <c r="P45" i="4"/>
  <c r="P27" i="4"/>
  <c r="P57" i="4"/>
  <c r="P83" i="4"/>
  <c r="P68" i="4"/>
  <c r="P156" i="4"/>
  <c r="P125" i="4"/>
  <c r="P141" i="4"/>
  <c r="P58" i="4"/>
  <c r="P107" i="4"/>
  <c r="P67" i="4"/>
  <c r="P109" i="4"/>
  <c r="P51" i="4"/>
  <c r="P53" i="4"/>
  <c r="P55" i="4"/>
  <c r="P13" i="4"/>
  <c r="P77" i="4"/>
  <c r="P138" i="4"/>
  <c r="P42" i="4"/>
  <c r="P119" i="4"/>
  <c r="P25" i="4"/>
  <c r="P35" i="4"/>
  <c r="P54" i="4"/>
  <c r="P64" i="4"/>
  <c r="P69" i="4"/>
  <c r="P203" i="4"/>
  <c r="P18" i="4"/>
  <c r="P144" i="4"/>
  <c r="P20" i="4"/>
  <c r="P44" i="4"/>
  <c r="P22" i="4"/>
  <c r="P97" i="4"/>
  <c r="P39" i="4"/>
  <c r="P21" i="4"/>
  <c r="P84" i="4"/>
  <c r="P65" i="4"/>
  <c r="P80" i="4"/>
  <c r="P180" i="4"/>
  <c r="P88" i="4"/>
  <c r="P121" i="4"/>
  <c r="P185" i="4"/>
  <c r="P169" i="4"/>
  <c r="P120" i="4"/>
  <c r="P5" i="4"/>
  <c r="P95" i="4"/>
  <c r="P89" i="4"/>
  <c r="P150" i="4"/>
  <c r="P131" i="4"/>
  <c r="P101" i="4"/>
  <c r="P40" i="4"/>
  <c r="P8" i="4"/>
  <c r="P137" i="4"/>
  <c r="P195" i="4"/>
  <c r="P111" i="4"/>
  <c r="P130" i="4"/>
  <c r="P70" i="4"/>
  <c r="P200" i="4"/>
  <c r="P189" i="4"/>
  <c r="P126" i="4"/>
  <c r="P26" i="4"/>
  <c r="P114" i="4"/>
  <c r="P145" i="4"/>
  <c r="P15" i="4"/>
  <c r="P206" i="4"/>
  <c r="P122" i="4"/>
  <c r="P190" i="4"/>
  <c r="P263" i="4"/>
  <c r="P184" i="4"/>
  <c r="P23" i="4"/>
  <c r="P129" i="4"/>
  <c r="P99" i="4"/>
  <c r="P115" i="4"/>
  <c r="P134" i="4"/>
  <c r="P73" i="4"/>
  <c r="P62" i="4"/>
  <c r="P173" i="4"/>
  <c r="P92" i="4"/>
  <c r="P128" i="4"/>
  <c r="P175" i="4"/>
  <c r="P37" i="4"/>
  <c r="P82" i="4"/>
  <c r="P118" i="4"/>
  <c r="P86" i="4"/>
  <c r="P188" i="4"/>
  <c r="P192" i="4"/>
  <c r="P116" i="4"/>
  <c r="P262" i="4"/>
  <c r="P90" i="4"/>
  <c r="P207" i="4"/>
  <c r="P81" i="4"/>
  <c r="P201" i="4"/>
  <c r="P155" i="4"/>
  <c r="P183" i="4"/>
  <c r="P61" i="4"/>
  <c r="P63" i="4"/>
  <c r="P172" i="4"/>
  <c r="P222" i="4"/>
  <c r="P110" i="4"/>
  <c r="P6" i="4"/>
  <c r="P143" i="4"/>
  <c r="P48" i="4"/>
  <c r="P124" i="4"/>
  <c r="P127" i="4"/>
  <c r="P11" i="4"/>
  <c r="P205" i="4"/>
  <c r="P98" i="4"/>
  <c r="P132" i="4"/>
  <c r="P93" i="4"/>
  <c r="P112" i="4"/>
  <c r="P147" i="4"/>
  <c r="P193" i="4"/>
  <c r="P165" i="4"/>
  <c r="P214" i="4"/>
  <c r="P103" i="4"/>
  <c r="P219" i="4"/>
  <c r="P235" i="4"/>
  <c r="P33" i="4"/>
  <c r="P140" i="4"/>
  <c r="P71" i="4"/>
  <c r="P209" i="4"/>
  <c r="P270" i="4"/>
  <c r="P14" i="4"/>
  <c r="P330" i="4"/>
  <c r="P87" i="4"/>
  <c r="P78" i="4"/>
  <c r="P253" i="4"/>
  <c r="P217" i="4"/>
  <c r="P171" i="4"/>
  <c r="P202" i="4"/>
  <c r="P148" i="4"/>
  <c r="P233" i="4"/>
  <c r="P100" i="4"/>
  <c r="P246" i="4"/>
  <c r="P170" i="4"/>
  <c r="P301" i="4"/>
  <c r="P220" i="4"/>
  <c r="P10" i="4"/>
  <c r="P94" i="4"/>
  <c r="P149" i="4"/>
  <c r="P273" i="4"/>
  <c r="P104" i="4"/>
  <c r="P187" i="4"/>
  <c r="P72" i="4"/>
  <c r="P212" i="4"/>
  <c r="P56" i="4"/>
  <c r="P60" i="4"/>
  <c r="P236" i="4"/>
  <c r="P161" i="4"/>
  <c r="P267" i="4"/>
  <c r="P47" i="4"/>
  <c r="P216" i="4"/>
  <c r="P38" i="4"/>
  <c r="P117" i="4"/>
  <c r="P166" i="4"/>
  <c r="P268" i="4"/>
  <c r="P177" i="4"/>
  <c r="P142" i="4"/>
  <c r="P259" i="4"/>
  <c r="P75" i="4"/>
  <c r="P303" i="4"/>
  <c r="P9" i="4"/>
  <c r="P197" i="4"/>
  <c r="P50" i="4"/>
  <c r="P179" i="4"/>
  <c r="P136" i="4"/>
  <c r="P174" i="4"/>
  <c r="P271" i="4"/>
  <c r="P113" i="4"/>
  <c r="P215" i="4"/>
  <c r="P139" i="4"/>
  <c r="P96" i="4"/>
  <c r="P91" i="4"/>
  <c r="P16" i="4"/>
  <c r="P228" i="4"/>
  <c r="P85" i="4"/>
  <c r="P29" i="4"/>
  <c r="P7" i="4"/>
  <c r="P198" i="4"/>
  <c r="P210" i="4"/>
  <c r="P276" i="4"/>
  <c r="P244" i="4"/>
  <c r="P261" i="4"/>
  <c r="P106" i="4"/>
  <c r="P105" i="4"/>
  <c r="P196" i="4"/>
  <c r="P160" i="4"/>
  <c r="P319" i="4"/>
  <c r="P221" i="4"/>
  <c r="P186" i="4"/>
  <c r="P302" i="4"/>
  <c r="P211" i="4"/>
  <c r="P159" i="4"/>
  <c r="P34" i="4"/>
  <c r="P280" i="4"/>
  <c r="P162" i="4"/>
  <c r="P249" i="4"/>
  <c r="P272" i="4"/>
  <c r="P226" i="4"/>
  <c r="P243" i="4"/>
  <c r="P283" i="4"/>
  <c r="P163" i="4"/>
  <c r="P76" i="4"/>
  <c r="P225" i="4"/>
  <c r="P135" i="4"/>
  <c r="P191" i="4"/>
  <c r="P238" i="4"/>
  <c r="P293" i="4"/>
  <c r="P4" i="4"/>
  <c r="P164" i="4"/>
  <c r="P290" i="4"/>
  <c r="P152" i="4"/>
  <c r="P157" i="4"/>
  <c r="P278" i="4"/>
  <c r="P102" i="4"/>
  <c r="P28" i="4"/>
  <c r="P341" i="4"/>
  <c r="P213" i="4"/>
  <c r="P133" i="4"/>
  <c r="P260" i="4"/>
  <c r="P237" i="4"/>
  <c r="P167" i="4"/>
  <c r="P281" i="4"/>
  <c r="P254" i="4"/>
  <c r="P224" i="4"/>
  <c r="P294" i="4"/>
  <c r="P176" i="4"/>
  <c r="P288" i="4"/>
  <c r="P181" i="4"/>
  <c r="P182" i="4"/>
  <c r="P257" i="4"/>
  <c r="P223" i="4"/>
  <c r="P108" i="4"/>
  <c r="P194" i="4"/>
  <c r="P292" i="4"/>
  <c r="P241" i="4"/>
  <c r="P239" i="4"/>
  <c r="P227" i="4"/>
  <c r="P146" i="4"/>
  <c r="P218" i="4"/>
  <c r="P199" i="4"/>
  <c r="P31" i="4"/>
  <c r="P252" i="4"/>
  <c r="P374" i="4"/>
  <c r="P168" i="4"/>
  <c r="P324" i="4"/>
  <c r="P291" i="4"/>
  <c r="P285" i="4"/>
  <c r="P333" i="4"/>
  <c r="P154" i="4"/>
  <c r="P299" i="4"/>
  <c r="P344" i="4"/>
  <c r="P248" i="4"/>
  <c r="P321" i="4"/>
  <c r="P158" i="4"/>
  <c r="P279" i="4"/>
  <c r="P282" i="4"/>
  <c r="P269" i="4"/>
  <c r="P314" i="4"/>
  <c r="P289" i="4"/>
  <c r="P286" i="4"/>
  <c r="P265" i="4"/>
  <c r="P307" i="4"/>
  <c r="P315" i="4"/>
  <c r="P153" i="4"/>
  <c r="P308" i="4"/>
  <c r="P340" i="4"/>
  <c r="P342" i="4"/>
  <c r="P369" i="4"/>
  <c r="P322" i="4"/>
  <c r="P240" i="4"/>
  <c r="P274" i="4"/>
  <c r="P305" i="4"/>
  <c r="P325" i="4"/>
  <c r="P348" i="4"/>
  <c r="P284" i="4"/>
  <c r="P306" i="4"/>
  <c r="P258" i="4"/>
  <c r="P328" i="4"/>
  <c r="P381" i="4"/>
  <c r="P316" i="4"/>
  <c r="P332" i="4"/>
  <c r="P232" i="4"/>
  <c r="P151" i="4"/>
  <c r="P298" i="4"/>
  <c r="P295" i="4"/>
  <c r="P287" i="4"/>
  <c r="P380" i="4"/>
  <c r="P255" i="4"/>
  <c r="P231" i="4"/>
  <c r="P318" i="4"/>
  <c r="P309" i="4"/>
  <c r="P277" i="4"/>
  <c r="P250" i="4"/>
  <c r="P335" i="4"/>
  <c r="P266" i="4"/>
  <c r="P310" i="4"/>
  <c r="P317" i="4"/>
  <c r="P229" i="4"/>
  <c r="P304" i="4"/>
  <c r="P327" i="4"/>
  <c r="P389" i="4"/>
  <c r="P234" i="4"/>
  <c r="P345" i="4"/>
  <c r="P313" i="4"/>
  <c r="P355" i="4"/>
  <c r="P386" i="4"/>
  <c r="P343" i="4"/>
  <c r="P353" i="4"/>
  <c r="P297" i="4"/>
  <c r="P296" i="4"/>
  <c r="P331" i="4"/>
  <c r="P323" i="4"/>
  <c r="P384" i="4"/>
  <c r="P337" i="4"/>
  <c r="P347" i="4"/>
  <c r="P326" i="4"/>
  <c r="P339" i="4"/>
  <c r="P336" i="4"/>
  <c r="P373" i="4"/>
  <c r="P392" i="4"/>
  <c r="P382" i="4"/>
  <c r="P346" i="4"/>
  <c r="P359" i="4"/>
  <c r="P375" i="4"/>
  <c r="P377" i="4"/>
  <c r="P370" i="4"/>
  <c r="P365" i="4"/>
  <c r="P390" i="4"/>
  <c r="P311" i="4"/>
  <c r="P350" i="4"/>
  <c r="P376" i="4"/>
  <c r="P391" i="4"/>
  <c r="P383" i="4"/>
  <c r="P385" i="4"/>
  <c r="P388" i="4"/>
  <c r="P393" i="4"/>
  <c r="P358" i="4"/>
  <c r="P354" i="4"/>
  <c r="P351" i="4"/>
  <c r="P372" i="4"/>
  <c r="P364" i="4"/>
  <c r="P371" i="4"/>
  <c r="P379" i="4"/>
  <c r="P366" i="4"/>
  <c r="P349" i="4"/>
  <c r="P352" i="4"/>
  <c r="P360" i="4"/>
  <c r="P362" i="4"/>
  <c r="P368" i="4"/>
  <c r="P357" i="4"/>
  <c r="P19" i="4"/>
  <c r="P17" i="4"/>
  <c r="P356" i="4"/>
  <c r="P378" i="4"/>
  <c r="P367" i="4"/>
  <c r="P361" i="4"/>
  <c r="P363" i="4"/>
  <c r="P387" i="4"/>
  <c r="P208" i="4"/>
  <c r="P178" i="4"/>
  <c r="P204" i="4"/>
  <c r="P245" i="4"/>
  <c r="P247" i="4"/>
  <c r="P300" i="4"/>
  <c r="P230" i="4"/>
  <c r="P275" i="4"/>
  <c r="P264" i="4"/>
  <c r="P251" i="4"/>
  <c r="P242" i="4"/>
  <c r="P256" i="4"/>
  <c r="P338" i="4"/>
  <c r="P320" i="4"/>
  <c r="P329" i="4"/>
  <c r="P334" i="4"/>
  <c r="P312" i="4"/>
  <c r="P32" i="4"/>
  <c r="N31" i="4"/>
  <c r="N60" i="4"/>
  <c r="N6" i="4"/>
  <c r="N11" i="4"/>
  <c r="N62" i="4"/>
  <c r="N34" i="4"/>
  <c r="N9" i="4"/>
  <c r="N10" i="4"/>
  <c r="N7" i="4"/>
  <c r="N50" i="4"/>
  <c r="N38" i="4"/>
  <c r="N14" i="4"/>
  <c r="N23" i="4"/>
  <c r="N61" i="4"/>
  <c r="N56" i="4"/>
  <c r="N63" i="4"/>
  <c r="N5" i="4"/>
  <c r="N29" i="4"/>
  <c r="N4" i="4"/>
  <c r="N33" i="4"/>
  <c r="N8" i="4"/>
  <c r="N65" i="4"/>
  <c r="N47" i="4"/>
  <c r="N20" i="4"/>
  <c r="N37" i="4"/>
  <c r="N16" i="4"/>
  <c r="N22" i="4"/>
  <c r="N35" i="4"/>
  <c r="N69" i="4"/>
  <c r="N64" i="4"/>
  <c r="N18" i="4"/>
  <c r="N26" i="4"/>
  <c r="N67" i="4"/>
  <c r="N13" i="4"/>
  <c r="N42" i="4"/>
  <c r="N48" i="4"/>
  <c r="N55" i="4"/>
  <c r="N21" i="4"/>
  <c r="N44" i="4"/>
  <c r="N51" i="4"/>
  <c r="N58" i="4"/>
  <c r="N25" i="4"/>
  <c r="N39" i="4"/>
  <c r="N32" i="4"/>
  <c r="N12" i="4"/>
  <c r="N15" i="4"/>
  <c r="N24" i="4"/>
  <c r="N27" i="4"/>
  <c r="N30" i="4"/>
  <c r="N36" i="4"/>
  <c r="N40" i="4"/>
  <c r="N41" i="4"/>
  <c r="N43" i="4"/>
  <c r="N45" i="4"/>
  <c r="N46" i="4"/>
  <c r="N49" i="4"/>
  <c r="N52" i="4"/>
  <c r="N53" i="4"/>
  <c r="N54" i="4"/>
  <c r="N57" i="4"/>
  <c r="N59" i="4"/>
  <c r="N66" i="4"/>
  <c r="N68" i="4"/>
  <c r="N70" i="4"/>
  <c r="N146" i="4"/>
  <c r="N85" i="4"/>
  <c r="N106" i="4"/>
  <c r="N102" i="4"/>
  <c r="N139" i="4"/>
  <c r="N148" i="4"/>
  <c r="N108" i="4"/>
  <c r="N87" i="4"/>
  <c r="N76" i="4"/>
  <c r="N105" i="4"/>
  <c r="N94" i="4"/>
  <c r="N136" i="4"/>
  <c r="N100" i="4"/>
  <c r="N140" i="4"/>
  <c r="N113" i="4"/>
  <c r="N127" i="4"/>
  <c r="N128" i="4"/>
  <c r="N145" i="4"/>
  <c r="N72" i="4"/>
  <c r="N71" i="4"/>
  <c r="N99" i="4"/>
  <c r="N132" i="4"/>
  <c r="N90" i="4"/>
  <c r="N143" i="4"/>
  <c r="N147" i="4"/>
  <c r="N130" i="4"/>
  <c r="N82" i="4"/>
  <c r="N84" i="4"/>
  <c r="N142" i="4"/>
  <c r="N75" i="4"/>
  <c r="N119" i="4"/>
  <c r="N112" i="4"/>
  <c r="N78" i="4"/>
  <c r="N96" i="4"/>
  <c r="N118" i="4"/>
  <c r="N86" i="4"/>
  <c r="N117" i="4"/>
  <c r="N110" i="4"/>
  <c r="N81" i="4"/>
  <c r="N80" i="4"/>
  <c r="N126" i="4"/>
  <c r="N93" i="4"/>
  <c r="N77" i="4"/>
  <c r="N98" i="4"/>
  <c r="N133" i="4"/>
  <c r="N111" i="4"/>
  <c r="N83" i="4"/>
  <c r="N129" i="4"/>
  <c r="N115" i="4"/>
  <c r="N135" i="4"/>
  <c r="N88" i="4"/>
  <c r="N131" i="4"/>
  <c r="N89" i="4"/>
  <c r="N134" i="4"/>
  <c r="N104" i="4"/>
  <c r="N103" i="4"/>
  <c r="N121" i="4"/>
  <c r="N138" i="4"/>
  <c r="N92" i="4"/>
  <c r="N73" i="4"/>
  <c r="N137" i="4"/>
  <c r="N144" i="4"/>
  <c r="N95" i="4"/>
  <c r="N124" i="4"/>
  <c r="N101" i="4"/>
  <c r="N125" i="4"/>
  <c r="N74" i="4"/>
  <c r="N116" i="4"/>
  <c r="N122" i="4"/>
  <c r="N91" i="4"/>
  <c r="N120" i="4"/>
  <c r="N79" i="4"/>
  <c r="N97" i="4"/>
  <c r="N107" i="4"/>
  <c r="N109" i="4"/>
  <c r="N114" i="4"/>
  <c r="N123" i="4"/>
  <c r="N141" i="4"/>
  <c r="N151" i="4"/>
  <c r="N194" i="4"/>
  <c r="N159" i="4"/>
  <c r="N182" i="4"/>
  <c r="N226" i="4"/>
  <c r="N167" i="4"/>
  <c r="N215" i="4"/>
  <c r="N214" i="4"/>
  <c r="N154" i="4"/>
  <c r="N168" i="4"/>
  <c r="N221" i="4"/>
  <c r="N187" i="4"/>
  <c r="N181" i="4"/>
  <c r="N183" i="4"/>
  <c r="N179" i="4"/>
  <c r="N196" i="4"/>
  <c r="N161" i="4"/>
  <c r="N158" i="4"/>
  <c r="N153" i="4"/>
  <c r="N198" i="4"/>
  <c r="N155" i="4"/>
  <c r="N175" i="4"/>
  <c r="N186" i="4"/>
  <c r="N191" i="4"/>
  <c r="N201" i="4"/>
  <c r="N152" i="4"/>
  <c r="N209" i="4"/>
  <c r="N149" i="4"/>
  <c r="N210" i="4"/>
  <c r="N166" i="4"/>
  <c r="N174" i="4"/>
  <c r="N217" i="4"/>
  <c r="N219" i="4"/>
  <c r="N160" i="4"/>
  <c r="N211" i="4"/>
  <c r="N157" i="4"/>
  <c r="N171" i="4"/>
  <c r="N205" i="4"/>
  <c r="N164" i="4"/>
  <c r="N202" i="4"/>
  <c r="N225" i="4"/>
  <c r="N165" i="4"/>
  <c r="N170" i="4"/>
  <c r="N224" i="4"/>
  <c r="N223" i="4"/>
  <c r="N150" i="4"/>
  <c r="N162" i="4"/>
  <c r="N192" i="4"/>
  <c r="N213" i="4"/>
  <c r="N218" i="4"/>
  <c r="N184" i="4"/>
  <c r="N190" i="4"/>
  <c r="N222" i="4"/>
  <c r="N163" i="4"/>
  <c r="N207" i="4"/>
  <c r="N176" i="4"/>
  <c r="N206" i="4"/>
  <c r="N216" i="4"/>
  <c r="N193" i="4"/>
  <c r="N197" i="4"/>
  <c r="N220" i="4"/>
  <c r="N180" i="4"/>
  <c r="N200" i="4"/>
  <c r="N188" i="4"/>
  <c r="N177" i="4"/>
  <c r="N212" i="4"/>
  <c r="N199" i="4"/>
  <c r="N195" i="4"/>
  <c r="N185" i="4"/>
  <c r="N203" i="4"/>
  <c r="N156" i="4"/>
  <c r="N169" i="4"/>
  <c r="N172" i="4"/>
  <c r="N173" i="4"/>
  <c r="N189" i="4"/>
  <c r="N234" i="4"/>
  <c r="N296" i="4"/>
  <c r="N258" i="4"/>
  <c r="N232" i="4"/>
  <c r="N295" i="4"/>
  <c r="N304" i="4"/>
  <c r="N240" i="4"/>
  <c r="N229" i="4"/>
  <c r="N266" i="4"/>
  <c r="N298" i="4"/>
  <c r="N305" i="4"/>
  <c r="N297" i="4"/>
  <c r="N287" i="4"/>
  <c r="N281" i="4"/>
  <c r="N250" i="4"/>
  <c r="N272" i="4"/>
  <c r="N277" i="4"/>
  <c r="N255" i="4"/>
  <c r="N283" i="4"/>
  <c r="N291" i="4"/>
  <c r="N293" i="4"/>
  <c r="N269" i="4"/>
  <c r="N274" i="4"/>
  <c r="N237" i="4"/>
  <c r="N290" i="4"/>
  <c r="N239" i="4"/>
  <c r="N252" i="4"/>
  <c r="N265" i="4"/>
  <c r="N289" i="4"/>
  <c r="N282" i="4"/>
  <c r="N231" i="4"/>
  <c r="N241" i="4"/>
  <c r="N246" i="4"/>
  <c r="N302" i="4"/>
  <c r="N303" i="4"/>
  <c r="N268" i="4"/>
  <c r="N294" i="4"/>
  <c r="N244" i="4"/>
  <c r="N288" i="4"/>
  <c r="N273" i="4"/>
  <c r="N254" i="4"/>
  <c r="N286" i="4"/>
  <c r="N299" i="4"/>
  <c r="N228" i="4"/>
  <c r="N285" i="4"/>
  <c r="N276" i="4"/>
  <c r="N267" i="4"/>
  <c r="N301" i="4"/>
  <c r="N261" i="4"/>
  <c r="N284" i="4"/>
  <c r="N227" i="4"/>
  <c r="N278" i="4"/>
  <c r="N263" i="4"/>
  <c r="N270" i="4"/>
  <c r="N243" i="4"/>
  <c r="N280" i="4"/>
  <c r="N236" i="4"/>
  <c r="N248" i="4"/>
  <c r="N292" i="4"/>
  <c r="N249" i="4"/>
  <c r="N262" i="4"/>
  <c r="N271" i="4"/>
  <c r="N235" i="4"/>
  <c r="N238" i="4"/>
  <c r="N253" i="4"/>
  <c r="N257" i="4"/>
  <c r="N259" i="4"/>
  <c r="N279" i="4"/>
  <c r="N233" i="4"/>
  <c r="N260" i="4"/>
  <c r="N336" i="4"/>
  <c r="N306" i="4"/>
  <c r="N335" i="4"/>
  <c r="N345" i="4"/>
  <c r="N310" i="4"/>
  <c r="N313" i="4"/>
  <c r="N348" i="4"/>
  <c r="N332" i="4"/>
  <c r="N339" i="4"/>
  <c r="N343" i="4"/>
  <c r="N316" i="4"/>
  <c r="N323" i="4"/>
  <c r="N318" i="4"/>
  <c r="N331" i="4"/>
  <c r="N326" i="4"/>
  <c r="N317" i="4"/>
  <c r="N325" i="4"/>
  <c r="N333" i="4"/>
  <c r="N321" i="4"/>
  <c r="N307" i="4"/>
  <c r="N314" i="4"/>
  <c r="N347" i="4"/>
  <c r="N341" i="4"/>
  <c r="N319" i="4"/>
  <c r="N311" i="4"/>
  <c r="N344" i="4"/>
  <c r="N324" i="4"/>
  <c r="N328" i="4"/>
  <c r="N342" i="4"/>
  <c r="N340" i="4"/>
  <c r="N315" i="4"/>
  <c r="N309" i="4"/>
  <c r="N308" i="4"/>
  <c r="N337" i="4"/>
  <c r="N346" i="4"/>
  <c r="N327" i="4"/>
  <c r="N322" i="4"/>
  <c r="N330" i="4"/>
  <c r="N368" i="4"/>
  <c r="N364" i="4"/>
  <c r="N352" i="4"/>
  <c r="N365" i="4"/>
  <c r="N391" i="4"/>
  <c r="N372" i="4"/>
  <c r="N366" i="4"/>
  <c r="N383" i="4"/>
  <c r="N393" i="4"/>
  <c r="N373" i="4"/>
  <c r="N384" i="4"/>
  <c r="N386" i="4"/>
  <c r="N360" i="4"/>
  <c r="N392" i="4"/>
  <c r="N375" i="4"/>
  <c r="N390" i="4"/>
  <c r="N388" i="4"/>
  <c r="N349" i="4"/>
  <c r="N362" i="4"/>
  <c r="N358" i="4"/>
  <c r="N351" i="4"/>
  <c r="N374" i="4"/>
  <c r="N389" i="4"/>
  <c r="N371" i="4"/>
  <c r="N353" i="4"/>
  <c r="N369" i="4"/>
  <c r="N381" i="4"/>
  <c r="N355" i="4"/>
  <c r="N354" i="4"/>
  <c r="N377" i="4"/>
  <c r="N382" i="4"/>
  <c r="N385" i="4"/>
  <c r="N380" i="4"/>
  <c r="N379" i="4"/>
  <c r="N350" i="4"/>
  <c r="N357" i="4"/>
  <c r="N359" i="4"/>
  <c r="N370" i="4"/>
  <c r="N376" i="4"/>
  <c r="N28" i="4"/>
  <c r="E396" i="15"/>
  <c r="F396" i="15"/>
  <c r="G396" i="15"/>
  <c r="H396" i="15"/>
  <c r="I396" i="15"/>
  <c r="J396" i="15"/>
  <c r="K396" i="15"/>
  <c r="L396" i="15"/>
  <c r="M396" i="15"/>
  <c r="N396" i="15"/>
  <c r="O396" i="15"/>
  <c r="P396" i="15"/>
  <c r="Q396" i="15"/>
  <c r="R396" i="15"/>
  <c r="S396" i="15"/>
  <c r="T396" i="15"/>
  <c r="U396" i="15"/>
  <c r="D396" i="15"/>
  <c r="C395" i="15"/>
  <c r="N396" i="4" l="1"/>
  <c r="P397" i="4"/>
  <c r="N397" i="4"/>
  <c r="F395" i="13" l="1"/>
  <c r="G395" i="13"/>
  <c r="E395" i="13"/>
  <c r="C395" i="13"/>
  <c r="E396" i="14"/>
  <c r="F396" i="14"/>
  <c r="G396" i="14"/>
  <c r="H396" i="14"/>
  <c r="I396" i="14"/>
  <c r="J396" i="14"/>
  <c r="K396" i="14"/>
  <c r="L396" i="14"/>
  <c r="M396" i="14"/>
  <c r="N396" i="14"/>
  <c r="O396" i="14"/>
  <c r="P396" i="14"/>
  <c r="Q396" i="14"/>
  <c r="R396" i="14"/>
  <c r="S396" i="14"/>
  <c r="E397" i="14"/>
  <c r="F397" i="14"/>
  <c r="G397" i="14"/>
  <c r="H397" i="14"/>
  <c r="I397" i="14"/>
  <c r="J397" i="14"/>
  <c r="K397" i="14"/>
  <c r="L397" i="14"/>
  <c r="M397" i="14"/>
  <c r="N397" i="14"/>
  <c r="O397" i="14"/>
  <c r="P397" i="14"/>
  <c r="Q397" i="14"/>
  <c r="R397" i="14"/>
  <c r="S397" i="14"/>
  <c r="D397" i="14"/>
  <c r="D396" i="14"/>
  <c r="C395" i="14"/>
  <c r="E396" i="11"/>
  <c r="F396" i="11"/>
  <c r="G396" i="11"/>
  <c r="H396" i="11"/>
  <c r="I396" i="11"/>
  <c r="J396" i="11"/>
  <c r="K396" i="11"/>
  <c r="L396" i="11"/>
  <c r="M396" i="11"/>
  <c r="N396" i="11"/>
  <c r="D396" i="11"/>
  <c r="C395" i="11"/>
  <c r="E396" i="10"/>
  <c r="F396" i="10"/>
  <c r="G396" i="10"/>
  <c r="H396" i="10"/>
  <c r="I396" i="10"/>
  <c r="J396" i="10"/>
  <c r="K396" i="10"/>
  <c r="L396" i="10"/>
  <c r="N396" i="10"/>
  <c r="D396" i="10"/>
  <c r="E395" i="10"/>
  <c r="F395" i="10"/>
  <c r="G395" i="10"/>
  <c r="H395" i="10"/>
  <c r="I395" i="10"/>
  <c r="J395" i="10"/>
  <c r="K395" i="10"/>
  <c r="L395" i="10"/>
  <c r="N395" i="10"/>
  <c r="D395" i="10"/>
  <c r="C394" i="10"/>
  <c r="H395" i="9"/>
  <c r="I395" i="9"/>
  <c r="J395" i="9"/>
  <c r="K395" i="9"/>
  <c r="L395" i="9"/>
  <c r="M395" i="9"/>
  <c r="N395" i="9"/>
  <c r="O395" i="9"/>
  <c r="P395" i="9"/>
  <c r="Q395" i="9"/>
  <c r="R395" i="9"/>
  <c r="S395" i="9"/>
  <c r="T395" i="9"/>
  <c r="U395" i="9"/>
  <c r="V395" i="9"/>
  <c r="W395" i="9"/>
  <c r="X395" i="9"/>
  <c r="Y395" i="9"/>
  <c r="Z395" i="9"/>
  <c r="AA395" i="9"/>
  <c r="H396" i="9"/>
  <c r="I396" i="9"/>
  <c r="J396" i="9"/>
  <c r="K396" i="9"/>
  <c r="L396" i="9"/>
  <c r="M396" i="9"/>
  <c r="N396" i="9"/>
  <c r="O396" i="9"/>
  <c r="P396" i="9"/>
  <c r="Q396" i="9"/>
  <c r="R396" i="9"/>
  <c r="S396" i="9"/>
  <c r="T396" i="9"/>
  <c r="U396" i="9"/>
  <c r="V396" i="9"/>
  <c r="W396" i="9"/>
  <c r="X396" i="9"/>
  <c r="Y396" i="9"/>
  <c r="Z396" i="9"/>
  <c r="AA396" i="9"/>
  <c r="G396" i="9"/>
  <c r="G395" i="9"/>
  <c r="H399" i="7" l="1"/>
  <c r="I399" i="7"/>
  <c r="H400" i="7"/>
  <c r="I400" i="7"/>
  <c r="H401" i="7"/>
  <c r="I401" i="7"/>
  <c r="H402" i="7"/>
  <c r="I402" i="7"/>
  <c r="H403" i="7"/>
  <c r="I403" i="7"/>
  <c r="H404" i="7"/>
  <c r="I404" i="7"/>
  <c r="D399" i="7"/>
  <c r="E399" i="7"/>
  <c r="F399" i="7"/>
  <c r="G399" i="7"/>
  <c r="D400" i="7"/>
  <c r="E400" i="7"/>
  <c r="F400" i="7"/>
  <c r="G400" i="7"/>
  <c r="D401" i="7"/>
  <c r="E401" i="7"/>
  <c r="F401" i="7"/>
  <c r="G401" i="7"/>
  <c r="D402" i="7"/>
  <c r="E402" i="7"/>
  <c r="F402" i="7"/>
  <c r="G402" i="7"/>
  <c r="D403" i="7"/>
  <c r="E403" i="7"/>
  <c r="F403" i="7"/>
  <c r="G403" i="7"/>
  <c r="D404" i="7"/>
  <c r="E404" i="7"/>
  <c r="F404" i="7"/>
  <c r="G404" i="7"/>
  <c r="C404" i="7"/>
  <c r="C403" i="7"/>
  <c r="C402" i="7"/>
  <c r="C401" i="7"/>
  <c r="C400" i="7"/>
  <c r="C399" i="7"/>
  <c r="E395" i="7"/>
  <c r="E396" i="7"/>
  <c r="D396" i="7"/>
  <c r="D395" i="7"/>
  <c r="C394" i="7"/>
  <c r="E395" i="6"/>
  <c r="F395" i="6"/>
  <c r="G395" i="6"/>
  <c r="H395" i="6"/>
  <c r="I395" i="6"/>
  <c r="J395" i="6"/>
  <c r="K395" i="6"/>
  <c r="L395" i="6"/>
  <c r="M395" i="6"/>
  <c r="N395" i="6"/>
  <c r="O395" i="6"/>
  <c r="P395" i="6"/>
  <c r="R395" i="6"/>
  <c r="S395" i="6"/>
  <c r="T395" i="6"/>
  <c r="U395" i="6"/>
  <c r="V395" i="6"/>
  <c r="W395" i="6"/>
  <c r="X395" i="6"/>
  <c r="Y395" i="6"/>
  <c r="Z395" i="6"/>
  <c r="AA395" i="6"/>
  <c r="AB395" i="6"/>
  <c r="AD395" i="6"/>
  <c r="E396" i="6"/>
  <c r="F396" i="6"/>
  <c r="G396" i="6"/>
  <c r="H396" i="6"/>
  <c r="I396" i="6"/>
  <c r="J396" i="6"/>
  <c r="K396" i="6"/>
  <c r="L396" i="6"/>
  <c r="M396" i="6"/>
  <c r="N396" i="6"/>
  <c r="O396" i="6"/>
  <c r="P396" i="6"/>
  <c r="R396" i="6"/>
  <c r="S396" i="6"/>
  <c r="T396" i="6"/>
  <c r="U396" i="6"/>
  <c r="V396" i="6"/>
  <c r="W396" i="6"/>
  <c r="X396" i="6"/>
  <c r="Y396" i="6"/>
  <c r="Z396" i="6"/>
  <c r="AA396" i="6"/>
  <c r="AB396" i="6"/>
  <c r="AC396" i="6"/>
  <c r="AD396" i="6"/>
  <c r="D396" i="6"/>
  <c r="D395" i="6"/>
  <c r="C394" i="6"/>
  <c r="E395" i="5"/>
  <c r="F395" i="5"/>
  <c r="G395" i="5"/>
  <c r="L395" i="5"/>
  <c r="M395" i="5"/>
  <c r="N395" i="5"/>
  <c r="O395" i="5"/>
  <c r="Q395" i="5"/>
  <c r="R395" i="5"/>
  <c r="T395" i="5"/>
  <c r="V395" i="5"/>
  <c r="W395" i="5"/>
  <c r="X395" i="5"/>
  <c r="Y395" i="5"/>
  <c r="AB395" i="5"/>
  <c r="AD395" i="5"/>
  <c r="AE395" i="5"/>
  <c r="AF395" i="5"/>
  <c r="AG395" i="5"/>
  <c r="E396" i="5"/>
  <c r="F396" i="5"/>
  <c r="G396" i="5"/>
  <c r="L396" i="5"/>
  <c r="M396" i="5"/>
  <c r="N396" i="5"/>
  <c r="O396" i="5"/>
  <c r="Q396" i="5"/>
  <c r="R396" i="5"/>
  <c r="T396" i="5"/>
  <c r="V396" i="5"/>
  <c r="W396" i="5"/>
  <c r="X396" i="5"/>
  <c r="Y396" i="5"/>
  <c r="AB396" i="5"/>
  <c r="AD396" i="5"/>
  <c r="AE396" i="5"/>
  <c r="AF396" i="5"/>
  <c r="AG396" i="5"/>
  <c r="D396" i="5"/>
  <c r="D395" i="5"/>
  <c r="C394" i="5"/>
  <c r="M393" i="10" l="1"/>
  <c r="M227" i="10"/>
  <c r="M149" i="10"/>
  <c r="M150" i="10"/>
  <c r="M151" i="10"/>
  <c r="M152" i="10"/>
  <c r="M4" i="10"/>
  <c r="M228" i="10"/>
  <c r="M306" i="10"/>
  <c r="M307" i="10"/>
  <c r="M153" i="10"/>
  <c r="M72" i="10"/>
  <c r="M308" i="10"/>
  <c r="M154" i="10"/>
  <c r="M349" i="10"/>
  <c r="M73" i="10"/>
  <c r="M5" i="10"/>
  <c r="M74" i="10"/>
  <c r="M229" i="10"/>
  <c r="M155" i="10"/>
  <c r="M230" i="10"/>
  <c r="M75" i="10"/>
  <c r="M309" i="10"/>
  <c r="M76" i="10"/>
  <c r="M156" i="10"/>
  <c r="M350" i="10"/>
  <c r="M6" i="10"/>
  <c r="M7" i="10"/>
  <c r="M310" i="10"/>
  <c r="M8" i="10"/>
  <c r="M231" i="10"/>
  <c r="M9" i="10"/>
  <c r="M10" i="10"/>
  <c r="M232" i="10"/>
  <c r="M157" i="10"/>
  <c r="M77" i="10"/>
  <c r="M11" i="10"/>
  <c r="M233" i="10"/>
  <c r="M158" i="10"/>
  <c r="M311" i="10"/>
  <c r="M159" i="10"/>
  <c r="M312" i="10"/>
  <c r="M234" i="10"/>
  <c r="M235" i="10"/>
  <c r="M78" i="10"/>
  <c r="M236" i="10"/>
  <c r="M313" i="10"/>
  <c r="M79" i="10"/>
  <c r="M160" i="10"/>
  <c r="M161" i="10"/>
  <c r="M12" i="10"/>
  <c r="M314" i="10"/>
  <c r="M162" i="10"/>
  <c r="M80" i="10"/>
  <c r="M351" i="10"/>
  <c r="M352" i="10"/>
  <c r="M163" i="10"/>
  <c r="M13" i="10"/>
  <c r="M164" i="10"/>
  <c r="M315" i="10"/>
  <c r="M165" i="10"/>
  <c r="M166" i="10"/>
  <c r="M14" i="10"/>
  <c r="M237" i="10"/>
  <c r="M167" i="10"/>
  <c r="M238" i="10"/>
  <c r="M15" i="10"/>
  <c r="M239" i="10"/>
  <c r="M240" i="10"/>
  <c r="M316" i="10"/>
  <c r="M353" i="10"/>
  <c r="M317" i="10"/>
  <c r="M16" i="10"/>
  <c r="M354" i="10"/>
  <c r="M81" i="10"/>
  <c r="M241" i="10"/>
  <c r="M17" i="10"/>
  <c r="M18" i="10"/>
  <c r="M318" i="10"/>
  <c r="M319" i="10"/>
  <c r="M242" i="10"/>
  <c r="M82" i="10"/>
  <c r="M168" i="10"/>
  <c r="M243" i="10"/>
  <c r="M320" i="10"/>
  <c r="M19" i="10"/>
  <c r="M20" i="10"/>
  <c r="M21" i="10"/>
  <c r="M22" i="10"/>
  <c r="M23" i="10"/>
  <c r="M355" i="10"/>
  <c r="M356" i="10"/>
  <c r="M83" i="10"/>
  <c r="M321" i="10"/>
  <c r="M169" i="10"/>
  <c r="M357" i="10"/>
  <c r="M244" i="10"/>
  <c r="M245" i="10"/>
  <c r="M322" i="10"/>
  <c r="M84" i="10"/>
  <c r="M170" i="10"/>
  <c r="M246" i="10"/>
  <c r="M85" i="10"/>
  <c r="M86" i="10"/>
  <c r="M323" i="10"/>
  <c r="M324" i="10"/>
  <c r="M247" i="10"/>
  <c r="M171" i="10"/>
  <c r="M172" i="10"/>
  <c r="M87" i="10"/>
  <c r="M24" i="10"/>
  <c r="M25" i="10"/>
  <c r="M248" i="10"/>
  <c r="M173" i="10"/>
  <c r="M26" i="10"/>
  <c r="M358" i="10"/>
  <c r="M249" i="10"/>
  <c r="M250" i="10"/>
  <c r="M27" i="10"/>
  <c r="M251" i="10"/>
  <c r="M252" i="10"/>
  <c r="M359" i="10"/>
  <c r="M88" i="10"/>
  <c r="M253" i="10"/>
  <c r="M174" i="10"/>
  <c r="M28" i="10"/>
  <c r="M254" i="10"/>
  <c r="M89" i="10"/>
  <c r="M255" i="10"/>
  <c r="M256" i="10"/>
  <c r="M175" i="10"/>
  <c r="M29" i="10"/>
  <c r="M325" i="10"/>
  <c r="M176" i="10"/>
  <c r="M360" i="10"/>
  <c r="M30" i="10"/>
  <c r="M326" i="10"/>
  <c r="M177" i="10"/>
  <c r="M257" i="10"/>
  <c r="M31" i="10"/>
  <c r="M32" i="10"/>
  <c r="M361" i="10"/>
  <c r="M258" i="10"/>
  <c r="M362" i="10"/>
  <c r="M178" i="10"/>
  <c r="M363" i="10"/>
  <c r="M327" i="10"/>
  <c r="M259" i="10"/>
  <c r="M260" i="10"/>
  <c r="M90" i="10"/>
  <c r="M261" i="10"/>
  <c r="M262" i="10"/>
  <c r="M263" i="10"/>
  <c r="M179" i="10"/>
  <c r="M91" i="10"/>
  <c r="M264" i="10"/>
  <c r="M265" i="10"/>
  <c r="M180" i="10"/>
  <c r="M364" i="10"/>
  <c r="M92" i="10"/>
  <c r="M266" i="10"/>
  <c r="M181" i="10"/>
  <c r="M267" i="10"/>
  <c r="M93" i="10"/>
  <c r="M33" i="10"/>
  <c r="M94" i="10"/>
  <c r="M268" i="10"/>
  <c r="M269" i="10"/>
  <c r="M95" i="10"/>
  <c r="M365" i="10"/>
  <c r="M96" i="10"/>
  <c r="M182" i="10"/>
  <c r="M34" i="10"/>
  <c r="M97" i="10"/>
  <c r="M270" i="10"/>
  <c r="M328" i="10"/>
  <c r="M98" i="10"/>
  <c r="M271" i="10"/>
  <c r="M99" i="10"/>
  <c r="M366" i="10"/>
  <c r="M100" i="10"/>
  <c r="M101" i="10"/>
  <c r="M102" i="10"/>
  <c r="M367" i="10"/>
  <c r="M272" i="10"/>
  <c r="M368" i="10"/>
  <c r="M183" i="10"/>
  <c r="M35" i="10"/>
  <c r="M103" i="10"/>
  <c r="M184" i="10"/>
  <c r="M369" i="10"/>
  <c r="M36" i="10"/>
  <c r="M37" i="10"/>
  <c r="M273" i="10"/>
  <c r="M38" i="10"/>
  <c r="M104" i="10"/>
  <c r="M105" i="10"/>
  <c r="M329" i="10"/>
  <c r="M185" i="10"/>
  <c r="M39" i="10"/>
  <c r="M330" i="10"/>
  <c r="M274" i="10"/>
  <c r="M40" i="10"/>
  <c r="M370" i="10"/>
  <c r="M186" i="10"/>
  <c r="M331" i="10"/>
  <c r="M106" i="10"/>
  <c r="M275" i="10"/>
  <c r="M41" i="10"/>
  <c r="M107" i="10"/>
  <c r="M276" i="10"/>
  <c r="M42" i="10"/>
  <c r="M108" i="10"/>
  <c r="M332" i="10"/>
  <c r="M109" i="10"/>
  <c r="M187" i="10"/>
  <c r="M277" i="10"/>
  <c r="M188" i="10"/>
  <c r="M43" i="10"/>
  <c r="M110" i="10"/>
  <c r="M111" i="10"/>
  <c r="M278" i="10"/>
  <c r="M333" i="10"/>
  <c r="M279" i="10"/>
  <c r="M112" i="10"/>
  <c r="M113" i="10"/>
  <c r="M44" i="10"/>
  <c r="M189" i="10"/>
  <c r="M114" i="10"/>
  <c r="M280" i="10"/>
  <c r="M45" i="10"/>
  <c r="M281" i="10"/>
  <c r="M282" i="10"/>
  <c r="M190" i="10"/>
  <c r="M283" i="10"/>
  <c r="M371" i="10"/>
  <c r="M191" i="10"/>
  <c r="M115" i="10"/>
  <c r="M116" i="10"/>
  <c r="M284" i="10"/>
  <c r="M46" i="10"/>
  <c r="M192" i="10"/>
  <c r="M372" i="10"/>
  <c r="M193" i="10"/>
  <c r="M117" i="10"/>
  <c r="M118" i="10"/>
  <c r="M285" i="10"/>
  <c r="M119" i="10"/>
  <c r="M47" i="10"/>
  <c r="M194" i="10"/>
  <c r="M334" i="10"/>
  <c r="M120" i="10"/>
  <c r="M373" i="10"/>
  <c r="M335" i="10"/>
  <c r="M286" i="10"/>
  <c r="M48" i="10"/>
  <c r="M336" i="10"/>
  <c r="M49" i="10"/>
  <c r="M195" i="10"/>
  <c r="M287" i="10"/>
  <c r="M288" i="10"/>
  <c r="M121" i="10"/>
  <c r="M289" i="10"/>
  <c r="M196" i="10"/>
  <c r="M122" i="10"/>
  <c r="M197" i="10"/>
  <c r="M290" i="10"/>
  <c r="M123" i="10"/>
  <c r="M50" i="10"/>
  <c r="M198" i="10"/>
  <c r="M337" i="10"/>
  <c r="M291" i="10"/>
  <c r="M124" i="10"/>
  <c r="M199" i="10"/>
  <c r="M125" i="10"/>
  <c r="M338" i="10"/>
  <c r="M374" i="10"/>
  <c r="M126" i="10"/>
  <c r="M375" i="10"/>
  <c r="M292" i="10"/>
  <c r="M293" i="10"/>
  <c r="M127" i="10"/>
  <c r="M294" i="10"/>
  <c r="M376" i="10"/>
  <c r="M128" i="10"/>
  <c r="M129" i="10"/>
  <c r="M200" i="10"/>
  <c r="M51" i="10"/>
  <c r="M130" i="10"/>
  <c r="M339" i="10"/>
  <c r="M201" i="10"/>
  <c r="M131" i="10"/>
  <c r="M52" i="10"/>
  <c r="M53" i="10"/>
  <c r="M202" i="10"/>
  <c r="M54" i="10"/>
  <c r="M55" i="10"/>
  <c r="M132" i="10"/>
  <c r="M203" i="10"/>
  <c r="M295" i="10"/>
  <c r="M377" i="10"/>
  <c r="M340" i="10"/>
  <c r="M341" i="10"/>
  <c r="M133" i="10"/>
  <c r="M342" i="10"/>
  <c r="M378" i="10"/>
  <c r="M204" i="10"/>
  <c r="M205" i="10"/>
  <c r="M379" i="10"/>
  <c r="M380" i="10"/>
  <c r="M134" i="10"/>
  <c r="M206" i="10"/>
  <c r="M296" i="10"/>
  <c r="M343" i="10"/>
  <c r="M207" i="10"/>
  <c r="M135" i="10"/>
  <c r="M208" i="10"/>
  <c r="M136" i="10"/>
  <c r="M56" i="10"/>
  <c r="M209" i="10"/>
  <c r="M137" i="10"/>
  <c r="M57" i="10"/>
  <c r="M210" i="10"/>
  <c r="M381" i="10"/>
  <c r="M138" i="10"/>
  <c r="M344" i="10"/>
  <c r="M58" i="10"/>
  <c r="M59" i="10"/>
  <c r="M211" i="10"/>
  <c r="M382" i="10"/>
  <c r="M345" i="10"/>
  <c r="M212" i="10"/>
  <c r="M213" i="10"/>
  <c r="M297" i="10"/>
  <c r="M298" i="10"/>
  <c r="M139" i="10"/>
  <c r="M383" i="10"/>
  <c r="M299" i="10"/>
  <c r="M60" i="10"/>
  <c r="M346" i="10"/>
  <c r="M214" i="10"/>
  <c r="M140" i="10"/>
  <c r="M215" i="10"/>
  <c r="M216" i="10"/>
  <c r="M384" i="10"/>
  <c r="M141" i="10"/>
  <c r="M300" i="10"/>
  <c r="M61" i="10"/>
  <c r="M217" i="10"/>
  <c r="M142" i="10"/>
  <c r="M218" i="10"/>
  <c r="M219" i="10"/>
  <c r="M301" i="10"/>
  <c r="M143" i="10"/>
  <c r="M302" i="10"/>
  <c r="M220" i="10"/>
  <c r="M62" i="10"/>
  <c r="M385" i="10"/>
  <c r="M386" i="10"/>
  <c r="M387" i="10"/>
  <c r="M144" i="10"/>
  <c r="M347" i="10"/>
  <c r="M63" i="10"/>
  <c r="M145" i="10"/>
  <c r="M303" i="10"/>
  <c r="M64" i="10"/>
  <c r="M65" i="10"/>
  <c r="M66" i="10"/>
  <c r="M146" i="10"/>
  <c r="M221" i="10"/>
  <c r="M388" i="10"/>
  <c r="M389" i="10"/>
  <c r="M67" i="10"/>
  <c r="M147" i="10"/>
  <c r="M304" i="10"/>
  <c r="M390" i="10"/>
  <c r="M222" i="10"/>
  <c r="M223" i="10"/>
  <c r="M68" i="10"/>
  <c r="M224" i="10"/>
  <c r="M225" i="10"/>
  <c r="M348" i="10"/>
  <c r="M148" i="10"/>
  <c r="M226" i="10"/>
  <c r="M69" i="10"/>
  <c r="M391" i="10"/>
  <c r="M392" i="10"/>
  <c r="M305" i="10"/>
  <c r="M70" i="10"/>
  <c r="M71" i="10"/>
  <c r="AB227" i="9"/>
  <c r="AB149" i="9"/>
  <c r="AB150" i="9"/>
  <c r="AB151" i="9"/>
  <c r="AB152" i="9"/>
  <c r="AB4" i="9"/>
  <c r="AB228" i="9"/>
  <c r="AB306" i="9"/>
  <c r="AB307" i="9"/>
  <c r="AB153" i="9"/>
  <c r="AB72" i="9"/>
  <c r="AB308" i="9"/>
  <c r="AB154" i="9"/>
  <c r="AB349" i="9"/>
  <c r="AB73" i="9"/>
  <c r="AB5" i="9"/>
  <c r="AB74" i="9"/>
  <c r="AB229" i="9"/>
  <c r="AB155" i="9"/>
  <c r="AB230" i="9"/>
  <c r="AB75" i="9"/>
  <c r="AB309" i="9"/>
  <c r="AB76" i="9"/>
  <c r="AB156" i="9"/>
  <c r="AB350" i="9"/>
  <c r="AB6" i="9"/>
  <c r="AB7" i="9"/>
  <c r="AB310" i="9"/>
  <c r="AB8" i="9"/>
  <c r="AB231" i="9"/>
  <c r="AB9" i="9"/>
  <c r="AB10" i="9"/>
  <c r="AB232" i="9"/>
  <c r="AB157" i="9"/>
  <c r="AB77" i="9"/>
  <c r="AB11" i="9"/>
  <c r="AB233" i="9"/>
  <c r="AB158" i="9"/>
  <c r="AB311" i="9"/>
  <c r="AB159" i="9"/>
  <c r="AB312" i="9"/>
  <c r="AB234" i="9"/>
  <c r="AB235" i="9"/>
  <c r="AB78" i="9"/>
  <c r="AB236" i="9"/>
  <c r="AB313" i="9"/>
  <c r="AB79" i="9"/>
  <c r="AB160" i="9"/>
  <c r="AB161" i="9"/>
  <c r="AB12" i="9"/>
  <c r="AB314" i="9"/>
  <c r="AB162" i="9"/>
  <c r="AB80" i="9"/>
  <c r="AB351" i="9"/>
  <c r="AB352" i="9"/>
  <c r="AB163" i="9"/>
  <c r="AB13" i="9"/>
  <c r="AB164" i="9"/>
  <c r="AB315" i="9"/>
  <c r="AB165" i="9"/>
  <c r="AB166" i="9"/>
  <c r="AB14" i="9"/>
  <c r="AB237" i="9"/>
  <c r="AB167" i="9"/>
  <c r="AB238" i="9"/>
  <c r="AB15" i="9"/>
  <c r="AB239" i="9"/>
  <c r="AB240" i="9"/>
  <c r="AB316" i="9"/>
  <c r="AB353" i="9"/>
  <c r="AB317" i="9"/>
  <c r="AB16" i="9"/>
  <c r="AB354" i="9"/>
  <c r="AB81" i="9"/>
  <c r="AB241" i="9"/>
  <c r="AB17" i="9"/>
  <c r="AB18" i="9"/>
  <c r="AB318" i="9"/>
  <c r="AB319" i="9"/>
  <c r="AB242" i="9"/>
  <c r="AB82" i="9"/>
  <c r="AB168" i="9"/>
  <c r="AB243" i="9"/>
  <c r="AB320" i="9"/>
  <c r="AB19" i="9"/>
  <c r="AB20" i="9"/>
  <c r="AB21" i="9"/>
  <c r="AB22" i="9"/>
  <c r="AB23" i="9"/>
  <c r="AB355" i="9"/>
  <c r="AB356" i="9"/>
  <c r="AB83" i="9"/>
  <c r="AB321" i="9"/>
  <c r="AB169" i="9"/>
  <c r="AB357" i="9"/>
  <c r="AB244" i="9"/>
  <c r="AB245" i="9"/>
  <c r="AB322" i="9"/>
  <c r="AB84" i="9"/>
  <c r="AB170" i="9"/>
  <c r="AB246" i="9"/>
  <c r="AB85" i="9"/>
  <c r="AB86" i="9"/>
  <c r="AB323" i="9"/>
  <c r="AB324" i="9"/>
  <c r="AB247" i="9"/>
  <c r="AB171" i="9"/>
  <c r="AB172" i="9"/>
  <c r="AB87" i="9"/>
  <c r="AB24" i="9"/>
  <c r="AB25" i="9"/>
  <c r="AB248" i="9"/>
  <c r="AB173" i="9"/>
  <c r="AB26" i="9"/>
  <c r="AB358" i="9"/>
  <c r="AB249" i="9"/>
  <c r="AB250" i="9"/>
  <c r="AB27" i="9"/>
  <c r="AB251" i="9"/>
  <c r="AB252" i="9"/>
  <c r="AB359" i="9"/>
  <c r="AB88" i="9"/>
  <c r="AB253" i="9"/>
  <c r="AB174" i="9"/>
  <c r="AB28" i="9"/>
  <c r="AB254" i="9"/>
  <c r="AB89" i="9"/>
  <c r="AB255" i="9"/>
  <c r="AB256" i="9"/>
  <c r="AB175" i="9"/>
  <c r="AB29" i="9"/>
  <c r="AB325" i="9"/>
  <c r="AB176" i="9"/>
  <c r="AB360" i="9"/>
  <c r="AB30" i="9"/>
  <c r="AB326" i="9"/>
  <c r="AB177" i="9"/>
  <c r="AB257" i="9"/>
  <c r="AB31" i="9"/>
  <c r="AB32" i="9"/>
  <c r="AB361" i="9"/>
  <c r="AB258" i="9"/>
  <c r="AB362" i="9"/>
  <c r="AB178" i="9"/>
  <c r="AB363" i="9"/>
  <c r="AB327" i="9"/>
  <c r="AB259" i="9"/>
  <c r="AB260" i="9"/>
  <c r="AB90" i="9"/>
  <c r="AB261" i="9"/>
  <c r="AB262" i="9"/>
  <c r="AB263" i="9"/>
  <c r="AB179" i="9"/>
  <c r="AB91" i="9"/>
  <c r="AB264" i="9"/>
  <c r="AB265" i="9"/>
  <c r="AB180" i="9"/>
  <c r="AB364" i="9"/>
  <c r="AB92" i="9"/>
  <c r="AB266" i="9"/>
  <c r="AB181" i="9"/>
  <c r="AB267" i="9"/>
  <c r="AB93" i="9"/>
  <c r="AB33" i="9"/>
  <c r="AB94" i="9"/>
  <c r="AB268" i="9"/>
  <c r="AB269" i="9"/>
  <c r="AB95" i="9"/>
  <c r="AB365" i="9"/>
  <c r="AB96" i="9"/>
  <c r="AB182" i="9"/>
  <c r="AB34" i="9"/>
  <c r="AB97" i="9"/>
  <c r="AB270" i="9"/>
  <c r="AB328" i="9"/>
  <c r="AB98" i="9"/>
  <c r="AB271" i="9"/>
  <c r="AB99" i="9"/>
  <c r="AB366" i="9"/>
  <c r="AB100" i="9"/>
  <c r="AB101" i="9"/>
  <c r="AB102" i="9"/>
  <c r="AB367" i="9"/>
  <c r="AB272" i="9"/>
  <c r="AB368" i="9"/>
  <c r="AB183" i="9"/>
  <c r="AB35" i="9"/>
  <c r="AB103" i="9"/>
  <c r="AB184" i="9"/>
  <c r="AB369" i="9"/>
  <c r="AB36" i="9"/>
  <c r="AB37" i="9"/>
  <c r="AB273" i="9"/>
  <c r="AB38" i="9"/>
  <c r="AB104" i="9"/>
  <c r="AB105" i="9"/>
  <c r="AB329" i="9"/>
  <c r="AB185" i="9"/>
  <c r="AB39" i="9"/>
  <c r="AB330" i="9"/>
  <c r="AB274" i="9"/>
  <c r="AB40" i="9"/>
  <c r="AB370" i="9"/>
  <c r="AB186" i="9"/>
  <c r="AB331" i="9"/>
  <c r="AB106" i="9"/>
  <c r="AB275" i="9"/>
  <c r="AB41" i="9"/>
  <c r="AB107" i="9"/>
  <c r="AB276" i="9"/>
  <c r="AB42" i="9"/>
  <c r="AB108" i="9"/>
  <c r="AB332" i="9"/>
  <c r="AB109" i="9"/>
  <c r="AB187" i="9"/>
  <c r="AB277" i="9"/>
  <c r="AB188" i="9"/>
  <c r="AB43" i="9"/>
  <c r="AB110" i="9"/>
  <c r="AB111" i="9"/>
  <c r="AB278" i="9"/>
  <c r="AB333" i="9"/>
  <c r="AB279" i="9"/>
  <c r="AB112" i="9"/>
  <c r="AB113" i="9"/>
  <c r="AB44" i="9"/>
  <c r="AB189" i="9"/>
  <c r="AB114" i="9"/>
  <c r="AB280" i="9"/>
  <c r="AB45" i="9"/>
  <c r="AB281" i="9"/>
  <c r="AB282" i="9"/>
  <c r="AB190" i="9"/>
  <c r="AB283" i="9"/>
  <c r="AB371" i="9"/>
  <c r="AB191" i="9"/>
  <c r="AB115" i="9"/>
  <c r="AB116" i="9"/>
  <c r="AB284" i="9"/>
  <c r="AB46" i="9"/>
  <c r="AB192" i="9"/>
  <c r="AB372" i="9"/>
  <c r="AB193" i="9"/>
  <c r="AB117" i="9"/>
  <c r="AB118" i="9"/>
  <c r="AB285" i="9"/>
  <c r="AB119" i="9"/>
  <c r="AB47" i="9"/>
  <c r="AB194" i="9"/>
  <c r="AB334" i="9"/>
  <c r="AB120" i="9"/>
  <c r="AB373" i="9"/>
  <c r="AB335" i="9"/>
  <c r="AB286" i="9"/>
  <c r="AB48" i="9"/>
  <c r="AB336" i="9"/>
  <c r="AB49" i="9"/>
  <c r="AB195" i="9"/>
  <c r="AB287" i="9"/>
  <c r="AB288" i="9"/>
  <c r="AB121" i="9"/>
  <c r="AB289" i="9"/>
  <c r="AB196" i="9"/>
  <c r="AB122" i="9"/>
  <c r="AB197" i="9"/>
  <c r="AB290" i="9"/>
  <c r="AB123" i="9"/>
  <c r="AB50" i="9"/>
  <c r="AB198" i="9"/>
  <c r="AB337" i="9"/>
  <c r="AB291" i="9"/>
  <c r="AB124" i="9"/>
  <c r="AB199" i="9"/>
  <c r="AB125" i="9"/>
  <c r="AB338" i="9"/>
  <c r="AB374" i="9"/>
  <c r="AB126" i="9"/>
  <c r="AB375" i="9"/>
  <c r="AB292" i="9"/>
  <c r="AB293" i="9"/>
  <c r="AB127" i="9"/>
  <c r="AB294" i="9"/>
  <c r="AB376" i="9"/>
  <c r="AB128" i="9"/>
  <c r="AB129" i="9"/>
  <c r="AB200" i="9"/>
  <c r="AB51" i="9"/>
  <c r="AB130" i="9"/>
  <c r="AB339" i="9"/>
  <c r="AB201" i="9"/>
  <c r="AB131" i="9"/>
  <c r="AB52" i="9"/>
  <c r="AB53" i="9"/>
  <c r="AB202" i="9"/>
  <c r="AB54" i="9"/>
  <c r="AB55" i="9"/>
  <c r="AB132" i="9"/>
  <c r="AB203" i="9"/>
  <c r="AB295" i="9"/>
  <c r="AB377" i="9"/>
  <c r="AB340" i="9"/>
  <c r="AB341" i="9"/>
  <c r="AB133" i="9"/>
  <c r="AB342" i="9"/>
  <c r="AB378" i="9"/>
  <c r="AB204" i="9"/>
  <c r="AB205" i="9"/>
  <c r="AB379" i="9"/>
  <c r="AB380" i="9"/>
  <c r="AB134" i="9"/>
  <c r="AB206" i="9"/>
  <c r="AB296" i="9"/>
  <c r="AB343" i="9"/>
  <c r="AB207" i="9"/>
  <c r="AB135" i="9"/>
  <c r="AB208" i="9"/>
  <c r="AB136" i="9"/>
  <c r="AB56" i="9"/>
  <c r="AB209" i="9"/>
  <c r="AB137" i="9"/>
  <c r="AB57" i="9"/>
  <c r="AB210" i="9"/>
  <c r="AB381" i="9"/>
  <c r="AB138" i="9"/>
  <c r="AB344" i="9"/>
  <c r="AB58" i="9"/>
  <c r="AB59" i="9"/>
  <c r="AB211" i="9"/>
  <c r="AB382" i="9"/>
  <c r="AB345" i="9"/>
  <c r="AB212" i="9"/>
  <c r="AB213" i="9"/>
  <c r="AB297" i="9"/>
  <c r="AB298" i="9"/>
  <c r="AB139" i="9"/>
  <c r="AB383" i="9"/>
  <c r="AB299" i="9"/>
  <c r="AB60" i="9"/>
  <c r="AB346" i="9"/>
  <c r="AB214" i="9"/>
  <c r="AB140" i="9"/>
  <c r="AB215" i="9"/>
  <c r="AB216" i="9"/>
  <c r="AB384" i="9"/>
  <c r="AB141" i="9"/>
  <c r="AB300" i="9"/>
  <c r="AB61" i="9"/>
  <c r="AB217" i="9"/>
  <c r="AB142" i="9"/>
  <c r="AB218" i="9"/>
  <c r="AB219" i="9"/>
  <c r="AB301" i="9"/>
  <c r="AB143" i="9"/>
  <c r="AB302" i="9"/>
  <c r="AB220" i="9"/>
  <c r="AB62" i="9"/>
  <c r="AB385" i="9"/>
  <c r="AB386" i="9"/>
  <c r="AB387" i="9"/>
  <c r="AB144" i="9"/>
  <c r="AB347" i="9"/>
  <c r="AB63" i="9"/>
  <c r="AB145" i="9"/>
  <c r="AB303" i="9"/>
  <c r="AB64" i="9"/>
  <c r="AB65" i="9"/>
  <c r="AB66" i="9"/>
  <c r="AB146" i="9"/>
  <c r="AB221" i="9"/>
  <c r="AB388" i="9"/>
  <c r="AB389" i="9"/>
  <c r="AB67" i="9"/>
  <c r="AB147" i="9"/>
  <c r="AB304" i="9"/>
  <c r="AB390" i="9"/>
  <c r="AB222" i="9"/>
  <c r="AB223" i="9"/>
  <c r="AB68" i="9"/>
  <c r="AB224" i="9"/>
  <c r="AB225" i="9"/>
  <c r="AB348" i="9"/>
  <c r="AB148" i="9"/>
  <c r="AB226" i="9"/>
  <c r="AB69" i="9"/>
  <c r="AB391" i="9"/>
  <c r="AB392" i="9"/>
  <c r="AB305" i="9"/>
  <c r="AB70" i="9"/>
  <c r="AB393" i="9"/>
  <c r="AB71" i="9"/>
  <c r="M396" i="10" l="1"/>
  <c r="AB396" i="9"/>
  <c r="P5"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223" i="5"/>
  <c r="P224" i="5"/>
  <c r="P225" i="5"/>
  <c r="P226" i="5"/>
  <c r="P227" i="5"/>
  <c r="P228" i="5"/>
  <c r="P229" i="5"/>
  <c r="P230" i="5"/>
  <c r="P231" i="5"/>
  <c r="P232" i="5"/>
  <c r="P233" i="5"/>
  <c r="P234" i="5"/>
  <c r="P235" i="5"/>
  <c r="P236" i="5"/>
  <c r="P237" i="5"/>
  <c r="P238" i="5"/>
  <c r="P239" i="5"/>
  <c r="P240" i="5"/>
  <c r="P241" i="5"/>
  <c r="P242" i="5"/>
  <c r="P243" i="5"/>
  <c r="P244" i="5"/>
  <c r="P245" i="5"/>
  <c r="P246" i="5"/>
  <c r="P247" i="5"/>
  <c r="P248" i="5"/>
  <c r="P249" i="5"/>
  <c r="P250" i="5"/>
  <c r="P251" i="5"/>
  <c r="P252" i="5"/>
  <c r="P253" i="5"/>
  <c r="P254" i="5"/>
  <c r="P255" i="5"/>
  <c r="P256" i="5"/>
  <c r="P257" i="5"/>
  <c r="P258" i="5"/>
  <c r="P259" i="5"/>
  <c r="P260" i="5"/>
  <c r="P261" i="5"/>
  <c r="P262" i="5"/>
  <c r="P263" i="5"/>
  <c r="P264" i="5"/>
  <c r="P265" i="5"/>
  <c r="P266" i="5"/>
  <c r="P267" i="5"/>
  <c r="P268" i="5"/>
  <c r="P269" i="5"/>
  <c r="P270" i="5"/>
  <c r="P271" i="5"/>
  <c r="P272" i="5"/>
  <c r="P273" i="5"/>
  <c r="P274" i="5"/>
  <c r="P275" i="5"/>
  <c r="P276" i="5"/>
  <c r="P277" i="5"/>
  <c r="P278" i="5"/>
  <c r="P279" i="5"/>
  <c r="P280" i="5"/>
  <c r="P281" i="5"/>
  <c r="P282" i="5"/>
  <c r="P283" i="5"/>
  <c r="P284" i="5"/>
  <c r="P285" i="5"/>
  <c r="P286" i="5"/>
  <c r="P287" i="5"/>
  <c r="P288" i="5"/>
  <c r="P289" i="5"/>
  <c r="P290" i="5"/>
  <c r="P291" i="5"/>
  <c r="P292" i="5"/>
  <c r="P293" i="5"/>
  <c r="P294" i="5"/>
  <c r="P295" i="5"/>
  <c r="P296" i="5"/>
  <c r="P297" i="5"/>
  <c r="P298" i="5"/>
  <c r="P299" i="5"/>
  <c r="P300" i="5"/>
  <c r="P301" i="5"/>
  <c r="P302" i="5"/>
  <c r="P303" i="5"/>
  <c r="P304" i="5"/>
  <c r="P305" i="5"/>
  <c r="P306" i="5"/>
  <c r="P307" i="5"/>
  <c r="P308" i="5"/>
  <c r="P309" i="5"/>
  <c r="P310" i="5"/>
  <c r="P311" i="5"/>
  <c r="P312" i="5"/>
  <c r="P313" i="5"/>
  <c r="P314" i="5"/>
  <c r="P315" i="5"/>
  <c r="P316" i="5"/>
  <c r="P317" i="5"/>
  <c r="P318" i="5"/>
  <c r="P319" i="5"/>
  <c r="P320" i="5"/>
  <c r="P321" i="5"/>
  <c r="P322" i="5"/>
  <c r="P323" i="5"/>
  <c r="P324" i="5"/>
  <c r="P325" i="5"/>
  <c r="P326" i="5"/>
  <c r="P327" i="5"/>
  <c r="P328" i="5"/>
  <c r="P329" i="5"/>
  <c r="P330" i="5"/>
  <c r="P331" i="5"/>
  <c r="P332" i="5"/>
  <c r="P333" i="5"/>
  <c r="P334" i="5"/>
  <c r="P335" i="5"/>
  <c r="P336" i="5"/>
  <c r="P337" i="5"/>
  <c r="P338" i="5"/>
  <c r="P339" i="5"/>
  <c r="P340" i="5"/>
  <c r="P341" i="5"/>
  <c r="P342" i="5"/>
  <c r="P343" i="5"/>
  <c r="P344" i="5"/>
  <c r="P345" i="5"/>
  <c r="P346" i="5"/>
  <c r="P347" i="5"/>
  <c r="P348" i="5"/>
  <c r="P349" i="5"/>
  <c r="P350" i="5"/>
  <c r="P351" i="5"/>
  <c r="P352" i="5"/>
  <c r="P353" i="5"/>
  <c r="P354" i="5"/>
  <c r="P355" i="5"/>
  <c r="P356" i="5"/>
  <c r="P357" i="5"/>
  <c r="P358" i="5"/>
  <c r="P359" i="5"/>
  <c r="P360" i="5"/>
  <c r="P361" i="5"/>
  <c r="P362" i="5"/>
  <c r="P363" i="5"/>
  <c r="P364" i="5"/>
  <c r="P365" i="5"/>
  <c r="P366" i="5"/>
  <c r="P367" i="5"/>
  <c r="P368" i="5"/>
  <c r="P369" i="5"/>
  <c r="P370" i="5"/>
  <c r="P371" i="5"/>
  <c r="P372" i="5"/>
  <c r="P373" i="5"/>
  <c r="P374" i="5"/>
  <c r="P375" i="5"/>
  <c r="P376" i="5"/>
  <c r="P377" i="5"/>
  <c r="P378" i="5"/>
  <c r="P379" i="5"/>
  <c r="P380" i="5"/>
  <c r="P381" i="5"/>
  <c r="P382" i="5"/>
  <c r="P383" i="5"/>
  <c r="P384" i="5"/>
  <c r="P385" i="5"/>
  <c r="P386" i="5"/>
  <c r="P387" i="5"/>
  <c r="P388" i="5"/>
  <c r="P389" i="5"/>
  <c r="P390" i="5"/>
  <c r="P391" i="5"/>
  <c r="P392" i="5"/>
  <c r="P393" i="5"/>
  <c r="P4" i="5"/>
  <c r="M227" i="4"/>
  <c r="M149" i="4"/>
  <c r="M150" i="4"/>
  <c r="M151" i="4"/>
  <c r="M152" i="4"/>
  <c r="M4" i="4"/>
  <c r="M228" i="4"/>
  <c r="M306" i="4"/>
  <c r="M307" i="4"/>
  <c r="M153" i="4"/>
  <c r="M72" i="4"/>
  <c r="M308" i="4"/>
  <c r="M154" i="4"/>
  <c r="M349" i="4"/>
  <c r="M73" i="4"/>
  <c r="M5" i="4"/>
  <c r="M74" i="4"/>
  <c r="M229" i="4"/>
  <c r="M155" i="4"/>
  <c r="M75" i="4"/>
  <c r="M309" i="4"/>
  <c r="M76" i="4"/>
  <c r="M156" i="4"/>
  <c r="M350" i="4"/>
  <c r="M6" i="4"/>
  <c r="M7" i="4"/>
  <c r="M310" i="4"/>
  <c r="M8" i="4"/>
  <c r="M231" i="4"/>
  <c r="M9" i="4"/>
  <c r="M10" i="4"/>
  <c r="M232" i="4"/>
  <c r="M157" i="4"/>
  <c r="M77" i="4"/>
  <c r="M11" i="4"/>
  <c r="M233" i="4"/>
  <c r="M158" i="4"/>
  <c r="M311" i="4"/>
  <c r="M159" i="4"/>
  <c r="M234" i="4"/>
  <c r="M235" i="4"/>
  <c r="M78" i="4"/>
  <c r="M236" i="4"/>
  <c r="M313" i="4"/>
  <c r="M79" i="4"/>
  <c r="M160" i="4"/>
  <c r="M161" i="4"/>
  <c r="M12" i="4"/>
  <c r="M314" i="4"/>
  <c r="M162" i="4"/>
  <c r="M80" i="4"/>
  <c r="M351" i="4"/>
  <c r="M352" i="4"/>
  <c r="M163" i="4"/>
  <c r="M13" i="4"/>
  <c r="M164" i="4"/>
  <c r="M315" i="4"/>
  <c r="M165" i="4"/>
  <c r="M166" i="4"/>
  <c r="M14" i="4"/>
  <c r="M237" i="4"/>
  <c r="M167" i="4"/>
  <c r="M238" i="4"/>
  <c r="M15" i="4"/>
  <c r="M239" i="4"/>
  <c r="M240" i="4"/>
  <c r="M316" i="4"/>
  <c r="M353" i="4"/>
  <c r="M317" i="4"/>
  <c r="M16" i="4"/>
  <c r="M354" i="4"/>
  <c r="M81" i="4"/>
  <c r="M241" i="4"/>
  <c r="M18" i="4"/>
  <c r="M318" i="4"/>
  <c r="M319" i="4"/>
  <c r="M82" i="4"/>
  <c r="M168" i="4"/>
  <c r="M243" i="4"/>
  <c r="M20" i="4"/>
  <c r="M21" i="4"/>
  <c r="M22" i="4"/>
  <c r="M23" i="4"/>
  <c r="M355" i="4"/>
  <c r="M83" i="4"/>
  <c r="M321" i="4"/>
  <c r="M169" i="4"/>
  <c r="M357" i="4"/>
  <c r="M244" i="4"/>
  <c r="M322" i="4"/>
  <c r="M84" i="4"/>
  <c r="M170" i="4"/>
  <c r="M246" i="4"/>
  <c r="M85" i="4"/>
  <c r="M86" i="4"/>
  <c r="M323" i="4"/>
  <c r="M324" i="4"/>
  <c r="M171" i="4"/>
  <c r="M172" i="4"/>
  <c r="M87" i="4"/>
  <c r="M24" i="4"/>
  <c r="M25" i="4"/>
  <c r="M248" i="4"/>
  <c r="M173" i="4"/>
  <c r="M26" i="4"/>
  <c r="M358" i="4"/>
  <c r="M249" i="4"/>
  <c r="M250" i="4"/>
  <c r="M27" i="4"/>
  <c r="M252" i="4"/>
  <c r="M359" i="4"/>
  <c r="M88" i="4"/>
  <c r="M253" i="4"/>
  <c r="M174" i="4"/>
  <c r="M28" i="4"/>
  <c r="M254" i="4"/>
  <c r="M89" i="4"/>
  <c r="M255" i="4"/>
  <c r="M175" i="4"/>
  <c r="M29" i="4"/>
  <c r="M325" i="4"/>
  <c r="M176" i="4"/>
  <c r="M360" i="4"/>
  <c r="M30" i="4"/>
  <c r="M326" i="4"/>
  <c r="M177" i="4"/>
  <c r="M257" i="4"/>
  <c r="M31" i="4"/>
  <c r="M32" i="4"/>
  <c r="M258" i="4"/>
  <c r="M362" i="4"/>
  <c r="M327" i="4"/>
  <c r="M259" i="4"/>
  <c r="M260" i="4"/>
  <c r="M90" i="4"/>
  <c r="M261" i="4"/>
  <c r="M262" i="4"/>
  <c r="M263" i="4"/>
  <c r="M179" i="4"/>
  <c r="M91" i="4"/>
  <c r="M265" i="4"/>
  <c r="M180" i="4"/>
  <c r="M364" i="4"/>
  <c r="M92" i="4"/>
  <c r="M266" i="4"/>
  <c r="M181" i="4"/>
  <c r="M267" i="4"/>
  <c r="M93" i="4"/>
  <c r="M33" i="4"/>
  <c r="M94" i="4"/>
  <c r="M268" i="4"/>
  <c r="M269" i="4"/>
  <c r="M95" i="4"/>
  <c r="M365" i="4"/>
  <c r="M96" i="4"/>
  <c r="M182" i="4"/>
  <c r="M34" i="4"/>
  <c r="M97" i="4"/>
  <c r="M270" i="4"/>
  <c r="M328" i="4"/>
  <c r="M98" i="4"/>
  <c r="M271" i="4"/>
  <c r="M99" i="4"/>
  <c r="M366" i="4"/>
  <c r="M100" i="4"/>
  <c r="M101" i="4"/>
  <c r="M102" i="4"/>
  <c r="M272" i="4"/>
  <c r="M368" i="4"/>
  <c r="M183" i="4"/>
  <c r="M35" i="4"/>
  <c r="M103" i="4"/>
  <c r="M184" i="4"/>
  <c r="M369" i="4"/>
  <c r="M36" i="4"/>
  <c r="M37" i="4"/>
  <c r="M273" i="4"/>
  <c r="M38" i="4"/>
  <c r="M104" i="4"/>
  <c r="M105" i="4"/>
  <c r="M185" i="4"/>
  <c r="M39" i="4"/>
  <c r="M330" i="4"/>
  <c r="M274" i="4"/>
  <c r="M40" i="4"/>
  <c r="M370" i="4"/>
  <c r="M186" i="4"/>
  <c r="M331" i="4"/>
  <c r="M106" i="4"/>
  <c r="M41" i="4"/>
  <c r="M107" i="4"/>
  <c r="M276" i="4"/>
  <c r="M42" i="4"/>
  <c r="M108" i="4"/>
  <c r="M332" i="4"/>
  <c r="M109" i="4"/>
  <c r="M187" i="4"/>
  <c r="M277" i="4"/>
  <c r="M188" i="4"/>
  <c r="M43" i="4"/>
  <c r="M110" i="4"/>
  <c r="M111" i="4"/>
  <c r="M278" i="4"/>
  <c r="M333" i="4"/>
  <c r="M279" i="4"/>
  <c r="M112" i="4"/>
  <c r="M113" i="4"/>
  <c r="M44" i="4"/>
  <c r="M189" i="4"/>
  <c r="M114" i="4"/>
  <c r="M280" i="4"/>
  <c r="M45" i="4"/>
  <c r="M281" i="4"/>
  <c r="M282" i="4"/>
  <c r="M190" i="4"/>
  <c r="M283" i="4"/>
  <c r="M371" i="4"/>
  <c r="M191" i="4"/>
  <c r="M115" i="4"/>
  <c r="M116" i="4"/>
  <c r="M284" i="4"/>
  <c r="M46" i="4"/>
  <c r="M192" i="4"/>
  <c r="M372" i="4"/>
  <c r="M193" i="4"/>
  <c r="M117" i="4"/>
  <c r="M118" i="4"/>
  <c r="M285" i="4"/>
  <c r="M119" i="4"/>
  <c r="M47" i="4"/>
  <c r="M194" i="4"/>
  <c r="M120" i="4"/>
  <c r="M373" i="4"/>
  <c r="M335" i="4"/>
  <c r="M286" i="4"/>
  <c r="M48" i="4"/>
  <c r="M336" i="4"/>
  <c r="M49" i="4"/>
  <c r="M195" i="4"/>
  <c r="M287" i="4"/>
  <c r="M288" i="4"/>
  <c r="M121" i="4"/>
  <c r="M289" i="4"/>
  <c r="M196" i="4"/>
  <c r="M122" i="4"/>
  <c r="M197" i="4"/>
  <c r="M290" i="4"/>
  <c r="M123" i="4"/>
  <c r="M50" i="4"/>
  <c r="M198" i="4"/>
  <c r="M337" i="4"/>
  <c r="M291" i="4"/>
  <c r="M124" i="4"/>
  <c r="M199" i="4"/>
  <c r="M125" i="4"/>
  <c r="M374" i="4"/>
  <c r="M126" i="4"/>
  <c r="M375" i="4"/>
  <c r="M292" i="4"/>
  <c r="M293" i="4"/>
  <c r="M127" i="4"/>
  <c r="M294" i="4"/>
  <c r="M376" i="4"/>
  <c r="M128" i="4"/>
  <c r="M129" i="4"/>
  <c r="M200" i="4"/>
  <c r="M51" i="4"/>
  <c r="M130" i="4"/>
  <c r="M339" i="4"/>
  <c r="M201" i="4"/>
  <c r="M131" i="4"/>
  <c r="M52" i="4"/>
  <c r="M53" i="4"/>
  <c r="M202" i="4"/>
  <c r="M54" i="4"/>
  <c r="M55" i="4"/>
  <c r="M132" i="4"/>
  <c r="M203" i="4"/>
  <c r="M295" i="4"/>
  <c r="M377" i="4"/>
  <c r="M340" i="4"/>
  <c r="M341" i="4"/>
  <c r="M133" i="4"/>
  <c r="M342" i="4"/>
  <c r="M205" i="4"/>
  <c r="M379" i="4"/>
  <c r="M380" i="4"/>
  <c r="M134" i="4"/>
  <c r="M206" i="4"/>
  <c r="M296" i="4"/>
  <c r="M343" i="4"/>
  <c r="M207" i="4"/>
  <c r="M135" i="4"/>
  <c r="M136" i="4"/>
  <c r="M56" i="4"/>
  <c r="M209" i="4"/>
  <c r="M137" i="4"/>
  <c r="M57" i="4"/>
  <c r="M210" i="4"/>
  <c r="M381" i="4"/>
  <c r="M138" i="4"/>
  <c r="M344" i="4"/>
  <c r="M58" i="4"/>
  <c r="M59" i="4"/>
  <c r="M211" i="4"/>
  <c r="M382" i="4"/>
  <c r="M345" i="4"/>
  <c r="M212" i="4"/>
  <c r="M213" i="4"/>
  <c r="M297" i="4"/>
  <c r="M298" i="4"/>
  <c r="M139" i="4"/>
  <c r="M383" i="4"/>
  <c r="M299" i="4"/>
  <c r="M60" i="4"/>
  <c r="M346" i="4"/>
  <c r="M214" i="4"/>
  <c r="M140" i="4"/>
  <c r="M215" i="4"/>
  <c r="M216" i="4"/>
  <c r="M384" i="4"/>
  <c r="M141" i="4"/>
  <c r="M61" i="4"/>
  <c r="M217" i="4"/>
  <c r="M142" i="4"/>
  <c r="M218" i="4"/>
  <c r="M219" i="4"/>
  <c r="M301" i="4"/>
  <c r="M143" i="4"/>
  <c r="M302" i="4"/>
  <c r="M220" i="4"/>
  <c r="M62" i="4"/>
  <c r="M385" i="4"/>
  <c r="M386" i="4"/>
  <c r="M144" i="4"/>
  <c r="M347" i="4"/>
  <c r="M63" i="4"/>
  <c r="M145" i="4"/>
  <c r="M303" i="4"/>
  <c r="M64" i="4"/>
  <c r="M65" i="4"/>
  <c r="M66" i="4"/>
  <c r="M146" i="4"/>
  <c r="M221" i="4"/>
  <c r="M388" i="4"/>
  <c r="M389" i="4"/>
  <c r="M67" i="4"/>
  <c r="M147" i="4"/>
  <c r="M304" i="4"/>
  <c r="M390" i="4"/>
  <c r="M222" i="4"/>
  <c r="M223" i="4"/>
  <c r="M68" i="4"/>
  <c r="M224" i="4"/>
  <c r="M225" i="4"/>
  <c r="M348" i="4"/>
  <c r="M148" i="4"/>
  <c r="M226" i="4"/>
  <c r="M69" i="4"/>
  <c r="M391" i="4"/>
  <c r="M392" i="4"/>
  <c r="M305" i="4"/>
  <c r="M70" i="4"/>
  <c r="M393" i="4"/>
  <c r="M71" i="4"/>
  <c r="AC5" i="6"/>
  <c r="AC6" i="6"/>
  <c r="AC7" i="6"/>
  <c r="AC8" i="6"/>
  <c r="AC9" i="6"/>
  <c r="AC10" i="6"/>
  <c r="AC11" i="6"/>
  <c r="AC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131" i="6"/>
  <c r="AC132" i="6"/>
  <c r="AC133" i="6"/>
  <c r="AC134" i="6"/>
  <c r="AC135" i="6"/>
  <c r="AC136" i="6"/>
  <c r="AC137" i="6"/>
  <c r="AC138" i="6"/>
  <c r="AC139" i="6"/>
  <c r="AC140" i="6"/>
  <c r="AC141" i="6"/>
  <c r="AC142" i="6"/>
  <c r="AC143" i="6"/>
  <c r="AC144" i="6"/>
  <c r="AC145" i="6"/>
  <c r="AC146" i="6"/>
  <c r="AC147" i="6"/>
  <c r="AC148" i="6"/>
  <c r="AC149" i="6"/>
  <c r="AC150" i="6"/>
  <c r="AC151" i="6"/>
  <c r="AC152" i="6"/>
  <c r="AC153" i="6"/>
  <c r="AC154" i="6"/>
  <c r="AC155" i="6"/>
  <c r="AC156" i="6"/>
  <c r="AC157" i="6"/>
  <c r="AC158" i="6"/>
  <c r="AC159" i="6"/>
  <c r="AC160" i="6"/>
  <c r="AC161" i="6"/>
  <c r="AC162" i="6"/>
  <c r="AC163" i="6"/>
  <c r="AC164" i="6"/>
  <c r="AC165" i="6"/>
  <c r="AC166" i="6"/>
  <c r="AC167" i="6"/>
  <c r="AC168" i="6"/>
  <c r="AC169" i="6"/>
  <c r="AC170" i="6"/>
  <c r="AC171" i="6"/>
  <c r="AC172" i="6"/>
  <c r="AC173" i="6"/>
  <c r="AC174" i="6"/>
  <c r="AC175" i="6"/>
  <c r="AC176" i="6"/>
  <c r="AC177" i="6"/>
  <c r="AC178" i="6"/>
  <c r="AC179" i="6"/>
  <c r="AC180" i="6"/>
  <c r="AC181" i="6"/>
  <c r="AC182" i="6"/>
  <c r="AC183" i="6"/>
  <c r="AC184" i="6"/>
  <c r="AC185" i="6"/>
  <c r="AC186" i="6"/>
  <c r="AC187" i="6"/>
  <c r="AC188" i="6"/>
  <c r="AC189" i="6"/>
  <c r="AC190" i="6"/>
  <c r="AC191" i="6"/>
  <c r="AC192" i="6"/>
  <c r="AC193" i="6"/>
  <c r="AC194" i="6"/>
  <c r="AC195" i="6"/>
  <c r="AC196" i="6"/>
  <c r="AC197" i="6"/>
  <c r="AC198" i="6"/>
  <c r="AC199" i="6"/>
  <c r="AC200" i="6"/>
  <c r="AC201" i="6"/>
  <c r="AC202" i="6"/>
  <c r="AC203" i="6"/>
  <c r="AC204" i="6"/>
  <c r="AC205" i="6"/>
  <c r="AC206" i="6"/>
  <c r="AC207" i="6"/>
  <c r="AC208" i="6"/>
  <c r="AC209" i="6"/>
  <c r="AC210" i="6"/>
  <c r="AC211" i="6"/>
  <c r="AC212" i="6"/>
  <c r="AC213" i="6"/>
  <c r="AC214" i="6"/>
  <c r="AC215" i="6"/>
  <c r="AC216" i="6"/>
  <c r="AC217" i="6"/>
  <c r="AC218" i="6"/>
  <c r="AC219" i="6"/>
  <c r="AC220" i="6"/>
  <c r="AC221" i="6"/>
  <c r="AC222" i="6"/>
  <c r="AC223" i="6"/>
  <c r="AC224" i="6"/>
  <c r="AC225" i="6"/>
  <c r="AC226" i="6"/>
  <c r="AC227" i="6"/>
  <c r="AC228" i="6"/>
  <c r="AC229" i="6"/>
  <c r="AC230" i="6"/>
  <c r="AC231" i="6"/>
  <c r="AC232" i="6"/>
  <c r="AC233" i="6"/>
  <c r="AC234" i="6"/>
  <c r="AC235" i="6"/>
  <c r="AC236" i="6"/>
  <c r="AC237" i="6"/>
  <c r="AC238" i="6"/>
  <c r="AC239" i="6"/>
  <c r="AC240" i="6"/>
  <c r="AC241" i="6"/>
  <c r="AC242" i="6"/>
  <c r="AC243" i="6"/>
  <c r="AC244" i="6"/>
  <c r="AC245" i="6"/>
  <c r="AC246" i="6"/>
  <c r="AC247" i="6"/>
  <c r="AC248" i="6"/>
  <c r="AC249" i="6"/>
  <c r="AC250" i="6"/>
  <c r="AC251" i="6"/>
  <c r="AC252" i="6"/>
  <c r="AC253" i="6"/>
  <c r="AC254" i="6"/>
  <c r="AC255" i="6"/>
  <c r="AC256" i="6"/>
  <c r="AC257" i="6"/>
  <c r="AC258" i="6"/>
  <c r="AC259" i="6"/>
  <c r="AC260" i="6"/>
  <c r="AC261" i="6"/>
  <c r="AC262" i="6"/>
  <c r="AC263" i="6"/>
  <c r="AC264" i="6"/>
  <c r="AC265" i="6"/>
  <c r="AC266" i="6"/>
  <c r="AC267" i="6"/>
  <c r="AC268" i="6"/>
  <c r="AC269" i="6"/>
  <c r="AC270" i="6"/>
  <c r="AC271" i="6"/>
  <c r="AC272" i="6"/>
  <c r="AC273" i="6"/>
  <c r="AC274" i="6"/>
  <c r="AC275" i="6"/>
  <c r="AC276" i="6"/>
  <c r="AC277" i="6"/>
  <c r="AC278" i="6"/>
  <c r="AC279" i="6"/>
  <c r="AC280" i="6"/>
  <c r="AC281" i="6"/>
  <c r="AC282" i="6"/>
  <c r="AC283" i="6"/>
  <c r="AC284" i="6"/>
  <c r="AC285" i="6"/>
  <c r="AC286" i="6"/>
  <c r="AC287" i="6"/>
  <c r="AC288" i="6"/>
  <c r="AC289" i="6"/>
  <c r="AC290" i="6"/>
  <c r="AC291" i="6"/>
  <c r="AC292" i="6"/>
  <c r="AC293" i="6"/>
  <c r="AC294" i="6"/>
  <c r="AC295" i="6"/>
  <c r="AC296" i="6"/>
  <c r="AC297" i="6"/>
  <c r="AC298" i="6"/>
  <c r="AC299" i="6"/>
  <c r="AC300" i="6"/>
  <c r="AC301" i="6"/>
  <c r="AC302" i="6"/>
  <c r="AC303" i="6"/>
  <c r="AC304" i="6"/>
  <c r="AC305" i="6"/>
  <c r="AC306" i="6"/>
  <c r="AC307" i="6"/>
  <c r="AC308" i="6"/>
  <c r="AC309" i="6"/>
  <c r="AC310" i="6"/>
  <c r="AC311" i="6"/>
  <c r="AC312" i="6"/>
  <c r="AC313" i="6"/>
  <c r="AC314" i="6"/>
  <c r="AC315" i="6"/>
  <c r="AC316" i="6"/>
  <c r="AC317" i="6"/>
  <c r="AC318" i="6"/>
  <c r="AC319" i="6"/>
  <c r="AC320" i="6"/>
  <c r="AC321" i="6"/>
  <c r="AC322" i="6"/>
  <c r="AC323" i="6"/>
  <c r="AC324" i="6"/>
  <c r="AC325" i="6"/>
  <c r="AC326" i="6"/>
  <c r="AC327" i="6"/>
  <c r="AC328" i="6"/>
  <c r="AC329" i="6"/>
  <c r="AC330" i="6"/>
  <c r="AC331" i="6"/>
  <c r="AC332" i="6"/>
  <c r="AC333" i="6"/>
  <c r="AC334" i="6"/>
  <c r="AC335" i="6"/>
  <c r="AC336" i="6"/>
  <c r="AC337" i="6"/>
  <c r="AC338" i="6"/>
  <c r="AC339" i="6"/>
  <c r="AC340" i="6"/>
  <c r="AC341" i="6"/>
  <c r="AC342" i="6"/>
  <c r="AC343" i="6"/>
  <c r="AC344" i="6"/>
  <c r="AC345" i="6"/>
  <c r="AC346" i="6"/>
  <c r="AC347" i="6"/>
  <c r="AC348" i="6"/>
  <c r="AC349" i="6"/>
  <c r="AC350" i="6"/>
  <c r="AC351" i="6"/>
  <c r="AC352" i="6"/>
  <c r="AC353" i="6"/>
  <c r="AC354" i="6"/>
  <c r="AC355" i="6"/>
  <c r="AC356" i="6"/>
  <c r="AC357" i="6"/>
  <c r="AC358" i="6"/>
  <c r="AC359" i="6"/>
  <c r="AC360" i="6"/>
  <c r="AC361" i="6"/>
  <c r="AC362" i="6"/>
  <c r="AC363" i="6"/>
  <c r="AC364" i="6"/>
  <c r="AC365" i="6"/>
  <c r="AC366" i="6"/>
  <c r="AC367" i="6"/>
  <c r="AC368" i="6"/>
  <c r="AC369" i="6"/>
  <c r="AC370" i="6"/>
  <c r="AC371" i="6"/>
  <c r="AC372" i="6"/>
  <c r="AC373" i="6"/>
  <c r="AC374" i="6"/>
  <c r="AC375" i="6"/>
  <c r="AC376" i="6"/>
  <c r="AC377" i="6"/>
  <c r="AC378" i="6"/>
  <c r="AC379" i="6"/>
  <c r="AC380" i="6"/>
  <c r="AC381" i="6"/>
  <c r="AC382" i="6"/>
  <c r="AC383" i="6"/>
  <c r="AC384" i="6"/>
  <c r="AC385" i="6"/>
  <c r="AC386" i="6"/>
  <c r="AC387" i="6"/>
  <c r="AC388" i="6"/>
  <c r="AC389" i="6"/>
  <c r="AC390" i="6"/>
  <c r="AC391" i="6"/>
  <c r="AC392" i="6"/>
  <c r="AC393" i="6"/>
  <c r="AC4" i="6"/>
  <c r="AB5" i="6"/>
  <c r="AB6" i="6"/>
  <c r="AB7"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5" i="6"/>
  <c r="AB46" i="6"/>
  <c r="AB47" i="6"/>
  <c r="AB48" i="6"/>
  <c r="AB49" i="6"/>
  <c r="AB50" i="6"/>
  <c r="AB51"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4" i="6"/>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AA141" i="5"/>
  <c r="AA142" i="5"/>
  <c r="AA143" i="5"/>
  <c r="AA144" i="5"/>
  <c r="AA145" i="5"/>
  <c r="AA146" i="5"/>
  <c r="AA147" i="5"/>
  <c r="AA148" i="5"/>
  <c r="AA149" i="5"/>
  <c r="AA150" i="5"/>
  <c r="AA151" i="5"/>
  <c r="AA152" i="5"/>
  <c r="AA153" i="5"/>
  <c r="AA154" i="5"/>
  <c r="AA155" i="5"/>
  <c r="AA156" i="5"/>
  <c r="AA157" i="5"/>
  <c r="AA158" i="5"/>
  <c r="AA159" i="5"/>
  <c r="AA160" i="5"/>
  <c r="AA161" i="5"/>
  <c r="AA162" i="5"/>
  <c r="AA163" i="5"/>
  <c r="AA164" i="5"/>
  <c r="AA165" i="5"/>
  <c r="AA166" i="5"/>
  <c r="AA167" i="5"/>
  <c r="AA168" i="5"/>
  <c r="AA169" i="5"/>
  <c r="AA170"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197" i="5"/>
  <c r="AA198" i="5"/>
  <c r="AA199" i="5"/>
  <c r="AA200" i="5"/>
  <c r="AA201" i="5"/>
  <c r="AA202" i="5"/>
  <c r="AA203" i="5"/>
  <c r="AA204" i="5"/>
  <c r="AA205" i="5"/>
  <c r="AA206" i="5"/>
  <c r="AA207" i="5"/>
  <c r="AA208" i="5"/>
  <c r="AA209" i="5"/>
  <c r="AA210" i="5"/>
  <c r="AA211" i="5"/>
  <c r="AA212" i="5"/>
  <c r="AA213" i="5"/>
  <c r="AA214" i="5"/>
  <c r="AA215" i="5"/>
  <c r="AA216" i="5"/>
  <c r="AA217" i="5"/>
  <c r="AA218" i="5"/>
  <c r="AA219" i="5"/>
  <c r="AA220" i="5"/>
  <c r="AA221" i="5"/>
  <c r="AA222" i="5"/>
  <c r="AA223" i="5"/>
  <c r="AA224" i="5"/>
  <c r="AA225" i="5"/>
  <c r="AA226" i="5"/>
  <c r="AA227" i="5"/>
  <c r="AA228" i="5"/>
  <c r="AA229" i="5"/>
  <c r="AA230" i="5"/>
  <c r="AA231" i="5"/>
  <c r="AA232" i="5"/>
  <c r="AA233" i="5"/>
  <c r="AA234" i="5"/>
  <c r="AA235" i="5"/>
  <c r="AA236" i="5"/>
  <c r="AA237" i="5"/>
  <c r="AA238" i="5"/>
  <c r="AA239" i="5"/>
  <c r="AA240" i="5"/>
  <c r="AA241" i="5"/>
  <c r="AA242" i="5"/>
  <c r="AA243" i="5"/>
  <c r="AA244" i="5"/>
  <c r="AA245" i="5"/>
  <c r="AA246" i="5"/>
  <c r="AA247" i="5"/>
  <c r="AA248" i="5"/>
  <c r="AA249" i="5"/>
  <c r="AA250" i="5"/>
  <c r="AA251" i="5"/>
  <c r="AA252" i="5"/>
  <c r="AA253" i="5"/>
  <c r="AA254" i="5"/>
  <c r="AA255" i="5"/>
  <c r="AA256" i="5"/>
  <c r="AA257" i="5"/>
  <c r="AA258" i="5"/>
  <c r="AA259" i="5"/>
  <c r="AA260" i="5"/>
  <c r="AA261" i="5"/>
  <c r="AA262" i="5"/>
  <c r="AA263" i="5"/>
  <c r="AA264" i="5"/>
  <c r="AA265" i="5"/>
  <c r="AA266" i="5"/>
  <c r="AA267" i="5"/>
  <c r="AA268" i="5"/>
  <c r="AA269" i="5"/>
  <c r="AA270" i="5"/>
  <c r="AA271" i="5"/>
  <c r="AA272" i="5"/>
  <c r="AA273" i="5"/>
  <c r="AA274" i="5"/>
  <c r="AA275" i="5"/>
  <c r="AA276" i="5"/>
  <c r="AA277" i="5"/>
  <c r="AA278" i="5"/>
  <c r="AA279" i="5"/>
  <c r="AA280" i="5"/>
  <c r="AA281" i="5"/>
  <c r="AA282" i="5"/>
  <c r="AA283" i="5"/>
  <c r="AA284" i="5"/>
  <c r="AA285" i="5"/>
  <c r="AA286" i="5"/>
  <c r="AA287" i="5"/>
  <c r="AA288" i="5"/>
  <c r="AA289" i="5"/>
  <c r="AA290" i="5"/>
  <c r="AA291" i="5"/>
  <c r="AA292" i="5"/>
  <c r="AA293" i="5"/>
  <c r="AA294" i="5"/>
  <c r="AA295" i="5"/>
  <c r="AA296" i="5"/>
  <c r="AA297" i="5"/>
  <c r="AA298" i="5"/>
  <c r="AA299" i="5"/>
  <c r="AA300" i="5"/>
  <c r="AA301" i="5"/>
  <c r="AA302" i="5"/>
  <c r="AA303" i="5"/>
  <c r="AA304" i="5"/>
  <c r="AA305" i="5"/>
  <c r="AA306" i="5"/>
  <c r="AA307" i="5"/>
  <c r="AA308" i="5"/>
  <c r="AA309" i="5"/>
  <c r="AA310" i="5"/>
  <c r="AA311" i="5"/>
  <c r="AA312" i="5"/>
  <c r="AA313" i="5"/>
  <c r="AA314" i="5"/>
  <c r="AA315" i="5"/>
  <c r="AA316" i="5"/>
  <c r="AA317" i="5"/>
  <c r="AA318" i="5"/>
  <c r="AA319" i="5"/>
  <c r="AA320" i="5"/>
  <c r="AA321" i="5"/>
  <c r="AA322" i="5"/>
  <c r="AA323" i="5"/>
  <c r="AA324" i="5"/>
  <c r="AA325" i="5"/>
  <c r="AA326" i="5"/>
  <c r="AA327" i="5"/>
  <c r="AA328" i="5"/>
  <c r="AA329" i="5"/>
  <c r="AA330" i="5"/>
  <c r="AA331" i="5"/>
  <c r="AA332" i="5"/>
  <c r="AA333" i="5"/>
  <c r="AA334" i="5"/>
  <c r="AA335" i="5"/>
  <c r="AA336" i="5"/>
  <c r="AA337" i="5"/>
  <c r="AA338" i="5"/>
  <c r="AA339" i="5"/>
  <c r="AA340" i="5"/>
  <c r="AA341" i="5"/>
  <c r="AA342" i="5"/>
  <c r="AA343" i="5"/>
  <c r="AA344" i="5"/>
  <c r="AA345" i="5"/>
  <c r="AA346" i="5"/>
  <c r="AA347" i="5"/>
  <c r="AA348" i="5"/>
  <c r="AA349" i="5"/>
  <c r="AA350" i="5"/>
  <c r="AA351" i="5"/>
  <c r="AA352" i="5"/>
  <c r="AA353" i="5"/>
  <c r="AA354" i="5"/>
  <c r="AA355" i="5"/>
  <c r="AA356" i="5"/>
  <c r="AA357" i="5"/>
  <c r="AA358" i="5"/>
  <c r="AA359" i="5"/>
  <c r="AA360" i="5"/>
  <c r="AA361" i="5"/>
  <c r="AA362" i="5"/>
  <c r="AA363" i="5"/>
  <c r="AA364" i="5"/>
  <c r="AA365" i="5"/>
  <c r="AA366" i="5"/>
  <c r="AA367" i="5"/>
  <c r="AA368" i="5"/>
  <c r="AA369" i="5"/>
  <c r="AA370" i="5"/>
  <c r="AA371" i="5"/>
  <c r="AA372" i="5"/>
  <c r="AA373" i="5"/>
  <c r="AA374" i="5"/>
  <c r="AA375" i="5"/>
  <c r="AA376" i="5"/>
  <c r="AA377" i="5"/>
  <c r="AA378" i="5"/>
  <c r="AA379" i="5"/>
  <c r="AA380" i="5"/>
  <c r="AA381" i="5"/>
  <c r="AA382" i="5"/>
  <c r="AA383" i="5"/>
  <c r="AA384" i="5"/>
  <c r="AA385" i="5"/>
  <c r="AA386" i="5"/>
  <c r="AA387" i="5"/>
  <c r="AA388" i="5"/>
  <c r="AA389" i="5"/>
  <c r="AA390" i="5"/>
  <c r="AA391" i="5"/>
  <c r="AA392" i="5"/>
  <c r="AA393" i="5"/>
  <c r="AA4" i="5"/>
  <c r="Z5" i="5"/>
  <c r="Z6" i="5"/>
  <c r="Z7" i="5"/>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152" i="5"/>
  <c r="Z153" i="5"/>
  <c r="Z154" i="5"/>
  <c r="Z155" i="5"/>
  <c r="Z156" i="5"/>
  <c r="Z157" i="5"/>
  <c r="Z158" i="5"/>
  <c r="Z159" i="5"/>
  <c r="Z160" i="5"/>
  <c r="Z161" i="5"/>
  <c r="Z162" i="5"/>
  <c r="Z163" i="5"/>
  <c r="Z164" i="5"/>
  <c r="Z165" i="5"/>
  <c r="Z166" i="5"/>
  <c r="Z167" i="5"/>
  <c r="Z168" i="5"/>
  <c r="Z169" i="5"/>
  <c r="Z170"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201" i="5"/>
  <c r="Z202" i="5"/>
  <c r="Z203" i="5"/>
  <c r="Z204" i="5"/>
  <c r="Z205" i="5"/>
  <c r="Z206" i="5"/>
  <c r="Z207" i="5"/>
  <c r="Z208" i="5"/>
  <c r="Z209" i="5"/>
  <c r="Z210" i="5"/>
  <c r="Z211" i="5"/>
  <c r="Z212" i="5"/>
  <c r="Z213" i="5"/>
  <c r="Z214" i="5"/>
  <c r="Z215" i="5"/>
  <c r="Z216" i="5"/>
  <c r="Z217" i="5"/>
  <c r="Z218" i="5"/>
  <c r="Z219" i="5"/>
  <c r="Z220" i="5"/>
  <c r="Z221" i="5"/>
  <c r="Z222" i="5"/>
  <c r="Z223" i="5"/>
  <c r="Z224" i="5"/>
  <c r="Z225" i="5"/>
  <c r="Z226" i="5"/>
  <c r="Z227" i="5"/>
  <c r="Z228" i="5"/>
  <c r="Z229" i="5"/>
  <c r="Z230" i="5"/>
  <c r="Z231" i="5"/>
  <c r="Z232" i="5"/>
  <c r="Z233" i="5"/>
  <c r="Z234" i="5"/>
  <c r="Z235" i="5"/>
  <c r="Z236" i="5"/>
  <c r="Z237" i="5"/>
  <c r="Z238" i="5"/>
  <c r="Z239" i="5"/>
  <c r="Z240" i="5"/>
  <c r="Z241" i="5"/>
  <c r="Z242" i="5"/>
  <c r="Z243" i="5"/>
  <c r="Z244" i="5"/>
  <c r="Z245" i="5"/>
  <c r="Z246" i="5"/>
  <c r="Z247" i="5"/>
  <c r="Z248" i="5"/>
  <c r="Z249" i="5"/>
  <c r="Z250" i="5"/>
  <c r="Z251" i="5"/>
  <c r="Z252" i="5"/>
  <c r="Z253" i="5"/>
  <c r="Z254" i="5"/>
  <c r="Z255" i="5"/>
  <c r="Z256" i="5"/>
  <c r="Z257" i="5"/>
  <c r="Z258" i="5"/>
  <c r="Z259" i="5"/>
  <c r="Z260" i="5"/>
  <c r="Z261" i="5"/>
  <c r="Z262" i="5"/>
  <c r="Z263" i="5"/>
  <c r="Z264" i="5"/>
  <c r="Z265" i="5"/>
  <c r="Z266" i="5"/>
  <c r="Z267" i="5"/>
  <c r="Z268" i="5"/>
  <c r="Z269" i="5"/>
  <c r="Z270" i="5"/>
  <c r="Z271" i="5"/>
  <c r="Z272" i="5"/>
  <c r="Z273" i="5"/>
  <c r="Z274" i="5"/>
  <c r="Z275" i="5"/>
  <c r="Z276" i="5"/>
  <c r="Z277" i="5"/>
  <c r="Z278" i="5"/>
  <c r="Z279" i="5"/>
  <c r="Z280" i="5"/>
  <c r="Z281" i="5"/>
  <c r="Z282" i="5"/>
  <c r="Z283" i="5"/>
  <c r="Z284" i="5"/>
  <c r="Z285" i="5"/>
  <c r="Z286" i="5"/>
  <c r="Z287" i="5"/>
  <c r="Z288" i="5"/>
  <c r="Z289" i="5"/>
  <c r="Z290" i="5"/>
  <c r="Z291" i="5"/>
  <c r="Z292" i="5"/>
  <c r="Z293" i="5"/>
  <c r="Z294" i="5"/>
  <c r="Z295" i="5"/>
  <c r="Z296" i="5"/>
  <c r="Z297" i="5"/>
  <c r="Z298" i="5"/>
  <c r="Z299" i="5"/>
  <c r="Z300" i="5"/>
  <c r="Z301" i="5"/>
  <c r="Z302" i="5"/>
  <c r="Z303" i="5"/>
  <c r="Z304" i="5"/>
  <c r="Z305" i="5"/>
  <c r="Z306" i="5"/>
  <c r="Z307" i="5"/>
  <c r="Z308" i="5"/>
  <c r="Z309" i="5"/>
  <c r="Z310" i="5"/>
  <c r="Z311" i="5"/>
  <c r="Z312" i="5"/>
  <c r="Z313" i="5"/>
  <c r="Z314" i="5"/>
  <c r="Z315" i="5"/>
  <c r="Z316" i="5"/>
  <c r="Z317" i="5"/>
  <c r="Z318" i="5"/>
  <c r="Z319" i="5"/>
  <c r="Z320" i="5"/>
  <c r="Z321" i="5"/>
  <c r="Z322" i="5"/>
  <c r="Z323" i="5"/>
  <c r="Z324" i="5"/>
  <c r="Z325" i="5"/>
  <c r="Z326" i="5"/>
  <c r="Z327" i="5"/>
  <c r="Z328" i="5"/>
  <c r="Z329" i="5"/>
  <c r="Z330" i="5"/>
  <c r="Z331" i="5"/>
  <c r="Z332" i="5"/>
  <c r="Z333" i="5"/>
  <c r="Z334" i="5"/>
  <c r="Z335" i="5"/>
  <c r="Z336" i="5"/>
  <c r="Z337" i="5"/>
  <c r="Z338" i="5"/>
  <c r="Z339" i="5"/>
  <c r="Z340" i="5"/>
  <c r="Z341" i="5"/>
  <c r="Z342" i="5"/>
  <c r="Z343" i="5"/>
  <c r="Z344" i="5"/>
  <c r="Z345" i="5"/>
  <c r="Z346" i="5"/>
  <c r="Z347" i="5"/>
  <c r="Z348" i="5"/>
  <c r="Z349" i="5"/>
  <c r="Z350" i="5"/>
  <c r="Z351" i="5"/>
  <c r="Z352" i="5"/>
  <c r="Z353" i="5"/>
  <c r="Z354" i="5"/>
  <c r="Z355" i="5"/>
  <c r="Z356" i="5"/>
  <c r="Z357" i="5"/>
  <c r="Z358" i="5"/>
  <c r="Z359" i="5"/>
  <c r="Z360" i="5"/>
  <c r="Z361" i="5"/>
  <c r="Z362" i="5"/>
  <c r="Z363" i="5"/>
  <c r="Z364" i="5"/>
  <c r="Z365" i="5"/>
  <c r="Z366" i="5"/>
  <c r="Z367" i="5"/>
  <c r="Z368" i="5"/>
  <c r="Z369" i="5"/>
  <c r="Z370" i="5"/>
  <c r="Z371" i="5"/>
  <c r="Z372" i="5"/>
  <c r="Z373" i="5"/>
  <c r="Z374" i="5"/>
  <c r="Z375" i="5"/>
  <c r="Z376" i="5"/>
  <c r="Z377" i="5"/>
  <c r="Z378" i="5"/>
  <c r="Z379" i="5"/>
  <c r="Z380" i="5"/>
  <c r="Z381" i="5"/>
  <c r="Z382" i="5"/>
  <c r="Z383" i="5"/>
  <c r="Z384" i="5"/>
  <c r="Z385" i="5"/>
  <c r="Z386" i="5"/>
  <c r="Z387" i="5"/>
  <c r="Z388" i="5"/>
  <c r="Z389" i="5"/>
  <c r="Z390" i="5"/>
  <c r="Z391" i="5"/>
  <c r="Z392" i="5"/>
  <c r="Z393" i="5"/>
  <c r="Z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199" i="5"/>
  <c r="U200" i="5"/>
  <c r="U201" i="5"/>
  <c r="U202" i="5"/>
  <c r="U203" i="5"/>
  <c r="U204" i="5"/>
  <c r="U205" i="5"/>
  <c r="U206" i="5"/>
  <c r="U207" i="5"/>
  <c r="U208" i="5"/>
  <c r="U209" i="5"/>
  <c r="U210" i="5"/>
  <c r="U211" i="5"/>
  <c r="U212" i="5"/>
  <c r="U213" i="5"/>
  <c r="U214" i="5"/>
  <c r="U215" i="5"/>
  <c r="U216" i="5"/>
  <c r="U217" i="5"/>
  <c r="U218" i="5"/>
  <c r="U219" i="5"/>
  <c r="U220" i="5"/>
  <c r="U221" i="5"/>
  <c r="U222" i="5"/>
  <c r="U223" i="5"/>
  <c r="U224" i="5"/>
  <c r="U225" i="5"/>
  <c r="U226" i="5"/>
  <c r="U227" i="5"/>
  <c r="U228" i="5"/>
  <c r="U229" i="5"/>
  <c r="U230" i="5"/>
  <c r="U231" i="5"/>
  <c r="U232" i="5"/>
  <c r="U233" i="5"/>
  <c r="U234" i="5"/>
  <c r="U235" i="5"/>
  <c r="U236" i="5"/>
  <c r="U237" i="5"/>
  <c r="U238" i="5"/>
  <c r="U239" i="5"/>
  <c r="U240" i="5"/>
  <c r="U241" i="5"/>
  <c r="U242" i="5"/>
  <c r="U243" i="5"/>
  <c r="U244" i="5"/>
  <c r="U245" i="5"/>
  <c r="U246" i="5"/>
  <c r="U247" i="5"/>
  <c r="U248" i="5"/>
  <c r="U249" i="5"/>
  <c r="U250" i="5"/>
  <c r="U251" i="5"/>
  <c r="U252" i="5"/>
  <c r="U253" i="5"/>
  <c r="U254" i="5"/>
  <c r="U255" i="5"/>
  <c r="U256" i="5"/>
  <c r="U257" i="5"/>
  <c r="U258" i="5"/>
  <c r="U259" i="5"/>
  <c r="U260" i="5"/>
  <c r="U261" i="5"/>
  <c r="U262" i="5"/>
  <c r="U263" i="5"/>
  <c r="U264" i="5"/>
  <c r="U265" i="5"/>
  <c r="U266" i="5"/>
  <c r="U267" i="5"/>
  <c r="U268" i="5"/>
  <c r="U269" i="5"/>
  <c r="U270" i="5"/>
  <c r="U271" i="5"/>
  <c r="U272" i="5"/>
  <c r="U273" i="5"/>
  <c r="U274" i="5"/>
  <c r="U275" i="5"/>
  <c r="U276" i="5"/>
  <c r="U277" i="5"/>
  <c r="U278" i="5"/>
  <c r="U279" i="5"/>
  <c r="U280" i="5"/>
  <c r="U281" i="5"/>
  <c r="U282" i="5"/>
  <c r="U283" i="5"/>
  <c r="U284" i="5"/>
  <c r="U285" i="5"/>
  <c r="U286" i="5"/>
  <c r="U287" i="5"/>
  <c r="U288" i="5"/>
  <c r="U289" i="5"/>
  <c r="U290" i="5"/>
  <c r="U291" i="5"/>
  <c r="U292" i="5"/>
  <c r="U293" i="5"/>
  <c r="U294" i="5"/>
  <c r="U295" i="5"/>
  <c r="U296" i="5"/>
  <c r="U297" i="5"/>
  <c r="U298" i="5"/>
  <c r="U299" i="5"/>
  <c r="U300" i="5"/>
  <c r="U301" i="5"/>
  <c r="U302" i="5"/>
  <c r="U303" i="5"/>
  <c r="U304" i="5"/>
  <c r="U305" i="5"/>
  <c r="U306" i="5"/>
  <c r="U307" i="5"/>
  <c r="U308" i="5"/>
  <c r="U309" i="5"/>
  <c r="U310" i="5"/>
  <c r="U311" i="5"/>
  <c r="U312" i="5"/>
  <c r="U313" i="5"/>
  <c r="U314" i="5"/>
  <c r="U315" i="5"/>
  <c r="U316" i="5"/>
  <c r="U317" i="5"/>
  <c r="U318" i="5"/>
  <c r="U319" i="5"/>
  <c r="U320" i="5"/>
  <c r="U321" i="5"/>
  <c r="U322" i="5"/>
  <c r="U323" i="5"/>
  <c r="U324" i="5"/>
  <c r="U325" i="5"/>
  <c r="U326" i="5"/>
  <c r="U327" i="5"/>
  <c r="U328" i="5"/>
  <c r="U329" i="5"/>
  <c r="U330" i="5"/>
  <c r="U331" i="5"/>
  <c r="U332" i="5"/>
  <c r="U333" i="5"/>
  <c r="U334" i="5"/>
  <c r="U335" i="5"/>
  <c r="U336" i="5"/>
  <c r="U337" i="5"/>
  <c r="U338" i="5"/>
  <c r="U339" i="5"/>
  <c r="U340" i="5"/>
  <c r="U341" i="5"/>
  <c r="U342" i="5"/>
  <c r="U343" i="5"/>
  <c r="U344" i="5"/>
  <c r="U345" i="5"/>
  <c r="U346" i="5"/>
  <c r="U347" i="5"/>
  <c r="U348" i="5"/>
  <c r="U349" i="5"/>
  <c r="U350" i="5"/>
  <c r="U351" i="5"/>
  <c r="U352" i="5"/>
  <c r="U353" i="5"/>
  <c r="U354" i="5"/>
  <c r="U355" i="5"/>
  <c r="U356" i="5"/>
  <c r="U357" i="5"/>
  <c r="U358" i="5"/>
  <c r="U359" i="5"/>
  <c r="U360" i="5"/>
  <c r="U361" i="5"/>
  <c r="U362" i="5"/>
  <c r="U363" i="5"/>
  <c r="U364" i="5"/>
  <c r="U365" i="5"/>
  <c r="U366" i="5"/>
  <c r="U367" i="5"/>
  <c r="U368" i="5"/>
  <c r="U369" i="5"/>
  <c r="U370" i="5"/>
  <c r="U371" i="5"/>
  <c r="U372" i="5"/>
  <c r="U373" i="5"/>
  <c r="U374" i="5"/>
  <c r="U375" i="5"/>
  <c r="U376" i="5"/>
  <c r="U377" i="5"/>
  <c r="U378" i="5"/>
  <c r="U379" i="5"/>
  <c r="U380" i="5"/>
  <c r="U381" i="5"/>
  <c r="U382" i="5"/>
  <c r="U383" i="5"/>
  <c r="U384" i="5"/>
  <c r="U385" i="5"/>
  <c r="U386" i="5"/>
  <c r="U387" i="5"/>
  <c r="U388" i="5"/>
  <c r="U389" i="5"/>
  <c r="U390" i="5"/>
  <c r="U391" i="5"/>
  <c r="U392" i="5"/>
  <c r="U393" i="5"/>
  <c r="U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6" i="5"/>
  <c r="S187" i="5"/>
  <c r="S188" i="5"/>
  <c r="S189" i="5"/>
  <c r="S190" i="5"/>
  <c r="S191" i="5"/>
  <c r="S192" i="5"/>
  <c r="S193" i="5"/>
  <c r="S194" i="5"/>
  <c r="S195" i="5"/>
  <c r="S196" i="5"/>
  <c r="S197" i="5"/>
  <c r="S198" i="5"/>
  <c r="S199" i="5"/>
  <c r="S200" i="5"/>
  <c r="S201" i="5"/>
  <c r="S202" i="5"/>
  <c r="S203" i="5"/>
  <c r="S204" i="5"/>
  <c r="S205" i="5"/>
  <c r="S206" i="5"/>
  <c r="S207" i="5"/>
  <c r="S208" i="5"/>
  <c r="S209" i="5"/>
  <c r="S210" i="5"/>
  <c r="S211" i="5"/>
  <c r="S212" i="5"/>
  <c r="S213" i="5"/>
  <c r="S214" i="5"/>
  <c r="S215" i="5"/>
  <c r="S216" i="5"/>
  <c r="S217" i="5"/>
  <c r="S218" i="5"/>
  <c r="S219" i="5"/>
  <c r="S220" i="5"/>
  <c r="S221" i="5"/>
  <c r="S222" i="5"/>
  <c r="S223" i="5"/>
  <c r="S224" i="5"/>
  <c r="S225" i="5"/>
  <c r="S226" i="5"/>
  <c r="S227" i="5"/>
  <c r="S228" i="5"/>
  <c r="S229" i="5"/>
  <c r="S230" i="5"/>
  <c r="S231" i="5"/>
  <c r="S232" i="5"/>
  <c r="S233" i="5"/>
  <c r="S234" i="5"/>
  <c r="S235" i="5"/>
  <c r="S236" i="5"/>
  <c r="S237"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266" i="5"/>
  <c r="S267" i="5"/>
  <c r="S268" i="5"/>
  <c r="S269" i="5"/>
  <c r="S270" i="5"/>
  <c r="S271" i="5"/>
  <c r="S272" i="5"/>
  <c r="S273" i="5"/>
  <c r="S274" i="5"/>
  <c r="S275" i="5"/>
  <c r="S276" i="5"/>
  <c r="S277" i="5"/>
  <c r="S278" i="5"/>
  <c r="S279" i="5"/>
  <c r="S280" i="5"/>
  <c r="S281" i="5"/>
  <c r="S282" i="5"/>
  <c r="S283" i="5"/>
  <c r="S284" i="5"/>
  <c r="S285" i="5"/>
  <c r="S286" i="5"/>
  <c r="S287" i="5"/>
  <c r="S288" i="5"/>
  <c r="S289" i="5"/>
  <c r="S290" i="5"/>
  <c r="S291" i="5"/>
  <c r="S292" i="5"/>
  <c r="S293" i="5"/>
  <c r="S294" i="5"/>
  <c r="S295" i="5"/>
  <c r="S296" i="5"/>
  <c r="S297" i="5"/>
  <c r="S298" i="5"/>
  <c r="S299" i="5"/>
  <c r="S300" i="5"/>
  <c r="S301" i="5"/>
  <c r="S302" i="5"/>
  <c r="S303" i="5"/>
  <c r="S304" i="5"/>
  <c r="S305" i="5"/>
  <c r="S306" i="5"/>
  <c r="S307" i="5"/>
  <c r="S308" i="5"/>
  <c r="S309" i="5"/>
  <c r="S310" i="5"/>
  <c r="S311" i="5"/>
  <c r="S312" i="5"/>
  <c r="S313" i="5"/>
  <c r="S314" i="5"/>
  <c r="S315" i="5"/>
  <c r="S316" i="5"/>
  <c r="S317" i="5"/>
  <c r="S318" i="5"/>
  <c r="S319" i="5"/>
  <c r="S320" i="5"/>
  <c r="S321" i="5"/>
  <c r="S322" i="5"/>
  <c r="S323" i="5"/>
  <c r="S324" i="5"/>
  <c r="S325" i="5"/>
  <c r="S326" i="5"/>
  <c r="S327" i="5"/>
  <c r="S328" i="5"/>
  <c r="S329" i="5"/>
  <c r="S330" i="5"/>
  <c r="S331" i="5"/>
  <c r="S332" i="5"/>
  <c r="S333" i="5"/>
  <c r="S334" i="5"/>
  <c r="S335" i="5"/>
  <c r="S336" i="5"/>
  <c r="S337" i="5"/>
  <c r="S338" i="5"/>
  <c r="S339" i="5"/>
  <c r="S340" i="5"/>
  <c r="S341" i="5"/>
  <c r="S342" i="5"/>
  <c r="S343" i="5"/>
  <c r="S344" i="5"/>
  <c r="S345" i="5"/>
  <c r="S346" i="5"/>
  <c r="S347" i="5"/>
  <c r="S348" i="5"/>
  <c r="S349" i="5"/>
  <c r="S350" i="5"/>
  <c r="S351" i="5"/>
  <c r="S352" i="5"/>
  <c r="S353" i="5"/>
  <c r="S354" i="5"/>
  <c r="S355" i="5"/>
  <c r="S356" i="5"/>
  <c r="S357" i="5"/>
  <c r="S358" i="5"/>
  <c r="S359" i="5"/>
  <c r="S360" i="5"/>
  <c r="S361" i="5"/>
  <c r="S362" i="5"/>
  <c r="S363" i="5"/>
  <c r="S364" i="5"/>
  <c r="S365" i="5"/>
  <c r="S366" i="5"/>
  <c r="S367" i="5"/>
  <c r="S368" i="5"/>
  <c r="S369" i="5"/>
  <c r="S370" i="5"/>
  <c r="S371" i="5"/>
  <c r="S372" i="5"/>
  <c r="S373" i="5"/>
  <c r="S374" i="5"/>
  <c r="S375" i="5"/>
  <c r="S376" i="5"/>
  <c r="S377" i="5"/>
  <c r="S378" i="5"/>
  <c r="S379" i="5"/>
  <c r="S380" i="5"/>
  <c r="S381" i="5"/>
  <c r="S382" i="5"/>
  <c r="S383" i="5"/>
  <c r="S384" i="5"/>
  <c r="S385" i="5"/>
  <c r="S386" i="5"/>
  <c r="S387" i="5"/>
  <c r="S388" i="5"/>
  <c r="S389" i="5"/>
  <c r="S390" i="5"/>
  <c r="S391" i="5"/>
  <c r="S392" i="5"/>
  <c r="S393" i="5"/>
  <c r="S4" i="5"/>
  <c r="H227" i="5"/>
  <c r="I227" i="5"/>
  <c r="J227" i="5"/>
  <c r="K227" i="5"/>
  <c r="H149" i="5"/>
  <c r="I149" i="5"/>
  <c r="J149" i="5"/>
  <c r="K149" i="5"/>
  <c r="H150" i="5"/>
  <c r="I150" i="5"/>
  <c r="J150" i="5"/>
  <c r="K150" i="5"/>
  <c r="H151" i="5"/>
  <c r="I151" i="5"/>
  <c r="J151" i="5"/>
  <c r="K151" i="5"/>
  <c r="H152" i="5"/>
  <c r="I152" i="5"/>
  <c r="J152" i="5"/>
  <c r="K152" i="5"/>
  <c r="H4" i="5"/>
  <c r="I4" i="5"/>
  <c r="J4" i="5"/>
  <c r="K4" i="5"/>
  <c r="H228" i="5"/>
  <c r="I228" i="5"/>
  <c r="J228" i="5"/>
  <c r="K228" i="5"/>
  <c r="H306" i="5"/>
  <c r="I306" i="5"/>
  <c r="J306" i="5"/>
  <c r="K306" i="5"/>
  <c r="H307" i="5"/>
  <c r="I307" i="5"/>
  <c r="J307" i="5"/>
  <c r="K307" i="5"/>
  <c r="H153" i="5"/>
  <c r="I153" i="5"/>
  <c r="J153" i="5"/>
  <c r="K153" i="5"/>
  <c r="H72" i="5"/>
  <c r="I72" i="5"/>
  <c r="J72" i="5"/>
  <c r="K72" i="5"/>
  <c r="H308" i="5"/>
  <c r="I308" i="5"/>
  <c r="J308" i="5"/>
  <c r="K308" i="5"/>
  <c r="H154" i="5"/>
  <c r="I154" i="5"/>
  <c r="J154" i="5"/>
  <c r="K154" i="5"/>
  <c r="H349" i="5"/>
  <c r="I349" i="5"/>
  <c r="J349" i="5"/>
  <c r="K349" i="5"/>
  <c r="H73" i="5"/>
  <c r="I73" i="5"/>
  <c r="J73" i="5"/>
  <c r="K73" i="5"/>
  <c r="H5" i="5"/>
  <c r="I5" i="5"/>
  <c r="J5" i="5"/>
  <c r="K5" i="5"/>
  <c r="H74" i="5"/>
  <c r="I74" i="5"/>
  <c r="J74" i="5"/>
  <c r="K74" i="5"/>
  <c r="H229" i="5"/>
  <c r="I229" i="5"/>
  <c r="J229" i="5"/>
  <c r="K229" i="5"/>
  <c r="H155" i="5"/>
  <c r="I155" i="5"/>
  <c r="J155" i="5"/>
  <c r="K155" i="5"/>
  <c r="H230" i="5"/>
  <c r="I230" i="5"/>
  <c r="J230" i="5"/>
  <c r="K230" i="5"/>
  <c r="H75" i="5"/>
  <c r="I75" i="5"/>
  <c r="J75" i="5"/>
  <c r="K75" i="5"/>
  <c r="H309" i="5"/>
  <c r="I309" i="5"/>
  <c r="J309" i="5"/>
  <c r="K309" i="5"/>
  <c r="H76" i="5"/>
  <c r="I76" i="5"/>
  <c r="J76" i="5"/>
  <c r="K76" i="5"/>
  <c r="H156" i="5"/>
  <c r="I156" i="5"/>
  <c r="J156" i="5"/>
  <c r="K156" i="5"/>
  <c r="H350" i="5"/>
  <c r="I350" i="5"/>
  <c r="J350" i="5"/>
  <c r="K350" i="5"/>
  <c r="H6" i="5"/>
  <c r="I6" i="5"/>
  <c r="J6" i="5"/>
  <c r="K6" i="5"/>
  <c r="H7" i="5"/>
  <c r="I7" i="5"/>
  <c r="J7" i="5"/>
  <c r="K7" i="5"/>
  <c r="H310" i="5"/>
  <c r="I310" i="5"/>
  <c r="J310" i="5"/>
  <c r="K310" i="5"/>
  <c r="H8" i="5"/>
  <c r="I8" i="5"/>
  <c r="J8" i="5"/>
  <c r="K8" i="5"/>
  <c r="H231" i="5"/>
  <c r="I231" i="5"/>
  <c r="J231" i="5"/>
  <c r="K231" i="5"/>
  <c r="H9" i="5"/>
  <c r="I9" i="5"/>
  <c r="J9" i="5"/>
  <c r="K9" i="5"/>
  <c r="H10" i="5"/>
  <c r="I10" i="5"/>
  <c r="J10" i="5"/>
  <c r="K10" i="5"/>
  <c r="H232" i="5"/>
  <c r="I232" i="5"/>
  <c r="J232" i="5"/>
  <c r="K232" i="5"/>
  <c r="H157" i="5"/>
  <c r="I157" i="5"/>
  <c r="J157" i="5"/>
  <c r="K157" i="5"/>
  <c r="H77" i="5"/>
  <c r="I77" i="5"/>
  <c r="J77" i="5"/>
  <c r="K77" i="5"/>
  <c r="H11" i="5"/>
  <c r="I11" i="5"/>
  <c r="J11" i="5"/>
  <c r="K11" i="5"/>
  <c r="H233" i="5"/>
  <c r="I233" i="5"/>
  <c r="J233" i="5"/>
  <c r="K233" i="5"/>
  <c r="H158" i="5"/>
  <c r="I158" i="5"/>
  <c r="J158" i="5"/>
  <c r="K158" i="5"/>
  <c r="H311" i="5"/>
  <c r="I311" i="5"/>
  <c r="J311" i="5"/>
  <c r="K311" i="5"/>
  <c r="H159" i="5"/>
  <c r="I159" i="5"/>
  <c r="J159" i="5"/>
  <c r="K159" i="5"/>
  <c r="H312" i="5"/>
  <c r="I312" i="5"/>
  <c r="J312" i="5"/>
  <c r="K312" i="5"/>
  <c r="H234" i="5"/>
  <c r="I234" i="5"/>
  <c r="J234" i="5"/>
  <c r="K234" i="5"/>
  <c r="H235" i="5"/>
  <c r="I235" i="5"/>
  <c r="J235" i="5"/>
  <c r="K235" i="5"/>
  <c r="H78" i="5"/>
  <c r="I78" i="5"/>
  <c r="J78" i="5"/>
  <c r="K78" i="5"/>
  <c r="H236" i="5"/>
  <c r="I236" i="5"/>
  <c r="J236" i="5"/>
  <c r="K236" i="5"/>
  <c r="H313" i="5"/>
  <c r="I313" i="5"/>
  <c r="J313" i="5"/>
  <c r="K313" i="5"/>
  <c r="H79" i="5"/>
  <c r="I79" i="5"/>
  <c r="J79" i="5"/>
  <c r="K79" i="5"/>
  <c r="H160" i="5"/>
  <c r="I160" i="5"/>
  <c r="J160" i="5"/>
  <c r="K160" i="5"/>
  <c r="H161" i="5"/>
  <c r="I161" i="5"/>
  <c r="J161" i="5"/>
  <c r="K161" i="5"/>
  <c r="H12" i="5"/>
  <c r="I12" i="5"/>
  <c r="J12" i="5"/>
  <c r="K12" i="5"/>
  <c r="H314" i="5"/>
  <c r="I314" i="5"/>
  <c r="J314" i="5"/>
  <c r="K314" i="5"/>
  <c r="H162" i="5"/>
  <c r="I162" i="5"/>
  <c r="J162" i="5"/>
  <c r="K162" i="5"/>
  <c r="H80" i="5"/>
  <c r="I80" i="5"/>
  <c r="J80" i="5"/>
  <c r="K80" i="5"/>
  <c r="H351" i="5"/>
  <c r="I351" i="5"/>
  <c r="J351" i="5"/>
  <c r="K351" i="5"/>
  <c r="H352" i="5"/>
  <c r="I352" i="5"/>
  <c r="J352" i="5"/>
  <c r="K352" i="5"/>
  <c r="H163" i="5"/>
  <c r="I163" i="5"/>
  <c r="J163" i="5"/>
  <c r="K163" i="5"/>
  <c r="H13" i="5"/>
  <c r="I13" i="5"/>
  <c r="J13" i="5"/>
  <c r="K13" i="5"/>
  <c r="H164" i="5"/>
  <c r="I164" i="5"/>
  <c r="J164" i="5"/>
  <c r="K164" i="5"/>
  <c r="H315" i="5"/>
  <c r="I315" i="5"/>
  <c r="J315" i="5"/>
  <c r="K315" i="5"/>
  <c r="H165" i="5"/>
  <c r="I165" i="5"/>
  <c r="J165" i="5"/>
  <c r="K165" i="5"/>
  <c r="H166" i="5"/>
  <c r="I166" i="5"/>
  <c r="J166" i="5"/>
  <c r="K166" i="5"/>
  <c r="H14" i="5"/>
  <c r="I14" i="5"/>
  <c r="J14" i="5"/>
  <c r="K14" i="5"/>
  <c r="H237" i="5"/>
  <c r="I237" i="5"/>
  <c r="J237" i="5"/>
  <c r="K237" i="5"/>
  <c r="H167" i="5"/>
  <c r="I167" i="5"/>
  <c r="J167" i="5"/>
  <c r="K167" i="5"/>
  <c r="H238" i="5"/>
  <c r="I238" i="5"/>
  <c r="J238" i="5"/>
  <c r="K238" i="5"/>
  <c r="H15" i="5"/>
  <c r="I15" i="5"/>
  <c r="J15" i="5"/>
  <c r="K15" i="5"/>
  <c r="H239" i="5"/>
  <c r="I239" i="5"/>
  <c r="J239" i="5"/>
  <c r="K239" i="5"/>
  <c r="H240" i="5"/>
  <c r="I240" i="5"/>
  <c r="J240" i="5"/>
  <c r="K240" i="5"/>
  <c r="H316" i="5"/>
  <c r="I316" i="5"/>
  <c r="J316" i="5"/>
  <c r="K316" i="5"/>
  <c r="H353" i="5"/>
  <c r="I353" i="5"/>
  <c r="J353" i="5"/>
  <c r="K353" i="5"/>
  <c r="H317" i="5"/>
  <c r="I317" i="5"/>
  <c r="J317" i="5"/>
  <c r="K317" i="5"/>
  <c r="H16" i="5"/>
  <c r="I16" i="5"/>
  <c r="J16" i="5"/>
  <c r="K16" i="5"/>
  <c r="H354" i="5"/>
  <c r="I354" i="5"/>
  <c r="J354" i="5"/>
  <c r="K354" i="5"/>
  <c r="H81" i="5"/>
  <c r="I81" i="5"/>
  <c r="J81" i="5"/>
  <c r="K81" i="5"/>
  <c r="H241" i="5"/>
  <c r="I241" i="5"/>
  <c r="J241" i="5"/>
  <c r="K241" i="5"/>
  <c r="H17" i="5"/>
  <c r="I17" i="5"/>
  <c r="J17" i="5"/>
  <c r="K17" i="5"/>
  <c r="H18" i="5"/>
  <c r="I18" i="5"/>
  <c r="J18" i="5"/>
  <c r="K18" i="5"/>
  <c r="H318" i="5"/>
  <c r="I318" i="5"/>
  <c r="J318" i="5"/>
  <c r="K318" i="5"/>
  <c r="H319" i="5"/>
  <c r="I319" i="5"/>
  <c r="J319" i="5"/>
  <c r="K319" i="5"/>
  <c r="H242" i="5"/>
  <c r="I242" i="5"/>
  <c r="J242" i="5"/>
  <c r="K242" i="5"/>
  <c r="H82" i="5"/>
  <c r="I82" i="5"/>
  <c r="J82" i="5"/>
  <c r="K82" i="5"/>
  <c r="H168" i="5"/>
  <c r="I168" i="5"/>
  <c r="J168" i="5"/>
  <c r="K168" i="5"/>
  <c r="H243" i="5"/>
  <c r="I243" i="5"/>
  <c r="J243" i="5"/>
  <c r="K243" i="5"/>
  <c r="H320" i="5"/>
  <c r="I320" i="5"/>
  <c r="J320" i="5"/>
  <c r="K320" i="5"/>
  <c r="H19" i="5"/>
  <c r="I19" i="5"/>
  <c r="J19" i="5"/>
  <c r="K19" i="5"/>
  <c r="H20" i="5"/>
  <c r="I20" i="5"/>
  <c r="J20" i="5"/>
  <c r="K20" i="5"/>
  <c r="H21" i="5"/>
  <c r="I21" i="5"/>
  <c r="J21" i="5"/>
  <c r="K21" i="5"/>
  <c r="H22" i="5"/>
  <c r="I22" i="5"/>
  <c r="J22" i="5"/>
  <c r="K22" i="5"/>
  <c r="H23" i="5"/>
  <c r="I23" i="5"/>
  <c r="J23" i="5"/>
  <c r="K23" i="5"/>
  <c r="H355" i="5"/>
  <c r="I355" i="5"/>
  <c r="J355" i="5"/>
  <c r="K355" i="5"/>
  <c r="H356" i="5"/>
  <c r="I356" i="5"/>
  <c r="J356" i="5"/>
  <c r="K356" i="5"/>
  <c r="H83" i="5"/>
  <c r="I83" i="5"/>
  <c r="J83" i="5"/>
  <c r="K83" i="5"/>
  <c r="H321" i="5"/>
  <c r="I321" i="5"/>
  <c r="J321" i="5"/>
  <c r="K321" i="5"/>
  <c r="H169" i="5"/>
  <c r="I169" i="5"/>
  <c r="J169" i="5"/>
  <c r="K169" i="5"/>
  <c r="H357" i="5"/>
  <c r="I357" i="5"/>
  <c r="J357" i="5"/>
  <c r="K357" i="5"/>
  <c r="H244" i="5"/>
  <c r="I244" i="5"/>
  <c r="J244" i="5"/>
  <c r="K244" i="5"/>
  <c r="H245" i="5"/>
  <c r="I245" i="5"/>
  <c r="J245" i="5"/>
  <c r="K245" i="5"/>
  <c r="H322" i="5"/>
  <c r="I322" i="5"/>
  <c r="J322" i="5"/>
  <c r="K322" i="5"/>
  <c r="H84" i="5"/>
  <c r="I84" i="5"/>
  <c r="J84" i="5"/>
  <c r="K84" i="5"/>
  <c r="H170" i="5"/>
  <c r="I170" i="5"/>
  <c r="J170" i="5"/>
  <c r="K170" i="5"/>
  <c r="H246" i="5"/>
  <c r="I246" i="5"/>
  <c r="J246" i="5"/>
  <c r="K246" i="5"/>
  <c r="H85" i="5"/>
  <c r="I85" i="5"/>
  <c r="J85" i="5"/>
  <c r="K85" i="5"/>
  <c r="H86" i="5"/>
  <c r="I86" i="5"/>
  <c r="J86" i="5"/>
  <c r="K86" i="5"/>
  <c r="H323" i="5"/>
  <c r="I323" i="5"/>
  <c r="J323" i="5"/>
  <c r="K323" i="5"/>
  <c r="H324" i="5"/>
  <c r="I324" i="5"/>
  <c r="J324" i="5"/>
  <c r="K324" i="5"/>
  <c r="H247" i="5"/>
  <c r="I247" i="5"/>
  <c r="J247" i="5"/>
  <c r="K247" i="5"/>
  <c r="H171" i="5"/>
  <c r="I171" i="5"/>
  <c r="J171" i="5"/>
  <c r="K171" i="5"/>
  <c r="H172" i="5"/>
  <c r="I172" i="5"/>
  <c r="J172" i="5"/>
  <c r="K172" i="5"/>
  <c r="H87" i="5"/>
  <c r="I87" i="5"/>
  <c r="J87" i="5"/>
  <c r="K87" i="5"/>
  <c r="H24" i="5"/>
  <c r="I24" i="5"/>
  <c r="J24" i="5"/>
  <c r="K24" i="5"/>
  <c r="H25" i="5"/>
  <c r="I25" i="5"/>
  <c r="J25" i="5"/>
  <c r="K25" i="5"/>
  <c r="H248" i="5"/>
  <c r="I248" i="5"/>
  <c r="J248" i="5"/>
  <c r="K248" i="5"/>
  <c r="H173" i="5"/>
  <c r="I173" i="5"/>
  <c r="J173" i="5"/>
  <c r="K173" i="5"/>
  <c r="H26" i="5"/>
  <c r="I26" i="5"/>
  <c r="J26" i="5"/>
  <c r="K26" i="5"/>
  <c r="H358" i="5"/>
  <c r="I358" i="5"/>
  <c r="J358" i="5"/>
  <c r="K358" i="5"/>
  <c r="H249" i="5"/>
  <c r="I249" i="5"/>
  <c r="J249" i="5"/>
  <c r="K249" i="5"/>
  <c r="H250" i="5"/>
  <c r="I250" i="5"/>
  <c r="J250" i="5"/>
  <c r="K250" i="5"/>
  <c r="H27" i="5"/>
  <c r="I27" i="5"/>
  <c r="J27" i="5"/>
  <c r="K27" i="5"/>
  <c r="H251" i="5"/>
  <c r="I251" i="5"/>
  <c r="J251" i="5"/>
  <c r="K251" i="5"/>
  <c r="H252" i="5"/>
  <c r="I252" i="5"/>
  <c r="J252" i="5"/>
  <c r="K252" i="5"/>
  <c r="H359" i="5"/>
  <c r="I359" i="5"/>
  <c r="J359" i="5"/>
  <c r="K359" i="5"/>
  <c r="H88" i="5"/>
  <c r="I88" i="5"/>
  <c r="J88" i="5"/>
  <c r="K88" i="5"/>
  <c r="H253" i="5"/>
  <c r="I253" i="5"/>
  <c r="J253" i="5"/>
  <c r="K253" i="5"/>
  <c r="H174" i="5"/>
  <c r="I174" i="5"/>
  <c r="J174" i="5"/>
  <c r="K174" i="5"/>
  <c r="H28" i="5"/>
  <c r="I28" i="5"/>
  <c r="J28" i="5"/>
  <c r="K28" i="5"/>
  <c r="H254" i="5"/>
  <c r="I254" i="5"/>
  <c r="J254" i="5"/>
  <c r="K254" i="5"/>
  <c r="H89" i="5"/>
  <c r="I89" i="5"/>
  <c r="J89" i="5"/>
  <c r="K89" i="5"/>
  <c r="H255" i="5"/>
  <c r="I255" i="5"/>
  <c r="J255" i="5"/>
  <c r="K255" i="5"/>
  <c r="H256" i="5"/>
  <c r="I256" i="5"/>
  <c r="J256" i="5"/>
  <c r="K256" i="5"/>
  <c r="H175" i="5"/>
  <c r="I175" i="5"/>
  <c r="J175" i="5"/>
  <c r="K175" i="5"/>
  <c r="H29" i="5"/>
  <c r="I29" i="5"/>
  <c r="J29" i="5"/>
  <c r="K29" i="5"/>
  <c r="H325" i="5"/>
  <c r="I325" i="5"/>
  <c r="J325" i="5"/>
  <c r="K325" i="5"/>
  <c r="H176" i="5"/>
  <c r="I176" i="5"/>
  <c r="J176" i="5"/>
  <c r="K176" i="5"/>
  <c r="H360" i="5"/>
  <c r="I360" i="5"/>
  <c r="J360" i="5"/>
  <c r="K360" i="5"/>
  <c r="H30" i="5"/>
  <c r="I30" i="5"/>
  <c r="J30" i="5"/>
  <c r="K30" i="5"/>
  <c r="H326" i="5"/>
  <c r="I326" i="5"/>
  <c r="J326" i="5"/>
  <c r="K326" i="5"/>
  <c r="H177" i="5"/>
  <c r="I177" i="5"/>
  <c r="J177" i="5"/>
  <c r="K177" i="5"/>
  <c r="H257" i="5"/>
  <c r="I257" i="5"/>
  <c r="J257" i="5"/>
  <c r="K257" i="5"/>
  <c r="H31" i="5"/>
  <c r="I31" i="5"/>
  <c r="J31" i="5"/>
  <c r="K31" i="5"/>
  <c r="H32" i="5"/>
  <c r="I32" i="5"/>
  <c r="J32" i="5"/>
  <c r="K32" i="5"/>
  <c r="H361" i="5"/>
  <c r="I361" i="5"/>
  <c r="J361" i="5"/>
  <c r="K361" i="5"/>
  <c r="H258" i="5"/>
  <c r="I258" i="5"/>
  <c r="J258" i="5"/>
  <c r="K258" i="5"/>
  <c r="H362" i="5"/>
  <c r="I362" i="5"/>
  <c r="J362" i="5"/>
  <c r="K362" i="5"/>
  <c r="H178" i="5"/>
  <c r="I178" i="5"/>
  <c r="J178" i="5"/>
  <c r="K178" i="5"/>
  <c r="H363" i="5"/>
  <c r="I363" i="5"/>
  <c r="J363" i="5"/>
  <c r="K363" i="5"/>
  <c r="H327" i="5"/>
  <c r="I327" i="5"/>
  <c r="J327" i="5"/>
  <c r="K327" i="5"/>
  <c r="H259" i="5"/>
  <c r="I259" i="5"/>
  <c r="J259" i="5"/>
  <c r="K259" i="5"/>
  <c r="H260" i="5"/>
  <c r="I260" i="5"/>
  <c r="J260" i="5"/>
  <c r="K260" i="5"/>
  <c r="H90" i="5"/>
  <c r="I90" i="5"/>
  <c r="J90" i="5"/>
  <c r="K90" i="5"/>
  <c r="H261" i="5"/>
  <c r="I261" i="5"/>
  <c r="J261" i="5"/>
  <c r="K261" i="5"/>
  <c r="H262" i="5"/>
  <c r="I262" i="5"/>
  <c r="J262" i="5"/>
  <c r="K262" i="5"/>
  <c r="H263" i="5"/>
  <c r="I263" i="5"/>
  <c r="J263" i="5"/>
  <c r="K263" i="5"/>
  <c r="H179" i="5"/>
  <c r="I179" i="5"/>
  <c r="J179" i="5"/>
  <c r="K179" i="5"/>
  <c r="H91" i="5"/>
  <c r="I91" i="5"/>
  <c r="J91" i="5"/>
  <c r="K91" i="5"/>
  <c r="H264" i="5"/>
  <c r="I264" i="5"/>
  <c r="J264" i="5"/>
  <c r="K264" i="5"/>
  <c r="H265" i="5"/>
  <c r="I265" i="5"/>
  <c r="J265" i="5"/>
  <c r="K265" i="5"/>
  <c r="H180" i="5"/>
  <c r="I180" i="5"/>
  <c r="J180" i="5"/>
  <c r="K180" i="5"/>
  <c r="H364" i="5"/>
  <c r="I364" i="5"/>
  <c r="J364" i="5"/>
  <c r="K364" i="5"/>
  <c r="H92" i="5"/>
  <c r="I92" i="5"/>
  <c r="J92" i="5"/>
  <c r="K92" i="5"/>
  <c r="H266" i="5"/>
  <c r="I266" i="5"/>
  <c r="J266" i="5"/>
  <c r="K266" i="5"/>
  <c r="H181" i="5"/>
  <c r="I181" i="5"/>
  <c r="J181" i="5"/>
  <c r="K181" i="5"/>
  <c r="H267" i="5"/>
  <c r="I267" i="5"/>
  <c r="J267" i="5"/>
  <c r="K267" i="5"/>
  <c r="H93" i="5"/>
  <c r="I93" i="5"/>
  <c r="J93" i="5"/>
  <c r="K93" i="5"/>
  <c r="H33" i="5"/>
  <c r="I33" i="5"/>
  <c r="J33" i="5"/>
  <c r="K33" i="5"/>
  <c r="H94" i="5"/>
  <c r="I94" i="5"/>
  <c r="J94" i="5"/>
  <c r="K94" i="5"/>
  <c r="H268" i="5"/>
  <c r="I268" i="5"/>
  <c r="J268" i="5"/>
  <c r="K268" i="5"/>
  <c r="H269" i="5"/>
  <c r="I269" i="5"/>
  <c r="J269" i="5"/>
  <c r="K269" i="5"/>
  <c r="H95" i="5"/>
  <c r="I95" i="5"/>
  <c r="J95" i="5"/>
  <c r="K95" i="5"/>
  <c r="H365" i="5"/>
  <c r="I365" i="5"/>
  <c r="J365" i="5"/>
  <c r="K365" i="5"/>
  <c r="H96" i="5"/>
  <c r="I96" i="5"/>
  <c r="J96" i="5"/>
  <c r="K96" i="5"/>
  <c r="H182" i="5"/>
  <c r="I182" i="5"/>
  <c r="J182" i="5"/>
  <c r="K182" i="5"/>
  <c r="H34" i="5"/>
  <c r="I34" i="5"/>
  <c r="J34" i="5"/>
  <c r="K34" i="5"/>
  <c r="H97" i="5"/>
  <c r="I97" i="5"/>
  <c r="J97" i="5"/>
  <c r="K97" i="5"/>
  <c r="H270" i="5"/>
  <c r="I270" i="5"/>
  <c r="J270" i="5"/>
  <c r="K270" i="5"/>
  <c r="H328" i="5"/>
  <c r="I328" i="5"/>
  <c r="J328" i="5"/>
  <c r="K328" i="5"/>
  <c r="H98" i="5"/>
  <c r="I98" i="5"/>
  <c r="J98" i="5"/>
  <c r="K98" i="5"/>
  <c r="H271" i="5"/>
  <c r="I271" i="5"/>
  <c r="J271" i="5"/>
  <c r="K271" i="5"/>
  <c r="H99" i="5"/>
  <c r="I99" i="5"/>
  <c r="J99" i="5"/>
  <c r="K99" i="5"/>
  <c r="H366" i="5"/>
  <c r="I366" i="5"/>
  <c r="J366" i="5"/>
  <c r="K366" i="5"/>
  <c r="H100" i="5"/>
  <c r="I100" i="5"/>
  <c r="J100" i="5"/>
  <c r="K100" i="5"/>
  <c r="H101" i="5"/>
  <c r="I101" i="5"/>
  <c r="J101" i="5"/>
  <c r="K101" i="5"/>
  <c r="H102" i="5"/>
  <c r="I102" i="5"/>
  <c r="J102" i="5"/>
  <c r="K102" i="5"/>
  <c r="H367" i="5"/>
  <c r="I367" i="5"/>
  <c r="J367" i="5"/>
  <c r="K367" i="5"/>
  <c r="H272" i="5"/>
  <c r="I272" i="5"/>
  <c r="J272" i="5"/>
  <c r="K272" i="5"/>
  <c r="H368" i="5"/>
  <c r="I368" i="5"/>
  <c r="J368" i="5"/>
  <c r="K368" i="5"/>
  <c r="H183" i="5"/>
  <c r="I183" i="5"/>
  <c r="J183" i="5"/>
  <c r="K183" i="5"/>
  <c r="H35" i="5"/>
  <c r="I35" i="5"/>
  <c r="J35" i="5"/>
  <c r="K35" i="5"/>
  <c r="H103" i="5"/>
  <c r="I103" i="5"/>
  <c r="J103" i="5"/>
  <c r="K103" i="5"/>
  <c r="H184" i="5"/>
  <c r="I184" i="5"/>
  <c r="J184" i="5"/>
  <c r="K184" i="5"/>
  <c r="H369" i="5"/>
  <c r="I369" i="5"/>
  <c r="J369" i="5"/>
  <c r="K369" i="5"/>
  <c r="H36" i="5"/>
  <c r="I36" i="5"/>
  <c r="J36" i="5"/>
  <c r="K36" i="5"/>
  <c r="H37" i="5"/>
  <c r="I37" i="5"/>
  <c r="J37" i="5"/>
  <c r="K37" i="5"/>
  <c r="H273" i="5"/>
  <c r="I273" i="5"/>
  <c r="J273" i="5"/>
  <c r="K273" i="5"/>
  <c r="H38" i="5"/>
  <c r="I38" i="5"/>
  <c r="J38" i="5"/>
  <c r="K38" i="5"/>
  <c r="H104" i="5"/>
  <c r="I104" i="5"/>
  <c r="J104" i="5"/>
  <c r="K104" i="5"/>
  <c r="H105" i="5"/>
  <c r="I105" i="5"/>
  <c r="J105" i="5"/>
  <c r="K105" i="5"/>
  <c r="H329" i="5"/>
  <c r="I329" i="5"/>
  <c r="J329" i="5"/>
  <c r="K329" i="5"/>
  <c r="H185" i="5"/>
  <c r="I185" i="5"/>
  <c r="J185" i="5"/>
  <c r="K185" i="5"/>
  <c r="H39" i="5"/>
  <c r="I39" i="5"/>
  <c r="J39" i="5"/>
  <c r="K39" i="5"/>
  <c r="H330" i="5"/>
  <c r="I330" i="5"/>
  <c r="J330" i="5"/>
  <c r="K330" i="5"/>
  <c r="H274" i="5"/>
  <c r="I274" i="5"/>
  <c r="J274" i="5"/>
  <c r="K274" i="5"/>
  <c r="H40" i="5"/>
  <c r="I40" i="5"/>
  <c r="J40" i="5"/>
  <c r="K40" i="5"/>
  <c r="H370" i="5"/>
  <c r="I370" i="5"/>
  <c r="J370" i="5"/>
  <c r="K370" i="5"/>
  <c r="H186" i="5"/>
  <c r="I186" i="5"/>
  <c r="J186" i="5"/>
  <c r="K186" i="5"/>
  <c r="H331" i="5"/>
  <c r="I331" i="5"/>
  <c r="J331" i="5"/>
  <c r="K331" i="5"/>
  <c r="H106" i="5"/>
  <c r="I106" i="5"/>
  <c r="J106" i="5"/>
  <c r="K106" i="5"/>
  <c r="H275" i="5"/>
  <c r="I275" i="5"/>
  <c r="J275" i="5"/>
  <c r="K275" i="5"/>
  <c r="H41" i="5"/>
  <c r="I41" i="5"/>
  <c r="J41" i="5"/>
  <c r="K41" i="5"/>
  <c r="H107" i="5"/>
  <c r="I107" i="5"/>
  <c r="J107" i="5"/>
  <c r="K107" i="5"/>
  <c r="H276" i="5"/>
  <c r="I276" i="5"/>
  <c r="J276" i="5"/>
  <c r="K276" i="5"/>
  <c r="H42" i="5"/>
  <c r="I42" i="5"/>
  <c r="J42" i="5"/>
  <c r="K42" i="5"/>
  <c r="H108" i="5"/>
  <c r="I108" i="5"/>
  <c r="J108" i="5"/>
  <c r="K108" i="5"/>
  <c r="H332" i="5"/>
  <c r="I332" i="5"/>
  <c r="J332" i="5"/>
  <c r="K332" i="5"/>
  <c r="H109" i="5"/>
  <c r="I109" i="5"/>
  <c r="J109" i="5"/>
  <c r="K109" i="5"/>
  <c r="H187" i="5"/>
  <c r="I187" i="5"/>
  <c r="J187" i="5"/>
  <c r="K187" i="5"/>
  <c r="H277" i="5"/>
  <c r="I277" i="5"/>
  <c r="J277" i="5"/>
  <c r="K277" i="5"/>
  <c r="H188" i="5"/>
  <c r="I188" i="5"/>
  <c r="J188" i="5"/>
  <c r="K188" i="5"/>
  <c r="H43" i="5"/>
  <c r="I43" i="5"/>
  <c r="J43" i="5"/>
  <c r="K43" i="5"/>
  <c r="H110" i="5"/>
  <c r="I110" i="5"/>
  <c r="J110" i="5"/>
  <c r="K110" i="5"/>
  <c r="H111" i="5"/>
  <c r="I111" i="5"/>
  <c r="J111" i="5"/>
  <c r="K111" i="5"/>
  <c r="H278" i="5"/>
  <c r="I278" i="5"/>
  <c r="J278" i="5"/>
  <c r="K278" i="5"/>
  <c r="H333" i="5"/>
  <c r="I333" i="5"/>
  <c r="J333" i="5"/>
  <c r="K333" i="5"/>
  <c r="H279" i="5"/>
  <c r="I279" i="5"/>
  <c r="J279" i="5"/>
  <c r="K279" i="5"/>
  <c r="H112" i="5"/>
  <c r="I112" i="5"/>
  <c r="J112" i="5"/>
  <c r="K112" i="5"/>
  <c r="H113" i="5"/>
  <c r="I113" i="5"/>
  <c r="J113" i="5"/>
  <c r="K113" i="5"/>
  <c r="H44" i="5"/>
  <c r="I44" i="5"/>
  <c r="J44" i="5"/>
  <c r="K44" i="5"/>
  <c r="H189" i="5"/>
  <c r="I189" i="5"/>
  <c r="J189" i="5"/>
  <c r="K189" i="5"/>
  <c r="H114" i="5"/>
  <c r="I114" i="5"/>
  <c r="J114" i="5"/>
  <c r="K114" i="5"/>
  <c r="H280" i="5"/>
  <c r="I280" i="5"/>
  <c r="J280" i="5"/>
  <c r="K280" i="5"/>
  <c r="H45" i="5"/>
  <c r="I45" i="5"/>
  <c r="J45" i="5"/>
  <c r="K45" i="5"/>
  <c r="H281" i="5"/>
  <c r="I281" i="5"/>
  <c r="J281" i="5"/>
  <c r="K281" i="5"/>
  <c r="H282" i="5"/>
  <c r="I282" i="5"/>
  <c r="J282" i="5"/>
  <c r="K282" i="5"/>
  <c r="H190" i="5"/>
  <c r="I190" i="5"/>
  <c r="J190" i="5"/>
  <c r="K190" i="5"/>
  <c r="H283" i="5"/>
  <c r="I283" i="5"/>
  <c r="J283" i="5"/>
  <c r="K283" i="5"/>
  <c r="H371" i="5"/>
  <c r="I371" i="5"/>
  <c r="J371" i="5"/>
  <c r="K371" i="5"/>
  <c r="H191" i="5"/>
  <c r="I191" i="5"/>
  <c r="J191" i="5"/>
  <c r="K191" i="5"/>
  <c r="H115" i="5"/>
  <c r="I115" i="5"/>
  <c r="J115" i="5"/>
  <c r="K115" i="5"/>
  <c r="H116" i="5"/>
  <c r="I116" i="5"/>
  <c r="J116" i="5"/>
  <c r="K116" i="5"/>
  <c r="H284" i="5"/>
  <c r="I284" i="5"/>
  <c r="J284" i="5"/>
  <c r="K284" i="5"/>
  <c r="H46" i="5"/>
  <c r="I46" i="5"/>
  <c r="J46" i="5"/>
  <c r="K46" i="5"/>
  <c r="H192" i="5"/>
  <c r="I192" i="5"/>
  <c r="J192" i="5"/>
  <c r="K192" i="5"/>
  <c r="H372" i="5"/>
  <c r="I372" i="5"/>
  <c r="J372" i="5"/>
  <c r="K372" i="5"/>
  <c r="H193" i="5"/>
  <c r="I193" i="5"/>
  <c r="J193" i="5"/>
  <c r="K193" i="5"/>
  <c r="H117" i="5"/>
  <c r="I117" i="5"/>
  <c r="J117" i="5"/>
  <c r="K117" i="5"/>
  <c r="H118" i="5"/>
  <c r="I118" i="5"/>
  <c r="J118" i="5"/>
  <c r="K118" i="5"/>
  <c r="H285" i="5"/>
  <c r="I285" i="5"/>
  <c r="J285" i="5"/>
  <c r="K285" i="5"/>
  <c r="H119" i="5"/>
  <c r="I119" i="5"/>
  <c r="J119" i="5"/>
  <c r="K119" i="5"/>
  <c r="H47" i="5"/>
  <c r="I47" i="5"/>
  <c r="J47" i="5"/>
  <c r="K47" i="5"/>
  <c r="H194" i="5"/>
  <c r="I194" i="5"/>
  <c r="J194" i="5"/>
  <c r="K194" i="5"/>
  <c r="H334" i="5"/>
  <c r="I334" i="5"/>
  <c r="J334" i="5"/>
  <c r="K334" i="5"/>
  <c r="H120" i="5"/>
  <c r="I120" i="5"/>
  <c r="J120" i="5"/>
  <c r="K120" i="5"/>
  <c r="H373" i="5"/>
  <c r="I373" i="5"/>
  <c r="J373" i="5"/>
  <c r="K373" i="5"/>
  <c r="H335" i="5"/>
  <c r="I335" i="5"/>
  <c r="J335" i="5"/>
  <c r="K335" i="5"/>
  <c r="H286" i="5"/>
  <c r="I286" i="5"/>
  <c r="J286" i="5"/>
  <c r="K286" i="5"/>
  <c r="H48" i="5"/>
  <c r="I48" i="5"/>
  <c r="J48" i="5"/>
  <c r="K48" i="5"/>
  <c r="H336" i="5"/>
  <c r="I336" i="5"/>
  <c r="J336" i="5"/>
  <c r="K336" i="5"/>
  <c r="H49" i="5"/>
  <c r="I49" i="5"/>
  <c r="J49" i="5"/>
  <c r="K49" i="5"/>
  <c r="H195" i="5"/>
  <c r="I195" i="5"/>
  <c r="J195" i="5"/>
  <c r="K195" i="5"/>
  <c r="H287" i="5"/>
  <c r="I287" i="5"/>
  <c r="J287" i="5"/>
  <c r="K287" i="5"/>
  <c r="H288" i="5"/>
  <c r="I288" i="5"/>
  <c r="J288" i="5"/>
  <c r="K288" i="5"/>
  <c r="H121" i="5"/>
  <c r="I121" i="5"/>
  <c r="J121" i="5"/>
  <c r="K121" i="5"/>
  <c r="H289" i="5"/>
  <c r="I289" i="5"/>
  <c r="J289" i="5"/>
  <c r="K289" i="5"/>
  <c r="H196" i="5"/>
  <c r="I196" i="5"/>
  <c r="J196" i="5"/>
  <c r="K196" i="5"/>
  <c r="H122" i="5"/>
  <c r="I122" i="5"/>
  <c r="J122" i="5"/>
  <c r="K122" i="5"/>
  <c r="H197" i="5"/>
  <c r="I197" i="5"/>
  <c r="J197" i="5"/>
  <c r="K197" i="5"/>
  <c r="H290" i="5"/>
  <c r="I290" i="5"/>
  <c r="J290" i="5"/>
  <c r="K290" i="5"/>
  <c r="H123" i="5"/>
  <c r="I123" i="5"/>
  <c r="J123" i="5"/>
  <c r="K123" i="5"/>
  <c r="H50" i="5"/>
  <c r="I50" i="5"/>
  <c r="J50" i="5"/>
  <c r="K50" i="5"/>
  <c r="H198" i="5"/>
  <c r="I198" i="5"/>
  <c r="J198" i="5"/>
  <c r="K198" i="5"/>
  <c r="H337" i="5"/>
  <c r="I337" i="5"/>
  <c r="J337" i="5"/>
  <c r="K337" i="5"/>
  <c r="H291" i="5"/>
  <c r="I291" i="5"/>
  <c r="J291" i="5"/>
  <c r="K291" i="5"/>
  <c r="H124" i="5"/>
  <c r="I124" i="5"/>
  <c r="J124" i="5"/>
  <c r="K124" i="5"/>
  <c r="H199" i="5"/>
  <c r="I199" i="5"/>
  <c r="J199" i="5"/>
  <c r="K199" i="5"/>
  <c r="H125" i="5"/>
  <c r="I125" i="5"/>
  <c r="J125" i="5"/>
  <c r="K125" i="5"/>
  <c r="H338" i="5"/>
  <c r="I338" i="5"/>
  <c r="J338" i="5"/>
  <c r="K338" i="5"/>
  <c r="H374" i="5"/>
  <c r="I374" i="5"/>
  <c r="J374" i="5"/>
  <c r="K374" i="5"/>
  <c r="H126" i="5"/>
  <c r="I126" i="5"/>
  <c r="J126" i="5"/>
  <c r="K126" i="5"/>
  <c r="H375" i="5"/>
  <c r="I375" i="5"/>
  <c r="J375" i="5"/>
  <c r="K375" i="5"/>
  <c r="H292" i="5"/>
  <c r="I292" i="5"/>
  <c r="J292" i="5"/>
  <c r="K292" i="5"/>
  <c r="H293" i="5"/>
  <c r="I293" i="5"/>
  <c r="J293" i="5"/>
  <c r="K293" i="5"/>
  <c r="H127" i="5"/>
  <c r="I127" i="5"/>
  <c r="J127" i="5"/>
  <c r="K127" i="5"/>
  <c r="H294" i="5"/>
  <c r="I294" i="5"/>
  <c r="J294" i="5"/>
  <c r="K294" i="5"/>
  <c r="H376" i="5"/>
  <c r="I376" i="5"/>
  <c r="J376" i="5"/>
  <c r="K376" i="5"/>
  <c r="H128" i="5"/>
  <c r="I128" i="5"/>
  <c r="J128" i="5"/>
  <c r="K128" i="5"/>
  <c r="H129" i="5"/>
  <c r="I129" i="5"/>
  <c r="J129" i="5"/>
  <c r="K129" i="5"/>
  <c r="H200" i="5"/>
  <c r="I200" i="5"/>
  <c r="J200" i="5"/>
  <c r="K200" i="5"/>
  <c r="H51" i="5"/>
  <c r="I51" i="5"/>
  <c r="J51" i="5"/>
  <c r="K51" i="5"/>
  <c r="H130" i="5"/>
  <c r="I130" i="5"/>
  <c r="J130" i="5"/>
  <c r="K130" i="5"/>
  <c r="H339" i="5"/>
  <c r="I339" i="5"/>
  <c r="J339" i="5"/>
  <c r="K339" i="5"/>
  <c r="H201" i="5"/>
  <c r="I201" i="5"/>
  <c r="J201" i="5"/>
  <c r="K201" i="5"/>
  <c r="H131" i="5"/>
  <c r="I131" i="5"/>
  <c r="J131" i="5"/>
  <c r="K131" i="5"/>
  <c r="H52" i="5"/>
  <c r="I52" i="5"/>
  <c r="J52" i="5"/>
  <c r="K52" i="5"/>
  <c r="H53" i="5"/>
  <c r="I53" i="5"/>
  <c r="J53" i="5"/>
  <c r="K53" i="5"/>
  <c r="H202" i="5"/>
  <c r="I202" i="5"/>
  <c r="J202" i="5"/>
  <c r="K202" i="5"/>
  <c r="H54" i="5"/>
  <c r="I54" i="5"/>
  <c r="J54" i="5"/>
  <c r="K54" i="5"/>
  <c r="H55" i="5"/>
  <c r="I55" i="5"/>
  <c r="J55" i="5"/>
  <c r="K55" i="5"/>
  <c r="H132" i="5"/>
  <c r="I132" i="5"/>
  <c r="J132" i="5"/>
  <c r="K132" i="5"/>
  <c r="H203" i="5"/>
  <c r="I203" i="5"/>
  <c r="J203" i="5"/>
  <c r="K203" i="5"/>
  <c r="H295" i="5"/>
  <c r="I295" i="5"/>
  <c r="J295" i="5"/>
  <c r="K295" i="5"/>
  <c r="H377" i="5"/>
  <c r="I377" i="5"/>
  <c r="J377" i="5"/>
  <c r="K377" i="5"/>
  <c r="H340" i="5"/>
  <c r="I340" i="5"/>
  <c r="J340" i="5"/>
  <c r="K340" i="5"/>
  <c r="H341" i="5"/>
  <c r="I341" i="5"/>
  <c r="J341" i="5"/>
  <c r="K341" i="5"/>
  <c r="H133" i="5"/>
  <c r="I133" i="5"/>
  <c r="J133" i="5"/>
  <c r="K133" i="5"/>
  <c r="H342" i="5"/>
  <c r="I342" i="5"/>
  <c r="J342" i="5"/>
  <c r="K342" i="5"/>
  <c r="H378" i="5"/>
  <c r="I378" i="5"/>
  <c r="J378" i="5"/>
  <c r="K378" i="5"/>
  <c r="H204" i="5"/>
  <c r="I204" i="5"/>
  <c r="J204" i="5"/>
  <c r="K204" i="5"/>
  <c r="H205" i="5"/>
  <c r="I205" i="5"/>
  <c r="J205" i="5"/>
  <c r="K205" i="5"/>
  <c r="H379" i="5"/>
  <c r="I379" i="5"/>
  <c r="J379" i="5"/>
  <c r="K379" i="5"/>
  <c r="H380" i="5"/>
  <c r="I380" i="5"/>
  <c r="J380" i="5"/>
  <c r="K380" i="5"/>
  <c r="H134" i="5"/>
  <c r="I134" i="5"/>
  <c r="J134" i="5"/>
  <c r="K134" i="5"/>
  <c r="H206" i="5"/>
  <c r="I206" i="5"/>
  <c r="J206" i="5"/>
  <c r="K206" i="5"/>
  <c r="H296" i="5"/>
  <c r="I296" i="5"/>
  <c r="J296" i="5"/>
  <c r="K296" i="5"/>
  <c r="H343" i="5"/>
  <c r="I343" i="5"/>
  <c r="J343" i="5"/>
  <c r="K343" i="5"/>
  <c r="H207" i="5"/>
  <c r="I207" i="5"/>
  <c r="J207" i="5"/>
  <c r="K207" i="5"/>
  <c r="H135" i="5"/>
  <c r="I135" i="5"/>
  <c r="J135" i="5"/>
  <c r="K135" i="5"/>
  <c r="H208" i="5"/>
  <c r="I208" i="5"/>
  <c r="J208" i="5"/>
  <c r="K208" i="5"/>
  <c r="H136" i="5"/>
  <c r="I136" i="5"/>
  <c r="J136" i="5"/>
  <c r="K136" i="5"/>
  <c r="H56" i="5"/>
  <c r="I56" i="5"/>
  <c r="J56" i="5"/>
  <c r="K56" i="5"/>
  <c r="H209" i="5"/>
  <c r="I209" i="5"/>
  <c r="J209" i="5"/>
  <c r="K209" i="5"/>
  <c r="H137" i="5"/>
  <c r="I137" i="5"/>
  <c r="J137" i="5"/>
  <c r="K137" i="5"/>
  <c r="H57" i="5"/>
  <c r="I57" i="5"/>
  <c r="J57" i="5"/>
  <c r="K57" i="5"/>
  <c r="H210" i="5"/>
  <c r="I210" i="5"/>
  <c r="J210" i="5"/>
  <c r="K210" i="5"/>
  <c r="H381" i="5"/>
  <c r="I381" i="5"/>
  <c r="J381" i="5"/>
  <c r="K381" i="5"/>
  <c r="H138" i="5"/>
  <c r="I138" i="5"/>
  <c r="J138" i="5"/>
  <c r="K138" i="5"/>
  <c r="H344" i="5"/>
  <c r="I344" i="5"/>
  <c r="J344" i="5"/>
  <c r="K344" i="5"/>
  <c r="H58" i="5"/>
  <c r="I58" i="5"/>
  <c r="J58" i="5"/>
  <c r="K58" i="5"/>
  <c r="H59" i="5"/>
  <c r="I59" i="5"/>
  <c r="J59" i="5"/>
  <c r="K59" i="5"/>
  <c r="H211" i="5"/>
  <c r="I211" i="5"/>
  <c r="J211" i="5"/>
  <c r="K211" i="5"/>
  <c r="H382" i="5"/>
  <c r="I382" i="5"/>
  <c r="J382" i="5"/>
  <c r="K382" i="5"/>
  <c r="H345" i="5"/>
  <c r="I345" i="5"/>
  <c r="J345" i="5"/>
  <c r="K345" i="5"/>
  <c r="H212" i="5"/>
  <c r="I212" i="5"/>
  <c r="J212" i="5"/>
  <c r="K212" i="5"/>
  <c r="H213" i="5"/>
  <c r="I213" i="5"/>
  <c r="J213" i="5"/>
  <c r="K213" i="5"/>
  <c r="H297" i="5"/>
  <c r="I297" i="5"/>
  <c r="J297" i="5"/>
  <c r="K297" i="5"/>
  <c r="H298" i="5"/>
  <c r="I298" i="5"/>
  <c r="J298" i="5"/>
  <c r="K298" i="5"/>
  <c r="H139" i="5"/>
  <c r="I139" i="5"/>
  <c r="J139" i="5"/>
  <c r="K139" i="5"/>
  <c r="H383" i="5"/>
  <c r="I383" i="5"/>
  <c r="J383" i="5"/>
  <c r="K383" i="5"/>
  <c r="H299" i="5"/>
  <c r="I299" i="5"/>
  <c r="J299" i="5"/>
  <c r="K299" i="5"/>
  <c r="H60" i="5"/>
  <c r="I60" i="5"/>
  <c r="J60" i="5"/>
  <c r="K60" i="5"/>
  <c r="H346" i="5"/>
  <c r="I346" i="5"/>
  <c r="J346" i="5"/>
  <c r="K346" i="5"/>
  <c r="H214" i="5"/>
  <c r="I214" i="5"/>
  <c r="J214" i="5"/>
  <c r="K214" i="5"/>
  <c r="H140" i="5"/>
  <c r="I140" i="5"/>
  <c r="J140" i="5"/>
  <c r="K140" i="5"/>
  <c r="H215" i="5"/>
  <c r="I215" i="5"/>
  <c r="J215" i="5"/>
  <c r="K215" i="5"/>
  <c r="H216" i="5"/>
  <c r="I216" i="5"/>
  <c r="J216" i="5"/>
  <c r="K216" i="5"/>
  <c r="H384" i="5"/>
  <c r="I384" i="5"/>
  <c r="J384" i="5"/>
  <c r="K384" i="5"/>
  <c r="H141" i="5"/>
  <c r="I141" i="5"/>
  <c r="J141" i="5"/>
  <c r="K141" i="5"/>
  <c r="H300" i="5"/>
  <c r="I300" i="5"/>
  <c r="J300" i="5"/>
  <c r="K300" i="5"/>
  <c r="H61" i="5"/>
  <c r="I61" i="5"/>
  <c r="J61" i="5"/>
  <c r="K61" i="5"/>
  <c r="H217" i="5"/>
  <c r="I217" i="5"/>
  <c r="J217" i="5"/>
  <c r="K217" i="5"/>
  <c r="H142" i="5"/>
  <c r="I142" i="5"/>
  <c r="J142" i="5"/>
  <c r="K142" i="5"/>
  <c r="H218" i="5"/>
  <c r="I218" i="5"/>
  <c r="J218" i="5"/>
  <c r="K218" i="5"/>
  <c r="H219" i="5"/>
  <c r="I219" i="5"/>
  <c r="J219" i="5"/>
  <c r="K219" i="5"/>
  <c r="H301" i="5"/>
  <c r="I301" i="5"/>
  <c r="J301" i="5"/>
  <c r="K301" i="5"/>
  <c r="H143" i="5"/>
  <c r="I143" i="5"/>
  <c r="J143" i="5"/>
  <c r="K143" i="5"/>
  <c r="H302" i="5"/>
  <c r="I302" i="5"/>
  <c r="J302" i="5"/>
  <c r="K302" i="5"/>
  <c r="H220" i="5"/>
  <c r="I220" i="5"/>
  <c r="J220" i="5"/>
  <c r="K220" i="5"/>
  <c r="H62" i="5"/>
  <c r="I62" i="5"/>
  <c r="J62" i="5"/>
  <c r="K62" i="5"/>
  <c r="H385" i="5"/>
  <c r="I385" i="5"/>
  <c r="J385" i="5"/>
  <c r="K385" i="5"/>
  <c r="H386" i="5"/>
  <c r="I386" i="5"/>
  <c r="J386" i="5"/>
  <c r="K386" i="5"/>
  <c r="H387" i="5"/>
  <c r="I387" i="5"/>
  <c r="J387" i="5"/>
  <c r="K387" i="5"/>
  <c r="H144" i="5"/>
  <c r="I144" i="5"/>
  <c r="J144" i="5"/>
  <c r="K144" i="5"/>
  <c r="H347" i="5"/>
  <c r="I347" i="5"/>
  <c r="J347" i="5"/>
  <c r="K347" i="5"/>
  <c r="H63" i="5"/>
  <c r="I63" i="5"/>
  <c r="J63" i="5"/>
  <c r="K63" i="5"/>
  <c r="H145" i="5"/>
  <c r="I145" i="5"/>
  <c r="J145" i="5"/>
  <c r="K145" i="5"/>
  <c r="H303" i="5"/>
  <c r="I303" i="5"/>
  <c r="J303" i="5"/>
  <c r="K303" i="5"/>
  <c r="H64" i="5"/>
  <c r="I64" i="5"/>
  <c r="J64" i="5"/>
  <c r="K64" i="5"/>
  <c r="H65" i="5"/>
  <c r="I65" i="5"/>
  <c r="J65" i="5"/>
  <c r="K65" i="5"/>
  <c r="H66" i="5"/>
  <c r="I66" i="5"/>
  <c r="J66" i="5"/>
  <c r="K66" i="5"/>
  <c r="H146" i="5"/>
  <c r="I146" i="5"/>
  <c r="J146" i="5"/>
  <c r="K146" i="5"/>
  <c r="H221" i="5"/>
  <c r="I221" i="5"/>
  <c r="J221" i="5"/>
  <c r="K221" i="5"/>
  <c r="H388" i="5"/>
  <c r="I388" i="5"/>
  <c r="J388" i="5"/>
  <c r="K388" i="5"/>
  <c r="H389" i="5"/>
  <c r="I389" i="5"/>
  <c r="J389" i="5"/>
  <c r="K389" i="5"/>
  <c r="H67" i="5"/>
  <c r="I67" i="5"/>
  <c r="J67" i="5"/>
  <c r="K67" i="5"/>
  <c r="H147" i="5"/>
  <c r="I147" i="5"/>
  <c r="J147" i="5"/>
  <c r="K147" i="5"/>
  <c r="H304" i="5"/>
  <c r="I304" i="5"/>
  <c r="J304" i="5"/>
  <c r="K304" i="5"/>
  <c r="H390" i="5"/>
  <c r="I390" i="5"/>
  <c r="J390" i="5"/>
  <c r="K390" i="5"/>
  <c r="H222" i="5"/>
  <c r="I222" i="5"/>
  <c r="J222" i="5"/>
  <c r="K222" i="5"/>
  <c r="H223" i="5"/>
  <c r="I223" i="5"/>
  <c r="J223" i="5"/>
  <c r="K223" i="5"/>
  <c r="H68" i="5"/>
  <c r="I68" i="5"/>
  <c r="J68" i="5"/>
  <c r="K68" i="5"/>
  <c r="H224" i="5"/>
  <c r="I224" i="5"/>
  <c r="J224" i="5"/>
  <c r="K224" i="5"/>
  <c r="H225" i="5"/>
  <c r="I225" i="5"/>
  <c r="J225" i="5"/>
  <c r="K225" i="5"/>
  <c r="H348" i="5"/>
  <c r="I348" i="5"/>
  <c r="J348" i="5"/>
  <c r="K348" i="5"/>
  <c r="H148" i="5"/>
  <c r="I148" i="5"/>
  <c r="J148" i="5"/>
  <c r="K148" i="5"/>
  <c r="H226" i="5"/>
  <c r="I226" i="5"/>
  <c r="J226" i="5"/>
  <c r="K226" i="5"/>
  <c r="H69" i="5"/>
  <c r="I69" i="5"/>
  <c r="J69" i="5"/>
  <c r="K69" i="5"/>
  <c r="H391" i="5"/>
  <c r="I391" i="5"/>
  <c r="J391" i="5"/>
  <c r="K391" i="5"/>
  <c r="H392" i="5"/>
  <c r="I392" i="5"/>
  <c r="J392" i="5"/>
  <c r="K392" i="5"/>
  <c r="H305" i="5"/>
  <c r="I305" i="5"/>
  <c r="J305" i="5"/>
  <c r="K305" i="5"/>
  <c r="H70" i="5"/>
  <c r="I70" i="5"/>
  <c r="J70" i="5"/>
  <c r="K70" i="5"/>
  <c r="H393" i="5"/>
  <c r="I393" i="5"/>
  <c r="J393" i="5"/>
  <c r="K393" i="5"/>
  <c r="K71" i="5"/>
  <c r="J71" i="5"/>
  <c r="I71" i="5"/>
  <c r="H71" i="5"/>
  <c r="M396" i="4" l="1"/>
  <c r="M397" i="4"/>
  <c r="I396" i="5"/>
  <c r="S396" i="5"/>
  <c r="P396" i="5"/>
  <c r="H396" i="5"/>
  <c r="AA396" i="5"/>
  <c r="Z396" i="5"/>
  <c r="K396" i="5"/>
  <c r="U396" i="5"/>
  <c r="J396" i="5"/>
  <c r="O5" i="4"/>
  <c r="O6" i="4"/>
  <c r="O7" i="4"/>
  <c r="O8" i="4"/>
  <c r="O9" i="4"/>
  <c r="O10" i="4"/>
  <c r="O11" i="4"/>
  <c r="O12" i="4"/>
  <c r="O13" i="4"/>
  <c r="O14" i="4"/>
  <c r="O15" i="4"/>
  <c r="O16" i="4"/>
  <c r="O18"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5" i="4"/>
  <c r="O206" i="4"/>
  <c r="O207" i="4"/>
  <c r="O209" i="4"/>
  <c r="O210" i="4"/>
  <c r="O211" i="4"/>
  <c r="O212" i="4"/>
  <c r="O213" i="4"/>
  <c r="O214" i="4"/>
  <c r="O215" i="4"/>
  <c r="O216" i="4"/>
  <c r="O217" i="4"/>
  <c r="O218" i="4"/>
  <c r="O219" i="4"/>
  <c r="O220" i="4"/>
  <c r="O221" i="4"/>
  <c r="O222" i="4"/>
  <c r="O223" i="4"/>
  <c r="O224" i="4"/>
  <c r="O225" i="4"/>
  <c r="O226" i="4"/>
  <c r="O227" i="4"/>
  <c r="O228" i="4"/>
  <c r="O229" i="4"/>
  <c r="O231" i="4"/>
  <c r="O232" i="4"/>
  <c r="O233" i="4"/>
  <c r="O234" i="4"/>
  <c r="O235" i="4"/>
  <c r="O236" i="4"/>
  <c r="O237" i="4"/>
  <c r="O238" i="4"/>
  <c r="O239" i="4"/>
  <c r="O240" i="4"/>
  <c r="O241" i="4"/>
  <c r="O243" i="4"/>
  <c r="O244" i="4"/>
  <c r="O246" i="4"/>
  <c r="O248" i="4"/>
  <c r="O249" i="4"/>
  <c r="O250" i="4"/>
  <c r="O252" i="4"/>
  <c r="O253" i="4"/>
  <c r="O254" i="4"/>
  <c r="O255" i="4"/>
  <c r="O257" i="4"/>
  <c r="O258" i="4"/>
  <c r="O259" i="4"/>
  <c r="O260" i="4"/>
  <c r="O261" i="4"/>
  <c r="O262" i="4"/>
  <c r="O263" i="4"/>
  <c r="O265" i="4"/>
  <c r="O266" i="4"/>
  <c r="O267" i="4"/>
  <c r="O268" i="4"/>
  <c r="O269" i="4"/>
  <c r="O270" i="4"/>
  <c r="O271" i="4"/>
  <c r="O272" i="4"/>
  <c r="O273" i="4"/>
  <c r="O274" i="4"/>
  <c r="O276" i="4"/>
  <c r="O277" i="4"/>
  <c r="O278" i="4"/>
  <c r="O279" i="4"/>
  <c r="O280" i="4"/>
  <c r="O281" i="4"/>
  <c r="O282" i="4"/>
  <c r="O283" i="4"/>
  <c r="O284" i="4"/>
  <c r="O285" i="4"/>
  <c r="O286" i="4"/>
  <c r="O287" i="4"/>
  <c r="O288" i="4"/>
  <c r="O289" i="4"/>
  <c r="O290" i="4"/>
  <c r="O291" i="4"/>
  <c r="O292" i="4"/>
  <c r="O293" i="4"/>
  <c r="O294" i="4"/>
  <c r="O295" i="4"/>
  <c r="O296" i="4"/>
  <c r="O297" i="4"/>
  <c r="O298" i="4"/>
  <c r="O299" i="4"/>
  <c r="O301" i="4"/>
  <c r="O302" i="4"/>
  <c r="O303" i="4"/>
  <c r="O304" i="4"/>
  <c r="O305" i="4"/>
  <c r="O306" i="4"/>
  <c r="O307" i="4"/>
  <c r="O308" i="4"/>
  <c r="O309" i="4"/>
  <c r="O310" i="4"/>
  <c r="O311" i="4"/>
  <c r="O313" i="4"/>
  <c r="O314" i="4"/>
  <c r="O315" i="4"/>
  <c r="O316" i="4"/>
  <c r="O317" i="4"/>
  <c r="O318" i="4"/>
  <c r="O319" i="4"/>
  <c r="O321" i="4"/>
  <c r="O322" i="4"/>
  <c r="O323" i="4"/>
  <c r="O324" i="4"/>
  <c r="O325" i="4"/>
  <c r="O326" i="4"/>
  <c r="O327" i="4"/>
  <c r="O328" i="4"/>
  <c r="O330" i="4"/>
  <c r="O331" i="4"/>
  <c r="O332" i="4"/>
  <c r="O333" i="4"/>
  <c r="O335" i="4"/>
  <c r="O336" i="4"/>
  <c r="O337" i="4"/>
  <c r="O339" i="4"/>
  <c r="O340" i="4"/>
  <c r="O341" i="4"/>
  <c r="O342" i="4"/>
  <c r="O343" i="4"/>
  <c r="O344" i="4"/>
  <c r="O345" i="4"/>
  <c r="O346" i="4"/>
  <c r="O347" i="4"/>
  <c r="O348" i="4"/>
  <c r="O349" i="4"/>
  <c r="O350" i="4"/>
  <c r="O351" i="4"/>
  <c r="O352" i="4"/>
  <c r="O353" i="4"/>
  <c r="O354" i="4"/>
  <c r="O355" i="4"/>
  <c r="O357" i="4"/>
  <c r="O358" i="4"/>
  <c r="O359" i="4"/>
  <c r="O360" i="4"/>
  <c r="O362" i="4"/>
  <c r="O364" i="4"/>
  <c r="O365" i="4"/>
  <c r="O366" i="4"/>
  <c r="O368" i="4"/>
  <c r="O369" i="4"/>
  <c r="O370" i="4"/>
  <c r="O371" i="4"/>
  <c r="O372" i="4"/>
  <c r="O373" i="4"/>
  <c r="O374" i="4"/>
  <c r="O375" i="4"/>
  <c r="O376" i="4"/>
  <c r="O377" i="4"/>
  <c r="O379" i="4"/>
  <c r="O380" i="4"/>
  <c r="O381" i="4"/>
  <c r="O382" i="4"/>
  <c r="O383" i="4"/>
  <c r="O384" i="4"/>
  <c r="O385" i="4"/>
  <c r="O386" i="4"/>
  <c r="O388" i="4"/>
  <c r="O389" i="4"/>
  <c r="O390" i="4"/>
  <c r="O391" i="4"/>
  <c r="O392" i="4"/>
  <c r="O393" i="4"/>
  <c r="O4" i="4"/>
  <c r="Q5" i="4"/>
  <c r="Q6" i="4"/>
  <c r="Q7" i="4"/>
  <c r="Q8" i="4"/>
  <c r="Q9" i="4"/>
  <c r="Q10" i="4"/>
  <c r="Q11" i="4"/>
  <c r="Q12" i="4"/>
  <c r="Q13" i="4"/>
  <c r="Q14" i="4"/>
  <c r="Q15" i="4"/>
  <c r="Q16" i="4"/>
  <c r="Q18"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5" i="4"/>
  <c r="Q206" i="4"/>
  <c r="Q207" i="4"/>
  <c r="Q209" i="4"/>
  <c r="Q210" i="4"/>
  <c r="Q211" i="4"/>
  <c r="Q212" i="4"/>
  <c r="Q213" i="4"/>
  <c r="Q214" i="4"/>
  <c r="Q215" i="4"/>
  <c r="Q216" i="4"/>
  <c r="Q217" i="4"/>
  <c r="Q218" i="4"/>
  <c r="Q219" i="4"/>
  <c r="Q220" i="4"/>
  <c r="Q221" i="4"/>
  <c r="Q222" i="4"/>
  <c r="Q223" i="4"/>
  <c r="Q224" i="4"/>
  <c r="Q225" i="4"/>
  <c r="Q226" i="4"/>
  <c r="Q227" i="4"/>
  <c r="Q228" i="4"/>
  <c r="Q229" i="4"/>
  <c r="Q231" i="4"/>
  <c r="Q232" i="4"/>
  <c r="Q233" i="4"/>
  <c r="Q234" i="4"/>
  <c r="Q235" i="4"/>
  <c r="Q236" i="4"/>
  <c r="Q237" i="4"/>
  <c r="Q238" i="4"/>
  <c r="Q239" i="4"/>
  <c r="Q240" i="4"/>
  <c r="Q241" i="4"/>
  <c r="Q243" i="4"/>
  <c r="Q244" i="4"/>
  <c r="Q246" i="4"/>
  <c r="Q248" i="4"/>
  <c r="Q249" i="4"/>
  <c r="Q250" i="4"/>
  <c r="Q252" i="4"/>
  <c r="Q253" i="4"/>
  <c r="Q254" i="4"/>
  <c r="Q255" i="4"/>
  <c r="Q257" i="4"/>
  <c r="Q258" i="4"/>
  <c r="Q259" i="4"/>
  <c r="Q260" i="4"/>
  <c r="Q261" i="4"/>
  <c r="Q262" i="4"/>
  <c r="Q263" i="4"/>
  <c r="Q265" i="4"/>
  <c r="Q266" i="4"/>
  <c r="Q267" i="4"/>
  <c r="Q268" i="4"/>
  <c r="Q269" i="4"/>
  <c r="Q270" i="4"/>
  <c r="Q271" i="4"/>
  <c r="Q272" i="4"/>
  <c r="Q273" i="4"/>
  <c r="Q274" i="4"/>
  <c r="Q276" i="4"/>
  <c r="Q277" i="4"/>
  <c r="Q278" i="4"/>
  <c r="Q279" i="4"/>
  <c r="Q280" i="4"/>
  <c r="Q281" i="4"/>
  <c r="Q282" i="4"/>
  <c r="Q283" i="4"/>
  <c r="Q284" i="4"/>
  <c r="Q285" i="4"/>
  <c r="Q286" i="4"/>
  <c r="Q287" i="4"/>
  <c r="Q288" i="4"/>
  <c r="Q289" i="4"/>
  <c r="Q290" i="4"/>
  <c r="Q291" i="4"/>
  <c r="Q292" i="4"/>
  <c r="Q293" i="4"/>
  <c r="Q294" i="4"/>
  <c r="Q295" i="4"/>
  <c r="Q296" i="4"/>
  <c r="Q297" i="4"/>
  <c r="Q298" i="4"/>
  <c r="Q299" i="4"/>
  <c r="Q301" i="4"/>
  <c r="Q302" i="4"/>
  <c r="Q303" i="4"/>
  <c r="Q304" i="4"/>
  <c r="Q305" i="4"/>
  <c r="Q306" i="4"/>
  <c r="Q307" i="4"/>
  <c r="Q308" i="4"/>
  <c r="Q309" i="4"/>
  <c r="Q310" i="4"/>
  <c r="Q311" i="4"/>
  <c r="Q313" i="4"/>
  <c r="Q314" i="4"/>
  <c r="Q315" i="4"/>
  <c r="Q316" i="4"/>
  <c r="Q317" i="4"/>
  <c r="Q318" i="4"/>
  <c r="Q319" i="4"/>
  <c r="Q321" i="4"/>
  <c r="Q322" i="4"/>
  <c r="Q323" i="4"/>
  <c r="Q324" i="4"/>
  <c r="Q325" i="4"/>
  <c r="Q326" i="4"/>
  <c r="Q327" i="4"/>
  <c r="Q328" i="4"/>
  <c r="Q330" i="4"/>
  <c r="Q331" i="4"/>
  <c r="Q332" i="4"/>
  <c r="Q333" i="4"/>
  <c r="Q335" i="4"/>
  <c r="Q336" i="4"/>
  <c r="Q337" i="4"/>
  <c r="Q339" i="4"/>
  <c r="Q340" i="4"/>
  <c r="Q341" i="4"/>
  <c r="Q342" i="4"/>
  <c r="Q343" i="4"/>
  <c r="Q344" i="4"/>
  <c r="Q345" i="4"/>
  <c r="Q346" i="4"/>
  <c r="Q347" i="4"/>
  <c r="Q348" i="4"/>
  <c r="Q349" i="4"/>
  <c r="Q350" i="4"/>
  <c r="Q351" i="4"/>
  <c r="Q352" i="4"/>
  <c r="Q353" i="4"/>
  <c r="Q354" i="4"/>
  <c r="Q355" i="4"/>
  <c r="Q357" i="4"/>
  <c r="Q358" i="4"/>
  <c r="Q359" i="4"/>
  <c r="Q360" i="4"/>
  <c r="Q362" i="4"/>
  <c r="Q364" i="4"/>
  <c r="Q365" i="4"/>
  <c r="Q366" i="4"/>
  <c r="Q368" i="4"/>
  <c r="Q369" i="4"/>
  <c r="Q370" i="4"/>
  <c r="Q371" i="4"/>
  <c r="Q372" i="4"/>
  <c r="Q373" i="4"/>
  <c r="Q374" i="4"/>
  <c r="Q375" i="4"/>
  <c r="Q376" i="4"/>
  <c r="Q377" i="4"/>
  <c r="Q379" i="4"/>
  <c r="Q380" i="4"/>
  <c r="Q381" i="4"/>
  <c r="Q382" i="4"/>
  <c r="Q383" i="4"/>
  <c r="Q384" i="4"/>
  <c r="Q385" i="4"/>
  <c r="Q386" i="4"/>
  <c r="Q388" i="4"/>
  <c r="Q389" i="4"/>
  <c r="Q390" i="4"/>
  <c r="Q391" i="4"/>
  <c r="Q392" i="4"/>
  <c r="Q393" i="4"/>
  <c r="Q4" i="4"/>
  <c r="J394" i="3"/>
  <c r="L394" i="3"/>
  <c r="M394" i="3"/>
  <c r="M395" i="3"/>
  <c r="L395" i="3"/>
  <c r="J395" i="3"/>
  <c r="G394" i="3"/>
  <c r="H394" i="3"/>
  <c r="I394" i="3"/>
  <c r="K394" i="3"/>
  <c r="F394" i="3"/>
  <c r="C394" i="3"/>
  <c r="O397" i="4" l="1"/>
  <c r="Q397" i="4"/>
  <c r="C395" i="9"/>
</calcChain>
</file>

<file path=xl/sharedStrings.xml><?xml version="1.0" encoding="utf-8"?>
<sst xmlns="http://schemas.openxmlformats.org/spreadsheetml/2006/main" count="45904" uniqueCount="3487">
  <si>
    <t>Summary and Definitions</t>
  </si>
  <si>
    <t>Outlets, Hours, SqFt</t>
  </si>
  <si>
    <t>Collections</t>
  </si>
  <si>
    <t>Services</t>
  </si>
  <si>
    <t>Programs</t>
  </si>
  <si>
    <t>Technology</t>
  </si>
  <si>
    <t>Millages</t>
  </si>
  <si>
    <t>Operating Income</t>
  </si>
  <si>
    <t>Operating Expenditures</t>
  </si>
  <si>
    <t>Capital Income and Expenditure</t>
  </si>
  <si>
    <t>Nonresident Fees</t>
  </si>
  <si>
    <t>Staffing</t>
  </si>
  <si>
    <t>Other Employee Salary</t>
  </si>
  <si>
    <t>Return to Table of Contents</t>
  </si>
  <si>
    <t>Indicator</t>
  </si>
  <si>
    <t>Definition</t>
  </si>
  <si>
    <t>PUBLIC LIBRARY SURVEY </t>
  </si>
  <si>
    <t>PART I: ADMINISTRATIVE ENTITY INFORMATION </t>
  </si>
  <si>
    <t>1. Report Start Period</t>
  </si>
  <si>
    <t>2. Report End Period</t>
  </si>
  <si>
    <t>3. FSCS</t>
  </si>
  <si>
    <t>4. Current Legal Name of Main Library</t>
  </si>
  <si>
    <t>Provide the legal name of the main library that is current at the time of filing the annual report.</t>
  </si>
  <si>
    <t>5. Legal Name of Main Library at Reporting Year End</t>
  </si>
  <si>
    <t>6. Street Address</t>
  </si>
  <si>
    <t>The complete street address of the actual physical location of the main library. DO NOT report a post office box or general delivery.</t>
  </si>
  <si>
    <t>7. City</t>
  </si>
  <si>
    <t>The city or town in which the main library is located.</t>
  </si>
  <si>
    <t>8. Zip</t>
  </si>
  <si>
    <t>Include the five-digit postal zip code for the street address of the main library.</t>
  </si>
  <si>
    <t>9. Mailing Address</t>
  </si>
  <si>
    <t>The complete mailing address of the main library. DO NOT complete if this address is the same as the street address.</t>
  </si>
  <si>
    <t>10. Mailing City</t>
  </si>
  <si>
    <t>The city or town for the mailing address.</t>
  </si>
  <si>
    <t>11. Mailing ZIP Code</t>
  </si>
  <si>
    <t>Include the five-digit postal zip code for the mailing address of the main library.</t>
  </si>
  <si>
    <t>12. County</t>
  </si>
  <si>
    <t>The county in which the main library is located.</t>
  </si>
  <si>
    <t>13. Township</t>
  </si>
  <si>
    <t>The Township in which the main library is located.</t>
  </si>
  <si>
    <t>14. Cooperative</t>
  </si>
  <si>
    <t>Provide the name of the library cooperative if the library is a member at the time of filing the Annual Report. If the library is not a member at the time of filing, indicate "none."</t>
  </si>
  <si>
    <t>15. Phone Number</t>
  </si>
  <si>
    <t>Area code and telephone number of the main library.</t>
  </si>
  <si>
    <t>16. TDD Number</t>
  </si>
  <si>
    <t>Area code and telephone number to be used with a Telephone Device for the Deaf (TDD).</t>
  </si>
  <si>
    <t>17. Director's Name</t>
  </si>
  <si>
    <t>The name of the current official director of the main library. If the director position is vacant at the time of filing this report, provide the name and title for the acting or interim director and label as such.</t>
  </si>
  <si>
    <t>18. Email Address of Library Director</t>
  </si>
  <si>
    <t>The email address to be used to contact the library director.</t>
  </si>
  <si>
    <t>19. Fax</t>
  </si>
  <si>
    <t>Updated : 2015-12-21 13:11:35</t>
  </si>
  <si>
    <t>Area code and telephone number for the fax machine used for administrative purposes.</t>
  </si>
  <si>
    <t>20. Web Address</t>
  </si>
  <si>
    <t>If your library has a home page accessible over the Internet, please include the web address. (e.g. http://www.library.lib.mi.us/library.html)</t>
  </si>
  <si>
    <t>21. Has Friends Group?</t>
  </si>
  <si>
    <t>Updated : 2015-10-13 12:58:28</t>
  </si>
  <si>
    <t>Does the library have an active Friends' Group</t>
  </si>
  <si>
    <t>22. Library Class</t>
  </si>
  <si>
    <t>23. Administrative Structure Code</t>
  </si>
  <si>
    <t>Check the box that best identifies your library's administrative structure according to the described federal definitions. Administrative Entity with Multiple Direct Service Outlets where Administrative Offices are Separate: An administrative entity that serves the public directly with two or more service outlets, including some combination of central library(ies), branch(es), bookmobile(s), and/or books-by-mail only. The administrative offices are separate from the direct service outlets and do not provide direct library services. Administrative Entity with Multiple Direct Service Outlets where Administrative Offices are NOT Separate: An administrative entity that serves the public directly with two or more service outlets, including some combination of central library(ies), branch(es), bookmobile(s), and/or books-by-mail only. Administrative Entity with a Single Direct Service Outlet: An administrative entity that serves the public directly with one central library, books-by-mail only, or one bookmobile.</t>
  </si>
  <si>
    <t>24. ReEstablishDate</t>
  </si>
  <si>
    <t>If your library reorganized during the reporting year, please provide the reestablishment date.</t>
  </si>
  <si>
    <t>25. ReEstablishStatute</t>
  </si>
  <si>
    <t>If your library reorganized during the reporting year, please provide the reestablishment statute.</t>
  </si>
  <si>
    <t>26. Local Governance</t>
  </si>
  <si>
    <t>27. Type</t>
  </si>
  <si>
    <t>Check the "type name" reflecting the library's organizational structure according to establishment statutes at the end of your reporting year.</t>
  </si>
  <si>
    <t>Public Library Definition </t>
  </si>
  <si>
    <t>A public library is an entity that is established under state enabling laws or regulations to serve a community, district, or region, and that meets one or more of the listed criteria. Check all that apply based on the federal definition of a public library. </t>
  </si>
  <si>
    <t>28. Library has organized collection of printed or other library materials</t>
  </si>
  <si>
    <t>29. Library has paid staff</t>
  </si>
  <si>
    <t>30. Library has an established schedule in which services of the staff are available to the public</t>
  </si>
  <si>
    <t>31. Library facilities necessary to support collection, staff, and schedule</t>
  </si>
  <si>
    <t>32. Library is supported in whole or part with public funds</t>
  </si>
  <si>
    <t>33. Geographic Code</t>
  </si>
  <si>
    <t>34. Was there a legal service area boundary change during the reporting period?</t>
  </si>
  <si>
    <t>Answer Yes to this question, if there has been any change to the administrative entity's legal service area boundaries during the past year.</t>
  </si>
  <si>
    <t>Changes are likely to result, for example, when a municipality annexes land, when one municipality in a county becomes either an independent city or its own county necessitating its exclusion from the first county's geography, or when an administrative entity contracts to provide public library service for some additional geographic area other than the geographic area for which it was established (e.g., a municipality library contracts to serve county residents).</t>
  </si>
  <si>
    <t>PART II: OUTLETS </t>
  </si>
  <si>
    <t>Outlet Name </t>
  </si>
  <si>
    <t>State assigned identification number</t>
  </si>
  <si>
    <t>Updated : 2015-10-22 10:52:54</t>
  </si>
  <si>
    <t>Library System ID</t>
  </si>
  <si>
    <t>Outlet Name</t>
  </si>
  <si>
    <t>Outlet Address </t>
  </si>
  <si>
    <t>Physical Street Address</t>
  </si>
  <si>
    <t>The complete street address of the actual physical location of the outlet. DO NOT report a post office box or general delivery.</t>
  </si>
  <si>
    <t>City</t>
  </si>
  <si>
    <t>The city or town in which the outlet is located.</t>
  </si>
  <si>
    <t>ZIP Code</t>
  </si>
  <si>
    <t>Include the five-digit postal zip code for the street address of the outlet.</t>
  </si>
  <si>
    <t>County</t>
  </si>
  <si>
    <t>The county in which the outlet is located.</t>
  </si>
  <si>
    <t>Outlet Phone &amp; Codes </t>
  </si>
  <si>
    <t>Phone</t>
  </si>
  <si>
    <t>Outlet Type Code</t>
  </si>
  <si>
    <t>Metropolitan Status Code</t>
  </si>
  <si>
    <t>Outlet Counts </t>
  </si>
  <si>
    <t>Area in Square Feet of outlet</t>
  </si>
  <si>
    <t>Number of Bookmobiles</t>
  </si>
  <si>
    <t>Public Service Hours Per Year</t>
  </si>
  <si>
    <t>This is the number of annual public service hours for outlets (reported individually by central, branch, bookmobile) Note: Include the actual hours open for public service for centrals, branches, and bookmobiles. For each bookmobile, count only the hours during which the bookmobile is open to the public. Minor variations in public service hours need not be included. Extensive hours closed to the public due to natural disasters or other events should be excluded from the count.</t>
  </si>
  <si>
    <t>Number of Weeks Open</t>
  </si>
  <si>
    <t>This is the number of weeks during the year that an outlet was open to the public. Note: Include the number of weeks open for public service for Centrals, Branches, Bookmobiles. For each bookmobile, count only the weeks during which the bookmobile is open to the public. The count should be based on the number of weeks that a library outlet was open for half or more of its scheduled service hours. Extensive weeks closed to the public due to natural disasters or other events should be excluded from the count. Do not calculate based on total number of service hours per year at the outlet level. For example, by dividing total hours by 52 (weeks). Round to the nearest whole number of weeks. If the library was open half or more of its scheduled hours in a given week, round up to the next week. If the library was open less than half of its scheduled hours, round down.</t>
  </si>
  <si>
    <t>Contact </t>
  </si>
  <si>
    <t>Fax</t>
  </si>
  <si>
    <t>Updated : 2016-07-18 13:57:20</t>
  </si>
  <si>
    <t>Email</t>
  </si>
  <si>
    <t>The email address to be used to contact the head of library outlet.</t>
  </si>
  <si>
    <t>URL</t>
  </si>
  <si>
    <t>If your outlet has a home page accessible over the Internet, please include the web address. (e.g. http://www.library.lib.mi.us/library.html)</t>
  </si>
  <si>
    <t>Contact Name </t>
  </si>
  <si>
    <t>Director Name</t>
  </si>
  <si>
    <t>The name of the current official head of the outlet. If the position is vacant at the time of filing this report, provide the name and title for the acting or interim head and label as such.</t>
  </si>
  <si>
    <t>Title</t>
  </si>
  <si>
    <t>Current Library Schedule </t>
  </si>
  <si>
    <t>Current Open Time Monday</t>
  </si>
  <si>
    <t>Current Closed Time Monday</t>
  </si>
  <si>
    <t>Current Open Time Tuesday</t>
  </si>
  <si>
    <t>Current Closed Time Tuesday</t>
  </si>
  <si>
    <t>Current Open Time Wednesday</t>
  </si>
  <si>
    <t>Current Closed Time Wednesday</t>
  </si>
  <si>
    <t>Current Open Time Thursday</t>
  </si>
  <si>
    <t>Current Closed Time Thursday</t>
  </si>
  <si>
    <t>Current Open Time Friday</t>
  </si>
  <si>
    <t>Current Closed Time Friday</t>
  </si>
  <si>
    <t>Current Open Time Saturday</t>
  </si>
  <si>
    <t>Current Closed Time Saturday</t>
  </si>
  <si>
    <t>Current Open Time Sunday</t>
  </si>
  <si>
    <t>Current Closed Time Sunday</t>
  </si>
  <si>
    <t>Alternate Dates </t>
  </si>
  <si>
    <t>Alternate Start Date</t>
  </si>
  <si>
    <t>Alternate End Date</t>
  </si>
  <si>
    <t>Alternate Library Schedule </t>
  </si>
  <si>
    <t>Alternate Open Time Monday</t>
  </si>
  <si>
    <t>Alternate Closed Time Monday</t>
  </si>
  <si>
    <t>Alternate Open Time Tuesday</t>
  </si>
  <si>
    <t>Alternate Closed Time Tuesday</t>
  </si>
  <si>
    <t>Alternate Open Time Wednesday</t>
  </si>
  <si>
    <t>Alternate Closed Time Wednesday</t>
  </si>
  <si>
    <t>Alternate Open Time Thursday</t>
  </si>
  <si>
    <t>Alternate Closed Time Thursday</t>
  </si>
  <si>
    <t>Alternate Open Time Friday</t>
  </si>
  <si>
    <t>Alternate Closed Time Friday</t>
  </si>
  <si>
    <t>Alternate Open Time Saturday</t>
  </si>
  <si>
    <t>Alternate Closed Time Saturday</t>
  </si>
  <si>
    <t>Alternate Open Time Sunday</t>
  </si>
  <si>
    <t>Alternate Closed Time Sunday</t>
  </si>
  <si>
    <t>PART III: OPEN HOURS AND SQUARE FOOTAGE SUMMARY </t>
  </si>
  <si>
    <t>The information provided here is used to verify, for State Aid purposes, that the library (or the main library and its branches) met the minimum scheduled hours during the reporting year. </t>
  </si>
  <si>
    <t>1. Number of Central Libraries</t>
  </si>
  <si>
    <t>One type of single outlet library or the library that is the operational center of a multiple-outlet library and is synonymous with a main library. Usually all processing is centralized here, and the principal collections are housed here. Each administrative entity may report either no central library or one central library. No administrative entity may report more than one central library. If no Central Libraries were operated during the reporting year, enter "0" (zero).</t>
  </si>
  <si>
    <t>2. Unduplicated Average Hours per Week, Central(s)</t>
  </si>
  <si>
    <t>3. Annual Scheduled Public Service Hours, Central(s)</t>
  </si>
  <si>
    <t>Updated : 2015-12-03 14:33:00</t>
  </si>
  <si>
    <t>The number of hours you planned to be open as opposed to Actual Annual Hours Open.</t>
  </si>
  <si>
    <t>4. Actual Annual Public Service Hours, Central(s)</t>
  </si>
  <si>
    <t>This is the number of annual public service hours for central libraries. Note: Include the actual hours open for public service for central libraries. Minor variations in public service hours need not be included. Extensive hours closed to the public due to natural disasters or other events should be excluded from the count.</t>
  </si>
  <si>
    <t>5. Central Library(ies) Weeks Open</t>
  </si>
  <si>
    <t>This is the number of weeks during the year that Central Libraries were open to the public. Note: Include the number of weeks open for public service for Central Libraries. The count should be based on the number of weeks that a library outlet was open for half or more of its scheduled service hours. Extensive weeks closed to the public due to natural disasters or other events should be excluded from the count. Do not calculate based on total number of service hours per year at the outlet level. For example, by dividing total hours by 52 (weeks). Round to the nearest whole number of weeks. If the library was open half or more of its scheduled hours in a given week, round up to the next week. If the library was open less than half of its scheduled hours, round down.</t>
  </si>
  <si>
    <t>6. Number of Branch Libraries</t>
  </si>
  <si>
    <t>A branch is defined as an auxiliary unit of an administrative entity that has at least all of the following: 1) separate quarters; 2) an organized collection of library materials; 3) paid staff; and 4) regularly scheduled hours for being open to the public. If no Branches were operated during the reporting year, enter "0" (zero).</t>
  </si>
  <si>
    <t>7. Unduplicated Average Hours per Week, Branch(es)</t>
  </si>
  <si>
    <t>Unduplicated branch hours are hours when one or more branches are open when the main library is not. Do not count duplicate branch hours. For example:</t>
  </si>
  <si>
    <t>Main library: Open 9 AM - 4 PM, Mon - Fri = 35 unduplicated hours/week</t>
  </si>
  <si>
    <t>North Branch: Open Noon - 8 PM, Tues and Thurs = 8 unduplicated hours/week. Open 10 AM - 4 PM Fri = no unduplicted hours</t>
  </si>
  <si>
    <t>South Branch: Open 10 AM - 2 :M Sat = 4 unduplicated hours. Open 10 AM - 6 PM Tues - Fri = 2 hours Fri + 2 hours Wed unduplicated</t>
  </si>
  <si>
    <t>Total unduplicated branch hours for the system is 16</t>
  </si>
  <si>
    <t>Total unduplicated hours for State Aid is 51 per week</t>
  </si>
  <si>
    <t>8. Annual Scheduled Public Service Hours, Branch(es)</t>
  </si>
  <si>
    <t>Updated : 2015-12-03 14:34:30</t>
  </si>
  <si>
    <t>9. Actual Annual Public Service Hours, Branch(es)</t>
  </si>
  <si>
    <t>This is the number of annual public service hours for branches. Note: Include the actual hours open for public service for branches. Minor variations in public service hours need not be included. Extensive hours closed to the public due to natural disasters or other events should be excluded from the count.</t>
  </si>
  <si>
    <t>10. Branch(es) Weeks Open</t>
  </si>
  <si>
    <t>11. Number of Bookmobiles</t>
  </si>
  <si>
    <t>A bookmobile is defined as a travelling branch library consisting of at least all of the following: 1) a truck or van that carries an organized collection of library materials; 2) paid staff; and 3) regularly scheduled hours (bookmobile stops) for being open to the public. Report the number of vehicles in use, not the number of stops the vehicle makes. If no Bookmobiles were operated during the reporting year, enter "0" (zero).</t>
  </si>
  <si>
    <t>12. Annual Scheduled Public Service Hours, Bookmobile(s)</t>
  </si>
  <si>
    <t>Updated : 2015-12-03 14:35:11</t>
  </si>
  <si>
    <t>13. Actual Annual Public Service Hours, Bookmobile(s)</t>
  </si>
  <si>
    <t>This is the number of annual public service hours for bookmobiles. Note: Include the actual hours open for public service for bookmobiles. For each bookmobile, count only the hours during which the bookmobile is open to the public. Minor variations in public service hours need not be included. Extensive hours closed to the public due to natural disasters or other events should be excluded from the count.</t>
  </si>
  <si>
    <t>14. Bookmobile(s) Weeks Open</t>
  </si>
  <si>
    <t>This is the number of weeks during the year that Bookmobiles were open to the public. Note: Include the number of weeks open for public service for Bookmobiles. For each bookmobile, count only the weeks during which the bookmobile is open to the public. The count should be based on the number of weeks that a library outlet was open for half or more of its scheduled service hours. Extensive weeks closed to the public due to natural disasters or other events should be excluded from the count. Do not calculate based on total number of service hours per year at the outlet level. For example, by dividing total hours by 52 (weeks). Round to the nearest whole number of weeks. If the library was open half or more of its scheduled hours in a given week, round up to the next week. If the library was open less than half of its scheduled hours, round down.</t>
  </si>
  <si>
    <t>15. Total Number of Outlets</t>
  </si>
  <si>
    <t>16. Total Unduplicated Average Hours per Week</t>
  </si>
  <si>
    <t>17. Total Annual Scheduled Public Service Hours</t>
  </si>
  <si>
    <t>Updated : 2015-12-03 14:35:32</t>
  </si>
  <si>
    <t>18. Total Annual Public Service Hours</t>
  </si>
  <si>
    <t>This is the total number of actual annual public service hours for outlets (reported individually by central, branch, bookmobile).</t>
  </si>
  <si>
    <t>19. Total Outlet Weeks Open</t>
  </si>
  <si>
    <t>This is the total number of weeks during the year that outlets were open to the public (reported individually by central, branch, bookmobile).</t>
  </si>
  <si>
    <t>20. Central Library(ies) Square Feet</t>
  </si>
  <si>
    <t>21. Branch(es) Square Feet</t>
  </si>
  <si>
    <t>22. Total Square Feet</t>
  </si>
  <si>
    <t>Report the total square footage of the facility used for library purposes.</t>
  </si>
  <si>
    <t>Legislative Districts </t>
  </si>
  <si>
    <t>MI Representative District #</t>
  </si>
  <si>
    <t>MI Representative Name</t>
  </si>
  <si>
    <t>MI Senate District #</t>
  </si>
  <si>
    <t>MI Senate Name</t>
  </si>
  <si>
    <t>US Representative District #</t>
  </si>
  <si>
    <t>US Representative Name</t>
  </si>
  <si>
    <t>PART IV: PAID STAFF </t>
  </si>
  <si>
    <t>Report figures as of the last day of the reporting year. Include all employees paid with library funds to do library work or to maintain the library building for the main library, all branches, bookmobiles, and other service outlets. All employees, whether or not they are certified by the Library of Michigan, are included. This should not include volunteers, since these figures may be used to determine average staff expenditures. To ensure comparable data, 40 hours per week has been set as the measure of full-time employment. The Full Time Equivalent (FTE) staff is automatically figured by adding the total number of hours worked by all employees in each category, then dividing the total staff hours by 40 and rounding to two decimal places. </t>
  </si>
  <si>
    <t>1. Number of ALA-MLS Librarians</t>
  </si>
  <si>
    <t>Librarians with Masters degrees from programs of library and information studies accredited by the American Library Association.</t>
  </si>
  <si>
    <t>2. Total Hours per Week worked by ALA-MLS Librarians</t>
  </si>
  <si>
    <t>3. ALA-MLS FTE (40 Hours/wk)</t>
  </si>
  <si>
    <t>4. Number of Other Librarians</t>
  </si>
  <si>
    <t>Persons with the title of librarian who do paid work that usually requires professional training and skill in the theoretical or scientific aspects of library work, or both, as distinct from its mechanical or clerical aspect who do not have an ALA-MLS.</t>
  </si>
  <si>
    <t>5. Total Hours per Week worked by Other Librarians</t>
  </si>
  <si>
    <t>6. Other Librarians FTE (40 Hours/wk)</t>
  </si>
  <si>
    <t>7. Number of Total Librarians</t>
  </si>
  <si>
    <t>The sum of "ALA-MLS Librarians" and "Other Librarians."</t>
  </si>
  <si>
    <t>8. Total Hours per Week worked by Total Librarians</t>
  </si>
  <si>
    <t>9. Total Librarians FTE (40 Hours/wk)</t>
  </si>
  <si>
    <t>10. Number of All Other Paid Staff</t>
  </si>
  <si>
    <t>Include all other library employees paid from the reporting unit budget, including plant operations, security, and maintenance staff.</t>
  </si>
  <si>
    <t>11. Total Hours per Week worked by All Other Paid Staff</t>
  </si>
  <si>
    <t>12. All Other Paid Staff FTE (40 Hours/wk)</t>
  </si>
  <si>
    <t>13. Number of Total Paid Employees</t>
  </si>
  <si>
    <t>14. Total Hours per Week worked by Total Paid Employees</t>
  </si>
  <si>
    <t>15. Total Paid Employees FTE (40 Hours/wk)</t>
  </si>
  <si>
    <t>PART V: OPERATING INCOME </t>
  </si>
  <si>
    <t>Report income used for operating expenditures as defined below. DO NOT include capital income, contributions to endowments, income passed through to another agency, or funds unspent in the previous fiscal year. This section provides detail of local, state and federal income for your library's reporting year. Include federal, state, or other grants, except for grants for capital expenditures. It is important to keep accurate financial records for each reporting year and to be able to track local, state, and federal funds separately. Although there must be a realistic relationship between total operating income and total operating expenditures, the figures will probably not balance exactly. It is important to report accurately, since the library must be able to verify any financial information with audited figures. For purposes of this report, INCOME is defined as actual cash or a documented monetary transfer to the library fund. Do not include in-kind services, pledges and grants not received. Total Local Operating Income is used to meet the 3/10 mill match requirement for State Aid. If your library's total service area does not meet this state aid standard, revenues from the total legal service area and the individual contracted municipalities will be reviewed. For this reason, the Operating Income section provides entry for each municipality served by your library. When completing the form: - If your legal service area is comprised of more than one municipality (for example, a whole county, a school district of two or more municipalities), the legal area income can be reported with the first service area data. - If you cannot break down miscellaneous "other public local income" by municipality, report it all in the first Legal Service Area listed. - Only local income needs to be broken down by municipality. </t>
  </si>
  <si>
    <t>A. Legal Service Area </t>
  </si>
  <si>
    <t>LSA Municipality</t>
  </si>
  <si>
    <t>Name of the municipality or other designated jurisdiction served under statue during the reporting year. Example: school district, name of county (if whole county).</t>
  </si>
  <si>
    <t>LSA Local Penal Fine Revenues</t>
  </si>
  <si>
    <t>Updated : 2015-09-29 13:00:17</t>
  </si>
  <si>
    <t>Report Penal Fine revenues received during the reporting year. If you do not know the amount received for each individual service area, calculate it by determining the total population your library serves in the county and dividing the penal fines received from that county by the population served to determine the per capita rate. Multiply the per capita rate by the population of each service area to determine penal fines received from each service area. If your library has service areas in two or more counties, you must determine each rate separately.</t>
  </si>
  <si>
    <t>LSA Income from Voted Millage</t>
  </si>
  <si>
    <t>Updated : 2015-09-29 13:00:31</t>
  </si>
  <si>
    <t>Enter only revenues received during the reporting year from a dedicated library millage that was approved by a vote of the people. If the millage is for a multi-municipality legal service area (whole county or district structure), complete millage information on the top line only.</t>
  </si>
  <si>
    <t>LSA Appropriated Tax Income</t>
  </si>
  <si>
    <t>Updated : 2015-09-29 13:00:42</t>
  </si>
  <si>
    <t>This revenue is received by the library directly from the municipal, county, district, or school governing body. This revenue is not the result of a dedicated voted library millage.</t>
  </si>
  <si>
    <t>LSA Other Local Government Income</t>
  </si>
  <si>
    <t>Updated : 2015-09-29 13:00:53</t>
  </si>
  <si>
    <t>Report miscellaneous income received from local government sources. (Do not include user fees) If the library received revenue from a Single Business Tax levied on local business, include the amount in this field.</t>
  </si>
  <si>
    <t>LSA Total Local Government Income</t>
  </si>
  <si>
    <t>Updated : 2016-01-26 13:51:56</t>
  </si>
  <si>
    <t>This subtotal field can be ignored, this subtotal will appear in line 17 of part A. The "Total Local Government Income" figure is determined by adding "Local Penal Fine Revenues," "Income from Voted Millage," "Appropriated Tax Income," and "Other Local Government Income." This should include all tax and non-tax receipts designated by the community, district or region and available for expenditures by the public library. This should not include the value of any contributed or in-kind services or the value of any gifts and donations, fines, or fees paid by individuals.</t>
  </si>
  <si>
    <t>LSA Fines, Fees, Donations</t>
  </si>
  <si>
    <t>Updated : 2015-09-29 17:06:18</t>
  </si>
  <si>
    <t>Report miscellaneous income from local non-government sources. This category includes user fines and fees, collections from coin-operated equipment, income from used book sales, fund-raisers, Library Friends events, etc. Non-capital cash contributions are included in this category. Include, for example, monetary gifts and donations received in the current year, interest, library fines, and fees for library services. Do not include the value of any contributed or in-kind services or the value of any non-monetary gifts and donations. If it is impossible for you to break down the miscellaneous income by individual municipality, report the "Other Local Operating Income" in the first Legal Service Area listed.</t>
  </si>
  <si>
    <t>LSA Verified Info</t>
  </si>
  <si>
    <t>Updated : 2015-09-29 12:52:28</t>
  </si>
  <si>
    <t>LSA Municipality ID</t>
  </si>
  <si>
    <t>Updated : 2015-09-29 12:56:03</t>
  </si>
  <si>
    <t>LSA Municipality County</t>
  </si>
  <si>
    <t>Updated : 2015-09-29 12:52:49</t>
  </si>
  <si>
    <t>LSA Population Served</t>
  </si>
  <si>
    <t>Updated : 2016-03-21 10:15:31</t>
  </si>
  <si>
    <t>LSA Population Percent</t>
  </si>
  <si>
    <t>Updated : 2015-09-29 12:53:02</t>
  </si>
  <si>
    <t>LSA Service Area ID</t>
  </si>
  <si>
    <t>Updated : 2015-09-29 12:53:13</t>
  </si>
  <si>
    <t>A. Legal Service Area Internal </t>
  </si>
  <si>
    <t>Subtotals </t>
  </si>
  <si>
    <t>1. Subtotal Legal Service Area Population Served</t>
  </si>
  <si>
    <t>Updated : 2016-08-15 14:27:30</t>
  </si>
  <si>
    <t>2. Subtotal Local Penal Fine Revenues</t>
  </si>
  <si>
    <t>Updated : 2016-08-15 14:27:45</t>
  </si>
  <si>
    <t>3. Subtotal Income From Voted Millage</t>
  </si>
  <si>
    <t>Updated : 2016-08-15 14:27:59</t>
  </si>
  <si>
    <t>4. Subtotal Appropriated Tax Income</t>
  </si>
  <si>
    <t>Updated : 2016-08-15 14:28:11</t>
  </si>
  <si>
    <t>5. Subtotal Other Local Government Income</t>
  </si>
  <si>
    <t>Updated : 2016-08-15 14:28:26</t>
  </si>
  <si>
    <t>6. Subtotal Total Local Government Income</t>
  </si>
  <si>
    <t>Updated : 2016-08-15 14:28:43</t>
  </si>
  <si>
    <t>7. Subtotal Other Local Operating Income</t>
  </si>
  <si>
    <t>Updated : 2016-08-15 14:29:11</t>
  </si>
  <si>
    <t>B. Contracted Municipality </t>
  </si>
  <si>
    <t>Contracted Municipality</t>
  </si>
  <si>
    <t>Updated : 2015-10-13 13:50:07</t>
  </si>
  <si>
    <t>Name of the municipality or other designated jurisdiction with which the library has a library service contract approved by the Library of Michigan.</t>
  </si>
  <si>
    <t>Contract Municipality Local Penal Fine Revenues</t>
  </si>
  <si>
    <t>Report Penal Fine revenues received during the reporting year. If you do not know the amount received for each reported contracted municipality area, calculate it by determining the local total population served by your library in the county as a result of service contracts and dividing the penal fines received from that county by the population served to determine the per capita rate. Multiply the per capita rate by the population of each contracted municipality to determine penal fines received for each municipality. Penal fines distribution rates are different for each county. If your library has service contracts in more than one county, you must determine each rate separately.</t>
  </si>
  <si>
    <t>Contract Municipality Income From Voted Millage</t>
  </si>
  <si>
    <t>Enter only revenues received during the reporting year from a dedicated library millage that was approved by a vote of the people. If the millage is for a multi-municipality contract service area (whole county or district structure), complete millage information in the first Contracted Municipality listed.</t>
  </si>
  <si>
    <t>Contract Municipality Appropriated Tax Income</t>
  </si>
  <si>
    <t>This revenue is received by the library directly from the municipal, county, district, or school governing body. This revenue is not the result of a dedicated library millage and does not include contract fee income.</t>
  </si>
  <si>
    <t>Contract Municipality Contract Fee Income</t>
  </si>
  <si>
    <t>Revenue received from the contracted municipalities as stated in the library service contract. Do not include penal fine income.</t>
  </si>
  <si>
    <t>Contract Municipality Total Local Government Income</t>
  </si>
  <si>
    <t>Updated : 2015-09-29 17:07:20</t>
  </si>
  <si>
    <t>Add "Local Penal Fine Revenues," "Income from Voted Millage," "Appropriated Tax Income," and "Contract Fee Income." This includes all tax and non-tax receipts designated by the community, district, or region and available for expenditures by the public library. Do not include the value of any contributed or in-kind services or the value of any gifts and donations, fines, or fees paid by individuals.</t>
  </si>
  <si>
    <t>Contract Municipality Fines, Fees, Donations</t>
  </si>
  <si>
    <t>Report miscellaneous income from local non-government sources. This category includes user fines and fees, collections from coin-operated equipment, income from used book sales, fund-raisers, library Friends events, etc. Non-capital cash contributions are included in this category. Include, for example, monetary gifts and donations received in the reporting year, interest, library fines, and fees for library services. Do not include the value of any contributed or in-kind services or the value of any non-monetary gifts and donations.</t>
  </si>
  <si>
    <t>Contracted Verified Info</t>
  </si>
  <si>
    <t>Contracted Municipality ID</t>
  </si>
  <si>
    <t>Updated : 2015-10-13 13:49:54</t>
  </si>
  <si>
    <t>Contracted Municipality County</t>
  </si>
  <si>
    <t>Updated : 2015-10-13 13:49:46</t>
  </si>
  <si>
    <t>Contract Municipality Population Served</t>
  </si>
  <si>
    <t>Updated : 2015-10-13 13:49:35</t>
  </si>
  <si>
    <t>Contract Population Percent</t>
  </si>
  <si>
    <t>Updated : 2015-10-13 13:49:26</t>
  </si>
  <si>
    <t>Service Area ID</t>
  </si>
  <si>
    <t>Updated : 2015-10-13 13:49:14</t>
  </si>
  <si>
    <t>B. Contracted Municipality Internal </t>
  </si>
  <si>
    <t>1. Contracted Municipality Population Served</t>
  </si>
  <si>
    <t>Updated : 2016-08-15 14:29:37</t>
  </si>
  <si>
    <t>2. CM Penal Fine Revenues</t>
  </si>
  <si>
    <t>Updated : 2016-08-15 14:29:52</t>
  </si>
  <si>
    <t>3. CM Income From Voted Millage</t>
  </si>
  <si>
    <t>Updated : 2016-08-15 14:30:05</t>
  </si>
  <si>
    <t>4. CM Appropriated Tax Income</t>
  </si>
  <si>
    <t>Updated : 2016-08-15 14:30:18</t>
  </si>
  <si>
    <t>5. Contract Fee Income</t>
  </si>
  <si>
    <t>Updated : 2016-08-15 14:30:31</t>
  </si>
  <si>
    <t>6. CM Total Local Government Income</t>
  </si>
  <si>
    <t>Updated : 2016-08-15 14:30:43</t>
  </si>
  <si>
    <t>7. Other Local Operating Income</t>
  </si>
  <si>
    <t>Updated : 2016-08-15 14:30:55</t>
  </si>
  <si>
    <t>C. Operating Income Summary </t>
  </si>
  <si>
    <t>1. Total Local Government Income</t>
  </si>
  <si>
    <t>Updated : 2016-08-15 14:31:16</t>
  </si>
  <si>
    <t>Sum of (Legal Service Area) "Total Local Government Income" and (Contracted Municipality) "Total Local Government Income."</t>
  </si>
  <si>
    <t>2. Total Other Local Operating Income</t>
  </si>
  <si>
    <t>Updated : 2016-08-15 14:31:29</t>
  </si>
  <si>
    <t>Sum of (Legal Service Area) "Other Local Operating Income" and (Contracted Municipality) "Other Local Operating Income."</t>
  </si>
  <si>
    <t>3. Total Local Operating Income</t>
  </si>
  <si>
    <t>Updated : 2016-08-15 14:31:44</t>
  </si>
  <si>
    <t>Sum of (Legal Service Area) "Total Local Government Income," (Contracted Municipality) "Total Local Government Income," (Legal Service Area) "Other Local Operating Income," and (Contracted Municipality) "Other Local Operating Income." This figure is used to assess the library's financial eligibility for State Aid.</t>
  </si>
  <si>
    <t>4. State Government Operating Income</t>
  </si>
  <si>
    <t>Updated : 2016-08-15 14:31:56</t>
  </si>
  <si>
    <t>Report all funds received by your library from the State government for operating expenditures, except for federal money distributed by the State. Include all State Aid payments received by your library during the reporting year.</t>
  </si>
  <si>
    <t>5. Federal Government Operating Income</t>
  </si>
  <si>
    <t>Updated : 2016-08-15 14:32:06</t>
  </si>
  <si>
    <t>Report all federal government funds received by your library for operating expenditures, including federal money distributed by the State. Report grant funds received for non-capital expenditures from LSTA. Do not include funds you received and passed through to another public library.</t>
  </si>
  <si>
    <t>6. Total Operating Income</t>
  </si>
  <si>
    <t>Updated : 2016-08-15 14:32:18</t>
  </si>
  <si>
    <t>Sum of "Total Local Government Income," "Other Local Operating Income," "State Government Operating Income," and "Federal Government Operating Income."</t>
  </si>
  <si>
    <t>PART VI: CAPITAL INCOME </t>
  </si>
  <si>
    <t>1. Federal Capital Income</t>
  </si>
  <si>
    <t>Report federal governmental funds, including federal funds distributed by the state or locality, and grants and aid received by the library for the purpose of major capital expenditures. Examples include funds received for construction, expansion and renovation of existing library facilities and funds received for the purchase of equipment, furniture, technology systems, and other one-time, extraordinary projects.</t>
  </si>
  <si>
    <t>2. State Capital Income</t>
  </si>
  <si>
    <t>Report all funds distributed to public libraries by state government for expenditure by the public libraries for the purpose of major capital expenditures, except for federal money distributed by the state. Examples include funds received for construction, expansion and renovation of existing library facilities and funds received for the purchase of equipment, furniture, technology systems, and other one-time, extraordinary projects.</t>
  </si>
  <si>
    <t>3. Local Capital Icome</t>
  </si>
  <si>
    <t>Report all governmental funds designated by the community, district, or region and available to the public library for the purpose of major capital expenditures, except for state and/or federal money distributed by the local government. Examples include funds received for furniture, technology systems, and other one-time, extraordinary projects. These funds may be used to meet the 3/10 mill local support financial requirement for State Aid.</t>
  </si>
  <si>
    <t>4. Private Capital Income</t>
  </si>
  <si>
    <t>Report private funds (non-governmental funds), including grants, received by your library for the purpose of capital expenditures. Examples include funds received for furniture, technology systems, and other one-time, extraordinary projects. These funds may be used to meet the 3/10 mill local support financial requirement for State Aid.</t>
  </si>
  <si>
    <t>5. Total Capital Income</t>
  </si>
  <si>
    <t>Sum of "Federal Capital Income," "State Capital Income," "Local Capital Income," and "Private Capital Income."</t>
  </si>
  <si>
    <t>6. Total Population Served</t>
  </si>
  <si>
    <t>Sum of "Legal Service Area Population Served" and "Contracted Municipality Population Served."</t>
  </si>
  <si>
    <t>PART VII: OPERATING EXPENDITURES </t>
  </si>
  <si>
    <t>Operating expenditures are the costs necessary to support the provision of library services. List only expenditures paid from library operating budgets for the fiscal year. </t>
  </si>
  <si>
    <t>A. Staff Expenditures </t>
  </si>
  <si>
    <t>1. Salaries and Wages</t>
  </si>
  <si>
    <t>Include salaries and wages for all library staff (including plant operations, security, and maintenenace staff) for the fiscal year. Include salaries and wages before deductions, but exclude employee benefits.</t>
  </si>
  <si>
    <t>2. Employee Benefits</t>
  </si>
  <si>
    <t>The benefits outside of salaries and wages paid and accruing to employees (including plant operations, security, and maintenance staff), regardless of whether the benefits or equivalent cash options are available to all employees. Include amounts for direct, paid employee benefits including Social Security, retirement, medical insurance, life insurance, guaranteed disability income protection, unemployment compensation, workmen's compensation, tuition, and housing benefits.</t>
  </si>
  <si>
    <t>3. Total Staff Expenditures</t>
  </si>
  <si>
    <t>Sum of "Salaries and Wages" and "Employee Benefits."</t>
  </si>
  <si>
    <t>B. Collection Expenditures </t>
  </si>
  <si>
    <t>4. Print Materials Expenditure</t>
  </si>
  <si>
    <t>Report all operating expenditures for the following print materials: books, serial backfiles, current serial subscriptions, government documents, and any other print acquisitions.</t>
  </si>
  <si>
    <t>5. Other Materials Expenditure</t>
  </si>
  <si>
    <t>Report all operating expenditures for other materials, such as microform, audio, video, DVD, and materials in new forms.</t>
  </si>
  <si>
    <t>6. Electronic Materials Expenditure</t>
  </si>
  <si>
    <t>Report all operating expenditures for electronic (digital) materials. Types of electronic materials include e-books, e-series (including journals), government documents, databases (including locally mounted, full text or not), electronic files, reference tools, scores, maps, or pictures in electronic or digital format, including magazines digitized by the library. Electronic materials can be distributed on magnetic tape, diskettes, computer software, CD-ROM, or other portable digital carrier, and can be accessed via a computer, via access to the internet, or by using an ebook reader. Include equipment expenditures that are inseparably bundled into the price of the information service product. Include expenditures for materials held locally and for remote electronic materials for which permanent or temporary access rights have been acquired. Include expenditures for database licenses. [NOTE: Based on ISO 2789 definition.]</t>
  </si>
  <si>
    <t>7. Total Collection Expenditures</t>
  </si>
  <si>
    <t>Report the sum of all expenditures for print materials, electronic materials, and other materials.</t>
  </si>
  <si>
    <t>C. Other Operating Expenditures </t>
  </si>
  <si>
    <t>8. Other Operating Expenditures</t>
  </si>
  <si>
    <t>Include all expenditures other than those for staff and collection. Include expenses such as binding supplies, repair or replacement of existing furnishings and equipment, and costs incurred in the operation and maintenance of physical facilities. DO NOT report items included as capital expenditures in Part VIII.</t>
  </si>
  <si>
    <t>D. Total Operating Expenditures </t>
  </si>
  <si>
    <t>9. Total Operating Expenditures</t>
  </si>
  <si>
    <t>Sum of "Total Staff Expenditures," "Total Collection Expenditures," and "Other Operating Expenditures."</t>
  </si>
  <si>
    <t>PART VIII: CAPITAL OUTLAY </t>
  </si>
  <si>
    <t>Include expenditures paid from your library capital budget for the acquisition of or additions to fixed assets such as building sites, new building additions, equipment, initial book stock, furnishings for new or expanded buildings, or vehicles, and other onetime, extraordinary projects. This excludes replacement and repair of existing furnishings and equipment, regular purchase of library materials, and investments for capital appreciation. </t>
  </si>
  <si>
    <t>1. Capital Expenditures for Electronic Access</t>
  </si>
  <si>
    <t>Report capital expenditures associated with access to electronic materials and services. Include computer hardware and software used to support library operations, whether purchased or leased, mainframe or microcomputer. DO NOT report items included as operating expenditures in Part VII.</t>
  </si>
  <si>
    <t>2. Furnishings and Equipment Expenditures</t>
  </si>
  <si>
    <t>Report major expenditures for all furniture and equipment other than for electronic access. Examples include shelving, patron tables and chairs, photocopiers, etc. DO NOT report items included as operating expenditures in Part VII.</t>
  </si>
  <si>
    <t>3. Building Expenditures</t>
  </si>
  <si>
    <t>Report expenditures for the acquisition of or additions to building sites, new building additions, and library facilities. DO NOT report items included as operating expenditures in Part VII.</t>
  </si>
  <si>
    <t>4. Other Capital Expenditures</t>
  </si>
  <si>
    <t>Report expenditures for capital items other than for electronic access, furnishings and equipment, or building.</t>
  </si>
  <si>
    <t>5. Total Capital Expenditures</t>
  </si>
  <si>
    <t>Sum of "Capital Expenditures for Electronic Access," "Furnishings and Equipment Expenditures," "Building Expenditures," and "Other Capital Expenditures."</t>
  </si>
  <si>
    <t>PART IX: LIBRARY COLLECTION </t>
  </si>
  <si>
    <t>For each category, report the number of units (items) owned at the end of the reporting year. Items which are packaged together as a unit, e.g. two compact disks, two films, or two videocassettes, and which are generally checked out as a unit, should be counted as one physical unit. Subscriptions should be counted by number of subscriptions and not the number of issues. </t>
  </si>
  <si>
    <t>1. Number of Print Materials</t>
  </si>
  <si>
    <t>Report a single figure that includes both of the following:</t>
  </si>
  <si>
    <t>Books in print. Books are non-serial printed publications (including music and maps) that are bound in hard or soft covers, or in loose-leaf format. Include non-serial government documents. Report the number of physical units, including duplicates. For smaller libraries, if volume data are not available, count the number of titles. Books packaged together as a unit (e.g., a 2-volume set) and checked out as a unit are counted as one physical unit.</t>
  </si>
  <si>
    <t>Serial backfiles in print. Serials are publications issued in successive parts, usually at regular intervals and intended to be continued indefinitely. Serials include periodicals (magazines), newspapers, annuals (reports, yearbooks, etc.), journals, memoirs, proceedings, transactions of societies, and numbered monographic series. Government documents and reference tools are often issued as serials. Except for the current volume, count unbound serials as a volume when the library has at least half of the issues in a publisher's volume. Report the number of physical units, including duplicates. For smaller libraries, if volume data are not available, count the number of titles. Serials packaged together as a unit (e.g., a 2-volume serial monograph) and checked out as a unit are counted as one physical unit.</t>
  </si>
  <si>
    <t>2. Audio (Physical Units)</t>
  </si>
  <si>
    <t>Materials on which sounds (only) are stored (recorded) and that can be reproduced (played back) mechanically or electronically, or both. Included are records, audiocassettes, audio cartridges, audio disks, audio reels, talking books, and other sound recordings.</t>
  </si>
  <si>
    <t>3. Audio (Downloadable Units)</t>
  </si>
  <si>
    <t>These are downloadable electronic files on which sounds (only) are stored (recorded) and that can be reproduced (played back) electronically. Audio ��“ Downloadable Units may be loaned to users on portable devices or by transmitting the contents to the user’s personal computer for a limited time. Include Audio ��“ Downloadable Units held locally and remote Audio ��“ Downloadable Units for which permanent or temporary access rights have been acquired.</t>
  </si>
  <si>
    <t>Report the number of units. Report only items that have been purchased, leased or licensed by the library, a consortium, the state library, a donor or other person or entity. Included items must only be accessible with a valid library card or at a physical library location; inclusion in the catalog is not required. Do not include items freely available without monetary exchange. Do not include items that are permanently retained by the patron; count only items that have a set circulation period where it is available for their use. Count electronic materials at the administrative entity level; do not duplicate numbers at each branch.</t>
  </si>
  <si>
    <t>NOTE: For purposes of this survey, units are defined as “units of acquisition or purchase”. The “unit” is determined by considering whether the item is restricted to a finite number of simultaneous users or an unlimited number of simultaneous users.</t>
  </si>
  <si>
    <t>Finite simultaneous use: units of acquisition or purchase is based on the number of simultaneous usages acquired (equivalent to purchasing multiple copies of a single title). For example, if a library acquires a title with rights to a single user at a time, then that item is counted as 1 “unit”; if the library acquires rights to a single title for 10 simultaneous users, then that item is counted as 10 “units. For smaller libraries, if volume data are not available, the number of titles may be counted.</t>
  </si>
  <si>
    <t>Unlimited simultaneous use: units of acquisition or purchase is based on the number of titles acquired. For example, if a library acquires a collection of 100 books with unlimited simultaneous users, then that collection would be counted as 100 “units”.</t>
  </si>
  <si>
    <t>NOTE: If your patrons have access to eAudio materials through your library's membership in a digital consortium include the number of items available in this count.</t>
  </si>
  <si>
    <t>4. Video (Physical Units)</t>
  </si>
  <si>
    <t>Materials on which pictures are recorded, with or without sound. Electronic playback reproduces pictures, with or without sound, using a television receiver or monitor.</t>
  </si>
  <si>
    <t>5. Video (Downloadable Units)</t>
  </si>
  <si>
    <t>These are downloadable electronic files on which moving pictures are recorded, with or without sound. Electronic playback reproduces pictures, with or without sound, using a television receiver, computer monitor or video-enabled mobile device. Video ��“ Downloadable Units may be loaned to users on portable devices or by transmitting the contents to the user’s personal computer for a limited time. Include Video ��“ Downloadable Units held locally and remote Video ��“ Downloadable Units for which permanent or temporary access rights have been acquired.</t>
  </si>
  <si>
    <t>Finite simultaneous use: units of acquisition or purchase is based on the number of simultaneous usages acquired (equivalent to purchasing multiple copies of a single title). For example, if a library acquires a title with rights to a single user at a time, then that item is counted as 1 “unit”; if the library acquires rights to a single title for 10 simultaneous users, then that item is counted as 10 “units.” For smaller libraries, if volume data are not available, the number of titles may be counted.</t>
  </si>
  <si>
    <t>NOTE: If your patrons have access to eVideo materials through your library's membership in a digital consortium include the number of items available in this count.</t>
  </si>
  <si>
    <t>6. Subscriptions (Non-electronic)</t>
  </si>
  <si>
    <t>Refers to the arrangements by which, in return for a sum paid in advance, periodicals, newspapers, or other serials are provided for a specified number of issues. These are print and microfilm subscriptions only; not electronic or digital subscriptions. Count subscriptions purchased from the library's budget and those donated to the library as gifts. Count titles, including duplicates, not individual issues.</t>
  </si>
  <si>
    <t>7. Electronic Books (E-Books)</t>
  </si>
  <si>
    <t>E-books are digital documents (including those digitized by the library), licensed or not, where searchable text is prevalent, and which can be seen in analogy to a printed book (monograph). E-books are loaned to users on portable devices (e-book readers) or by transmitting the contents to the user’s personal computer for a limited time. Include e-books held locally and remote e-books for which permanent or temporary access rights have been acquired. Report the number of electronic units, including duplicates, at the administrative entity level; do not duplicate unit count for each branch. E-books packaged together as a unit (e.g., multiple titles on a single ebook reader) and checked out as a unit are counted as one unit.</t>
  </si>
  <si>
    <t>Finite simultaneous use: units of acquisition or purchase is based on the number of simultaneous usages acquired (equivalent to purchasing multiple copies of a single title). For example, if a library acquires a title with rights to a single user at a time, then that item is counted as 1 “unit”; if the library acquires rights to a single title for 10 simultaneous users, then that item is counted as 10 “units”. For smaller libraries, if volume data are not available, the number of titles may be counted.</t>
  </si>
  <si>
    <t>NOTE: If your patrons have access to eBooks through your library's membership in a digital consortium include the number of items available in this count.</t>
  </si>
  <si>
    <t>8. Total Collection (Physical / Electronic Units)</t>
  </si>
  <si>
    <t>Databases </t>
  </si>
  <si>
    <t>9. Local Electronic Collections</t>
  </si>
  <si>
    <t>Formerly collected as databases an electronic collection is a collection of electronically stored data or unit records (facts, bibliographic data, abstracts, texts, photographs, music, video, etc.) with a common user interface and software for the retrieval and use of the data. An electronic collection may be organized, curated and electronically shared by the library, or rights may be provided by a third party vendor. An electronic collection may be funded by the library, or provided through cooperative agreement with other libraries, or through the State Library. Do not include electronic collections that are provided by third parties and freely linked to on the web.</t>
  </si>
  <si>
    <t>DO NOT COUNT MeL RESOURCES. No formal agreements or charges are associated with MeL databases provided by Library of Michigan to public libraries.</t>
  </si>
  <si>
    <t>10. State Electronic Collections</t>
  </si>
  <si>
    <t>Updated : 2015-10-30 11:34:03</t>
  </si>
  <si>
    <t>11. Other Electronic Collections</t>
  </si>
  <si>
    <t>Formerly collected as databases, an electronic collection is a collection of electronically stored data or unit records (facts, bibliographic data, abstracts, texts, photographs, music, video, etc.) with a common user interface and software for the retrieval and use of the data. An electronic collection may be organized, curated and electronically shared by the library, or rights may be provided by a third party vendor. An electronic collection may be funded by the library, or provided through cooperative agreement with other libraries, or through the State Library. Do not include electronic collections that are provided by third parties and freely linked to on the web.</t>
  </si>
  <si>
    <t>12. Total Electronic Collections</t>
  </si>
  <si>
    <t>Updated : 2015-10-13 14:01:41</t>
  </si>
  <si>
    <t>PART X: LIBRARY SERVICES </t>
  </si>
  <si>
    <t>If exact amount is unknown, enter an estimate. If an actual count of the data element is unavailable, determine an annual estimate by an actual count during a typical week in October and multiplying the count by 52. A "Typical week" is a time that is neither unusually busy nor unusually slow. Avoid holiday times, vacation periods for key staff, or days when unusual events are taking place in the community or the library. Choose a week in which the library is open its regular hours. Include seven consecutive calendar days, from Sunday through Saturday (or whenever the library is usually open). This technique can be used to estimate library visits, circulation transactions, reference transactions, interlibrary loans and number of users of electronic resources. </t>
  </si>
  <si>
    <t>A. Library Visits </t>
  </si>
  <si>
    <t>1. Library Visits</t>
  </si>
  <si>
    <t>The total number of persons entering the library for whatever purpose during the year.</t>
  </si>
  <si>
    <t>2. Virtual Visits to the Library's Website</t>
  </si>
  <si>
    <t>Updated : 2016-01-29 10:32:30</t>
  </si>
  <si>
    <t>The number of engagements initiated by all visitors from inside or outside the library to the library's web resources.</t>
  </si>
  <si>
    <t>B. Summer Reading Participation </t>
  </si>
  <si>
    <t>1. Do You Offer a Structured Summer Education and Enrichment Program for Children?</t>
  </si>
  <si>
    <t>Updated : 2015-10-13 13:27:31</t>
  </si>
  <si>
    <t>A structured summer reading program, meaning the program has a beginning and end as well as the ability to track continued participant participation though the program. (e.g. are they still actively participating at some level at the end of the program).</t>
  </si>
  <si>
    <t>2. How Many Children Signed Up For This Program</t>
  </si>
  <si>
    <t>Updated : 2015-09-10 12:25:22</t>
  </si>
  <si>
    <t>The number of children ages 0-12 signed up for this program.</t>
  </si>
  <si>
    <t>3. How Many Children Completed This Program</t>
  </si>
  <si>
    <t>Updated : 2015-09-10 12:25:36</t>
  </si>
  <si>
    <t>The number of children ages 0-12 completing this program.</t>
  </si>
  <si>
    <t>4. Do You Offer a Structured Summer Education and Enrichment Program for Teens?</t>
  </si>
  <si>
    <t>Updated : 2015-10-13 13:27:42</t>
  </si>
  <si>
    <t>5. How Many Teens Signed Up For This Program?</t>
  </si>
  <si>
    <t>Updated : 2015-09-10 12:26:15</t>
  </si>
  <si>
    <t>The number of children ages 13-18 signed up for this program.</t>
  </si>
  <si>
    <t>6. How Many Teens Completed This Program</t>
  </si>
  <si>
    <t>Updated : 2015-09-10 12:27:41</t>
  </si>
  <si>
    <t>The number of teens ages 13-18 completing this program.</t>
  </si>
  <si>
    <t>Total Participation</t>
  </si>
  <si>
    <t>Updated : 2015-09-10 12:35:53</t>
  </si>
  <si>
    <t>C. Program Attendance </t>
  </si>
  <si>
    <t>1. Summer Reading Events Children Programs</t>
  </si>
  <si>
    <t>Updated : 2016-02-10 15:27:21</t>
  </si>
  <si>
    <t>The number of programs (a program being defined as: a single event on a single data at a single location. Please count staff run events such as lapsit, bookclub, etc...) offered specifically as a part of the library's Summer Reading Program intended primarily for persons 12 years old or younger, followed by the count of the audience at these events. Include all persons who attend, whether adults or children.</t>
  </si>
  <si>
    <t>2. Summer Reading Events Children Attendance</t>
  </si>
  <si>
    <t>Updated : 2016-02-10 15:27:47</t>
  </si>
  <si>
    <t>The count of all participants 12 and under who have signed up for the summer reading program.</t>
  </si>
  <si>
    <t>3. Summer Reading Events Teens Programs</t>
  </si>
  <si>
    <t>Updated : 2016-02-10 15:25:07</t>
  </si>
  <si>
    <t>The number of programs (a program being defined as: a single event on a single date at a single location--please count staff run events, such as lapsit, bookclub, etc...) offered specifically as part of the library's Summer Reading Program intended primarily for persons 13 and over, up to and including those of 18 years of age, followed by the count of the audience at these events. Include all persons who attend, whether adults or children.</t>
  </si>
  <si>
    <t>4. Summer Reading Events Teens Attendance</t>
  </si>
  <si>
    <t>Updated : 2016-02-10 15:25:41</t>
  </si>
  <si>
    <t>The count of all participants 13 and over, up to and including those of 18 years of age who have signed up for the summer reading program.</t>
  </si>
  <si>
    <t>5. Children's Programs</t>
  </si>
  <si>
    <t>Updated : 2016-08-15 13:48:43</t>
  </si>
  <si>
    <t>6. Children's Program Attendance</t>
  </si>
  <si>
    <t>Updated : 2016-08-15 13:48:59</t>
  </si>
  <si>
    <t>The count of the audience at all programs intended primarily for persons 12 years old or younger (excluding all summer reading program events). Include all persons who attend, whether adults or children.</t>
  </si>
  <si>
    <t>7. Do any of your programs focus on early literacy for ages 0-5?</t>
  </si>
  <si>
    <t>Updated : 2016-08-15 13:49:21</t>
  </si>
  <si>
    <t>Does this library offer early literacy programming for children 0 to 5 years of age? This can include programs aimed at children or programs aimed at parents &amp; caregivers.</t>
  </si>
  <si>
    <t>8. How many of the Children's Programs reported in #1 &amp; #5 were focused on Early Literacy?</t>
  </si>
  <si>
    <t>Updated : 2016-08-15 14:34:33</t>
  </si>
  <si>
    <t>Record the number of Early Literacy enrichment programs offered. This total WILL NOT be added to the total programs offered. Please continue to record children's summer reading programs in #1 and all other children's programs in question #5. This also includes programs offered to caregivers in support of early literacy</t>
  </si>
  <si>
    <t>9. Report Total Early Literacy Program Attendance for the programs reported in #8.</t>
  </si>
  <si>
    <t>Updated : 2016-08-15 13:55:02</t>
  </si>
  <si>
    <t>Record the number of Early Literacy enrichment programs attended. This total will not be added to the total children's program attendance, please continue to record total summer reading events attendance in #2 &amp; children's program attendance in question #6. Include adult caregivers attendance in addition to 0-5 year old attendees.</t>
  </si>
  <si>
    <t>10. Teen Programs</t>
  </si>
  <si>
    <t>Updated : 2015-12-21 11:56:45</t>
  </si>
  <si>
    <t>11. Teen Program Attendance</t>
  </si>
  <si>
    <t>Updated : 2016-02-10 15:22:12</t>
  </si>
  <si>
    <t>The count of the audience at all programs intended primarily for young adult persons (approximately 13-18 years old), excluding all summer reading program events. Include all persons who attend, whether adults or children.</t>
  </si>
  <si>
    <t>12. Adult Programs</t>
  </si>
  <si>
    <t>Updated : 2015-09-10 13:12:04</t>
  </si>
  <si>
    <t>13. Adult Program Attendance</t>
  </si>
  <si>
    <t>Updated : 2015-09-10 13:12:17</t>
  </si>
  <si>
    <t>The count of the audience at all programs intended primarily for persons 19 years old or older. Include all persons who attend, whether adults or children.</t>
  </si>
  <si>
    <t>14. General Programs</t>
  </si>
  <si>
    <t>Updated : 2015-09-10 13:12:30</t>
  </si>
  <si>
    <t>15. General Program Attendance</t>
  </si>
  <si>
    <t>Updated : 2015-09-10 13:12:45</t>
  </si>
  <si>
    <t>The count of the audience at all programs not included in the above categories. Include all persons who attend, whether adults or children.</t>
  </si>
  <si>
    <t>Total Programs</t>
  </si>
  <si>
    <t>Updated : 2015-09-10 13:12:57</t>
  </si>
  <si>
    <t>Sum of "Summer Reading Event Children," "Summer Reading Event Teens," "Children's Program," "Young Adult Program," "Adult Program," and "General Program."</t>
  </si>
  <si>
    <t>Total Attendance</t>
  </si>
  <si>
    <t>Updated : 2015-09-10 13:13:13</t>
  </si>
  <si>
    <t>D. Circulation Transactions </t>
  </si>
  <si>
    <t>1. Circulation of Children's Materials</t>
  </si>
  <si>
    <t>Updated : 2016-08-15 14:36:27</t>
  </si>
  <si>
    <t>The total annual circulation of all children's materials in all formats to all users, including renewals but excluding electronic materials. Physical Materials Only</t>
  </si>
  <si>
    <t>2. Circulation of Non-Children's Materials</t>
  </si>
  <si>
    <t>Updated : 2016-08-15 14:36:38</t>
  </si>
  <si>
    <t>The total annual circulation of all non-children's materials in all formats to all users, including renewals but excluding electronic materials. Physical Materials Only</t>
  </si>
  <si>
    <t>3. Circulation of Electronic Materials</t>
  </si>
  <si>
    <t>Updated : 2016-08-15 14:36:49</t>
  </si>
  <si>
    <t>Electronic Materials are materials that are distributed digitally and can be accessed via a computer, the Internet, or a portable device such as an e-book reader. Types of electronic materials include e-books and downloadable electronic video and audio files. Electronic Materials packaged together as a unit and checked out as a unit are counted as one unit. Include circulation only for items counted under Electronic Books (E-Books), Audio-Downloadable Units and Video-Downloadable Units in the LIBRARY COLLECTION data elements 450-460. Do not include items not specified under those definitions.</t>
  </si>
  <si>
    <t>DO NOT INCLUDE DATABASES (Now known as electronic collections) IN THIS COUNT!!!</t>
  </si>
  <si>
    <t>4. Electronic Collection (Dbase) Use</t>
  </si>
  <si>
    <t>Updated : 2016-08-15 15:07:27</t>
  </si>
  <si>
    <t>The number of full-content units or descriptive records examined, downloaded, or otherwise supplied to user, from online library resources that the library provides that require user authentication but do not have a circulation period (DO NOT INCLUDE MeL RESOURCES). Examining documents is defined as having the full text of a digital document or electronic resource downloaded or fully displayed. Some electronic services do not require downloading as simply viewing documents is normally sufficient for user needs. </t>
  </si>
  <si>
    <t>Include use both inside and outside the library. Do not include use of the OPAC or website. [based on NISO Standard Z39.7 (2013) #7.7, p. 43] </t>
  </si>
  <si>
    <t>Rationale: This proposed new element is designed to capture the use of online content provided by libraries, but does not require a traditional circulation. Primarily, this element will capture the use of paid, commercial databases. The definition borrowed heavily from NISO standards.</t>
  </si>
  <si>
    <t>DO NOT INCLUDE RESOURCES ACCESSED THROUGH MeL.</t>
  </si>
  <si>
    <t>5. Total Physical Circulation</t>
  </si>
  <si>
    <t>Updated : 2016-08-15 14:43:28</t>
  </si>
  <si>
    <t>Calculated field combining Circulation of Children's Materials and Non-Children's Materials</t>
  </si>
  <si>
    <t>6. Total Electronic Content Use</t>
  </si>
  <si>
    <t>Updated : 2016-08-15 14:43:39</t>
  </si>
  <si>
    <t>This proposed new element would be a calculated field: the total of Circulation of Electronic Material AND Local Database Use.</t>
  </si>
  <si>
    <t>7. Total Circulation</t>
  </si>
  <si>
    <t>Updated : 2016-08-15 14:37:42</t>
  </si>
  <si>
    <t>The total annual circulation of all library materials of all types, including renewals and electronic materials. Count all materials in all formats that are charged out for use outside the library. Interlibrary loan transactions included are only items borrowed that are then circulated to users. Do not include items checked out to another library.</t>
  </si>
  <si>
    <t>This total will also include Local Database Use</t>
  </si>
  <si>
    <t>E. Reference Transactions </t>
  </si>
  <si>
    <t>8. Reference Transactions</t>
  </si>
  <si>
    <t>Updated : 2016-08-15 14:37:56</t>
  </si>
  <si>
    <t>Reference Transactions are information consultations in which library staff recommend, interpret, evaluate, and/or use information resources to help others to meet particular information needs.</t>
  </si>
  <si>
    <t>A reference transaction includes information and referral service as well as unscheduled individual instruction and assistance in using information sources (including web sites and computer-assisted instruction).Count Readers Advisory questions as reference transactions.</t>
  </si>
  <si>
    <t>Information sources include (a) printed and non-printed material; (b) machine-readable databases (including computer-assisted instruction); (c) the library's own catalogs and other holdings records; (d) other libraries and institutions through communication or referral; and (e) persons both inside and outside the library.</t>
  </si>
  <si>
    <t>When a staff member uses information gained from previous use of information sources to answer a question, the transaction is reported as a reference transaction even if the source is not consulted again.</t>
  </si>
  <si>
    <t>If a contact includes both reference and directional services, it should be reported as one reference transaction. Duration should not be an element in determining whether a transaction is a reference transaction.</t>
  </si>
  <si>
    <t>NOTE: It is essential that libraries do not include directional transactions in the report of reference transactions. Directional transactions include giving instruction for locating staff, library users, or physical features within the library. Examples of directional transactions include, “Where is the reference librarian? Where is Susan Smith? Where is the rest room? Where are the 600s? Can you help me make a photocopy?”</t>
  </si>
  <si>
    <t>If an annual count of reference transactions is unavailable, count reference transactions during a typical week or weeks, and multiply the count to represent an annual estimate. [If the sample is done four times a year, multiply totals by 13, if done twice a year multiply by 26, if done only annually, multiply by 52.] A "typical week" is a time that is neither unusually busy nor unusually slow. Avoid holiday times, vacation periods for key staff, or days when unusual events are taking place in the community or in the library. Choose a week in which the library is open its regular hours.</t>
  </si>
  <si>
    <t>F. Interlibrary Loans </t>
  </si>
  <si>
    <t>9. Number of items loaned to other libraries</t>
  </si>
  <si>
    <t>Updated : 2016-08-15 14:38:09</t>
  </si>
  <si>
    <t>These are library materials, or copies of the materials, provided by one library to another upon request. The libraries involved in interlibrary loans are not under the same library administration. These data are reported as annual figures.</t>
  </si>
  <si>
    <t>10. Number of items borrowed from other libraries</t>
  </si>
  <si>
    <t>Updated : 2016-08-15 14:38:20</t>
  </si>
  <si>
    <t>These are library materials, or copies of the materials, received by one library from another upon request. The libraries involved in the interlibrary loans are not under the same library administration. These data are reported as annual figures.</t>
  </si>
  <si>
    <t>G. Uses (Sessions) of Public Internet Computers Per Year </t>
  </si>
  <si>
    <t>11. Uses (Sessions) of Public Internet Computers Per Year</t>
  </si>
  <si>
    <t>Updated : 2016-08-15 14:38:32</t>
  </si>
  <si>
    <t>Report the total number of uses (sessions) for Internet computers in the library during the last year. If the computer is used for multiple purposes (Internet access, word-processing, OPAC, etc.) and Internet uses (sessions) cannot be isolated, report all usage. A typical week or other reliable estimate may be used to determine the annual number. Sign-up forms or Web-log tracking software also may provide a reliable count of uses (sessions). Note: The number of uses (sessions) may be counted manually, using registration logs. Count each use (session) for public internet computers, regardless of the amount of time spent on the computer. A use (session) on the library's public internet computer(s)three times a year would count as three uses (sessions). Software such as "Historian" can also be used to track the number of uses (sessions) at each public internet computer. If the data element is collected as a weekly figure, multiply that figure by 52 to annualize it.</t>
  </si>
  <si>
    <t>H. Uses of Wireless Logins Per Year </t>
  </si>
  <si>
    <t>12. Uses of Wireless Logins Per Year</t>
  </si>
  <si>
    <t>Updated : 2016-08-15 14:38:48</t>
  </si>
  <si>
    <t>Report the number of wireless sessions provided by the library wireless service annually. If the data element is collected as a weekly figure, multiply that figure by 50 to annualize it.</t>
  </si>
  <si>
    <t>I. Number of active registered borrowers </t>
  </si>
  <si>
    <t>13. Number of active registered borrowers</t>
  </si>
  <si>
    <t>Updated : 2016-08-15 14:39:01</t>
  </si>
  <si>
    <t>A registered borrower is a library user who has applied for and received an identification number or card from the public library that has established conditions under which the user may borrow library materials and gain access to other library resources. Note: Files should have been purged within the past three (3) years.</t>
  </si>
  <si>
    <t>J. Internet Terminals </t>
  </si>
  <si>
    <t>Click on Outlet's name to enter internet information for each outlet. Do not include service outlets that are not administered by the library system. </t>
  </si>
  <si>
    <t>Library Name</t>
  </si>
  <si>
    <t>Connection Speed</t>
  </si>
  <si>
    <t>Connection Type</t>
  </si>
  <si>
    <t>Public Terminals</t>
  </si>
  <si>
    <t>Staff Terminals</t>
  </si>
  <si>
    <t>Verified</t>
  </si>
  <si>
    <t>Total </t>
  </si>
  <si>
    <t>14. Total Staff Terminals</t>
  </si>
  <si>
    <t>Updated : 2016-08-15 14:39:18</t>
  </si>
  <si>
    <t>Include computers used for all purposes, including OPAC, word processing, Internet, etc.</t>
  </si>
  <si>
    <t>15. Total Public Terminals</t>
  </si>
  <si>
    <t>Updated : 2016-08-15 14:39:29</t>
  </si>
  <si>
    <t>Include computers used for all purposes including OPAC, word processing, Internet, etc.</t>
  </si>
  <si>
    <t>PART XI: CERTIFICATION OF PUBLIC LIBRARY PERSONNEL </t>
  </si>
  <si>
    <t>This section verifies that appropriate numbers and levels of staff worked at the library during the reporting year to meet the minimum standards for State Aid. Only staff that are CERTIFIED by the Library of Michigan and worked during the REPORTING YEAR need to be listed on this page. If a new CERTIFIED staff member was hired during the reporting year, please provide a hire date. If a certified staff member (including the director) left during the reporting year, please provide a departure date. For example, if the directorship changed during the reporting year, list the previous director with his or her departure date and the current director immediately below with his or her date of hire. </t>
  </si>
  <si>
    <t>A. Director Certification Information </t>
  </si>
  <si>
    <t>Please enter the information for your current director. </t>
  </si>
  <si>
    <t>1. Director's Name</t>
  </si>
  <si>
    <t>Updated : 2015-10-07 10:28:49</t>
  </si>
  <si>
    <t>2. Title</t>
  </si>
  <si>
    <t>Updated : 2015-10-07 10:28:55</t>
  </si>
  <si>
    <t>3. Director's SSN (last 4 digits)</t>
  </si>
  <si>
    <t>Updated : 2016-02-26 15:16:01</t>
  </si>
  <si>
    <t>4. Director's Avg Hrs Worked/Week</t>
  </si>
  <si>
    <t>Updated : 2015-10-07 10:29:33</t>
  </si>
  <si>
    <t>5. Director's Certification Level (I, II, III, or IV)</t>
  </si>
  <si>
    <t>Updated : 2015-10-07 10:29:39</t>
  </si>
  <si>
    <t>Level Certificate:</t>
  </si>
  <si>
    <t>I Librarian's Permanent Professional Certificate</t>
  </si>
  <si>
    <t>II Librarian's Professional Certificate</t>
  </si>
  <si>
    <t>III Limited Professional</t>
  </si>
  <si>
    <t>IV Paraprofessional</t>
  </si>
  <si>
    <t>6. Director's Hire Date</t>
  </si>
  <si>
    <t>Updated : 2015-10-07 10:29:45</t>
  </si>
  <si>
    <t>7. Director's Departure Date</t>
  </si>
  <si>
    <t>Updated : 2015-10-07 10:29:51</t>
  </si>
  <si>
    <t>B. Library Personnel Certification Information </t>
  </si>
  <si>
    <t>Name</t>
  </si>
  <si>
    <t>Last 4 Digits Social Security Number</t>
  </si>
  <si>
    <t>Updated : 2016-02-26 15:16:23</t>
  </si>
  <si>
    <t>Avg. Hours Worked Per Week</t>
  </si>
  <si>
    <t>Certification Level RECEIVED from Library of Michigan</t>
  </si>
  <si>
    <t>Hire Date if New in Reporting Year</t>
  </si>
  <si>
    <t>Departure Date in Reporting Year</t>
  </si>
  <si>
    <t>Head of Entity</t>
  </si>
  <si>
    <t>Verified Information?</t>
  </si>
  <si>
    <t>Certification Expiration Date</t>
  </si>
  <si>
    <t>PART XII: NONRESIDENT FEES INFORMATION </t>
  </si>
  <si>
    <t>1. Non-Resident Fee</t>
  </si>
  <si>
    <t>Updated : 2015-10-13 13:00:01</t>
  </si>
  <si>
    <t>Do you charge a nonresident fee to any person living outside of your service area?</t>
  </si>
  <si>
    <t>2. NR Fee Annual or One Time</t>
  </si>
  <si>
    <t>Updated : 2015-10-13 13:00:13</t>
  </si>
  <si>
    <t>Is your fee annual or one-time (choose one)</t>
  </si>
  <si>
    <t>3. Fee schedule or non-resident rate (Example: $35/family;$25/individual)</t>
  </si>
  <si>
    <t>Fee Schedule or NonResident rate (e.g. $35/family; $35/individual)</t>
  </si>
  <si>
    <t>4. Full Library Service for Contracted Municipalities</t>
  </si>
  <si>
    <t>Updated : 2015-10-13 13:00:24</t>
  </si>
  <si>
    <t>The same array of library services you provided for your jurisdictional population and the rest of your legal service population.</t>
  </si>
  <si>
    <t>PART XIII: TECHNOLOGY </t>
  </si>
  <si>
    <t>1. Total number of computers that the library provides for use by staff only</t>
  </si>
  <si>
    <t>2. Total number of computers that the library provides for public use</t>
  </si>
  <si>
    <t>3. Is your library circulation system automated?</t>
  </si>
  <si>
    <t>Updated : 2015-10-13 12:57:45</t>
  </si>
  <si>
    <t>4. Total income budgeted for the library's Integrated Library System</t>
  </si>
  <si>
    <t>Enter the total amount spent per year on the integrated library system or ILS.</t>
  </si>
  <si>
    <t>5. Circulation System Vendor Name</t>
  </si>
  <si>
    <t>6. Is your card catalog automated?</t>
  </si>
  <si>
    <t>Updated : 2015-10-13 12:53:11</t>
  </si>
  <si>
    <t>7. Card Catalog Vendor Name</t>
  </si>
  <si>
    <t>8. Patron Initiated ILL</t>
  </si>
  <si>
    <t>Updated : 2015-10-13 12:53:25</t>
  </si>
  <si>
    <t>9. Do you offer a Remote Catalog?</t>
  </si>
  <si>
    <t>Updated : 2015-10-13 12:54:04</t>
  </si>
  <si>
    <t>10. Do you provide Self Checkout?</t>
  </si>
  <si>
    <t>Updated : 2015-10-13 12:54:14</t>
  </si>
  <si>
    <t>11. Is your Circulation System Shared?</t>
  </si>
  <si>
    <t>Updated : 2015-10-13 12:54:27</t>
  </si>
  <si>
    <t>12. Do you provide Wireless Internet Access to Patrons?</t>
  </si>
  <si>
    <t>Updated : 2015-10-13 12:54:37</t>
  </si>
  <si>
    <t>PART XIV: SALARY AND BENEFIT INFORMATION </t>
  </si>
  <si>
    <t>Using the library's current pay scale for each position, indicate the average hours worked per week, and the minimum and maximum salary range for one year for the classifications listed for the main library. Report salary information for filled and vacant positions. Position titles may not reflect exact titles used at your library; use the closest match. </t>
  </si>
  <si>
    <t>1. Director Average Hrs/Wk</t>
  </si>
  <si>
    <t>2. Director Minimum Salary</t>
  </si>
  <si>
    <t>3. Director Maximum Salary</t>
  </si>
  <si>
    <t>4. Assistant Director Average Hrs/Wk</t>
  </si>
  <si>
    <t>5. Assistant Director Minimum Salary</t>
  </si>
  <si>
    <t>6. Assistant Director Maximum Salary</t>
  </si>
  <si>
    <t>7. Department/Branch Head Average Hrs/Wk</t>
  </si>
  <si>
    <t>8. Department/Branch Head Minimum Salary</t>
  </si>
  <si>
    <t>9. Department/Branch Head Maximum Salary</t>
  </si>
  <si>
    <t>10. Senior Level Librarian Average Hrs/Wk</t>
  </si>
  <si>
    <t>11. Senior Level Librarian Minimum Salary</t>
  </si>
  <si>
    <t>12. Senior Level Librarian Maximum Salary</t>
  </si>
  <si>
    <t>13. Entry Level Librarian Average Hrs/Wk</t>
  </si>
  <si>
    <t>14. Entry Level Librarian Minimum Salary</t>
  </si>
  <si>
    <t>15. Entry Level Librarian Maximum Salary</t>
  </si>
  <si>
    <t>16. Computer/Technology Specialist Average Hrs/Wk</t>
  </si>
  <si>
    <t>17. Computer/Technology Specialist Minimum Salary</t>
  </si>
  <si>
    <t>18. Computer/Technology Specialist Maximum Salary</t>
  </si>
  <si>
    <t>19. Library Clerk Average Hrs/Wk</t>
  </si>
  <si>
    <t>20. Library Clerk Minimum Salary</t>
  </si>
  <si>
    <t>21. Library Clerk Maximum Salary</t>
  </si>
  <si>
    <t>Director Benefit Information </t>
  </si>
  <si>
    <t>22. Health Insurance</t>
  </si>
  <si>
    <t>Updated : 2015-10-13 12:43:46</t>
  </si>
  <si>
    <t>23. Dental Insurance</t>
  </si>
  <si>
    <t>Updated : 2015-10-13 12:44:06</t>
  </si>
  <si>
    <t>24. Life Insurance</t>
  </si>
  <si>
    <t>Updated : 2015-10-13 12:44:20</t>
  </si>
  <si>
    <t>25. Pension</t>
  </si>
  <si>
    <t>Updated : 2015-10-13 12:44:35</t>
  </si>
  <si>
    <t>26. Vision Insurance</t>
  </si>
  <si>
    <t>Updated : 2015-10-13 12:44:48</t>
  </si>
  <si>
    <t>27. Paid Sick Leave</t>
  </si>
  <si>
    <t>Updated : 2015-10-13 12:45:04</t>
  </si>
  <si>
    <t>28. Paid Vacation</t>
  </si>
  <si>
    <t>Updated : 2015-10-13 12:45:31</t>
  </si>
  <si>
    <t>29. Paid Holidays</t>
  </si>
  <si>
    <t>Updated : 2015-10-13 12:45:47</t>
  </si>
  <si>
    <t>30. Deferred Compensation</t>
  </si>
  <si>
    <t>Updated : 2015-10-13 12:46:10</t>
  </si>
  <si>
    <t>31. Disability</t>
  </si>
  <si>
    <t>Updated : 2015-10-13 12:46:32</t>
  </si>
  <si>
    <t>32. Paid Personal Days</t>
  </si>
  <si>
    <t>Updated : 2015-10-13 12:46:44</t>
  </si>
  <si>
    <t>33. Longevity</t>
  </si>
  <si>
    <t>Updated : 2015-10-13 12:47:07</t>
  </si>
  <si>
    <t>34. Other Benefits</t>
  </si>
  <si>
    <t>PART XV: CURRENT MILLAGE INFORMATION </t>
  </si>
  <si>
    <t>1. Millage Rate</t>
  </si>
  <si>
    <t>Enter the rate approved by the voters in your service area. This is the maximum that the library may levy.</t>
  </si>
  <si>
    <t>2. Millage Authorization Date</t>
  </si>
  <si>
    <t>Enter the month and year when the voters in your service area approved the millage.</t>
  </si>
  <si>
    <t>3. Millage Rate Levied</t>
  </si>
  <si>
    <t>Enter the rate levied for library services. This is the rate that actually was used in determining property taxes.</t>
  </si>
  <si>
    <t>4. Millage Expiration Date</t>
  </si>
  <si>
    <t>Enter the month and year when the millage will expire. If the millage was voted "in perpetuity," leave date blank and indicate this by checking the box in the "Millage Voted in Perpetuity" field.</t>
  </si>
  <si>
    <t>5. Millage Voted in Perpetuity</t>
  </si>
  <si>
    <t>Updated : 2015-10-13 13:02:00</t>
  </si>
  <si>
    <t>If the millage was voted "in perpetuity," leave "Millage Expiration Date" blank and check this box.</t>
  </si>
  <si>
    <t>6. Millage is for Operating, Debt, or Both?</t>
  </si>
  <si>
    <t>Please indicate whether the millage is for operating, debt, or both.</t>
  </si>
  <si>
    <t>7. Millage Rate (2)</t>
  </si>
  <si>
    <t>8. Millage Authorization Date (2)</t>
  </si>
  <si>
    <t>9. Millage Rate Levied (2)</t>
  </si>
  <si>
    <t>10. Millage Expiration Date (2)</t>
  </si>
  <si>
    <t>Enter the month and year when the millage will expire. If the millage was voted "in perpetuity," leave date blank and indicate this by checking the box in the "Millage Voted in Perpetuity (2)" field.</t>
  </si>
  <si>
    <t>11. Millage Voted in Perpetuity (2)</t>
  </si>
  <si>
    <t>Updated : 2015-10-13 13:02:11</t>
  </si>
  <si>
    <t>If the millage was voted "in perpetuity," leave "Millage Expiration Date (2)" blank and check this box.</t>
  </si>
  <si>
    <t>12. Millage is for Operating, Debt, or Both? (2)</t>
  </si>
  <si>
    <t>13. Millage Rate (3)</t>
  </si>
  <si>
    <t>14. Millage Authorization Date (3)</t>
  </si>
  <si>
    <t>15. Millage Rate Levied (3)</t>
  </si>
  <si>
    <t>16. Millage Expiration Date (3)</t>
  </si>
  <si>
    <t>Enter the month and year when the millage will expire. If the millage was voted "in perpetuity," leave date blank and indicate this by checking the box in the "Millage Voted in Perpetuity (3)" field.</t>
  </si>
  <si>
    <t>17. Millage Voted in Perpetuity (3)</t>
  </si>
  <si>
    <t>Updated : 2015-10-13 13:02:25</t>
  </si>
  <si>
    <t>If the millage was voted "in perpetuity," leave "Millage Expiration Date (3)" blank and check this box.</t>
  </si>
  <si>
    <t>18. Millage is for Operating, Debt, or Both? (3)</t>
  </si>
  <si>
    <t>PART XVI: TRUSTEES REPORT </t>
  </si>
  <si>
    <t>List the names of the Trustees who are serving at the time this report is filed. Be sure to complete the "Term Expires" column. DO NOT LIST TRUSTEES WHOSE TERMS HAVE EXPIRED AT THE TIME OF FILING THIS REPORT. Library Staff Members may not be voting members of the Board of Trustees. School District Libraries organized under Public Act 451, 1976, must report both their legal School Board and their Library Advisory Board. If a Board position is vacant at the time of filing, make an entry for the vacant position to verify that your Board will have the appropriate number of Trustees. When the position is filled, contact Kathy Webb to report the new Board member and term at webbk1@michigan.gov or (517) 373-1303. </t>
  </si>
  <si>
    <t>Trustee Title</t>
  </si>
  <si>
    <t>Current title of the Board member.</t>
  </si>
  <si>
    <t>Trustee Name</t>
  </si>
  <si>
    <t>List the legal name for each current Board of Trustees member, beginning with officers. Enter "vacant" for vacancies, then contact the Library of Michigan when the positions are filled. Include School Board and Advisory Board, if applicable.</t>
  </si>
  <si>
    <t>Trustee Email</t>
  </si>
  <si>
    <t>Trustee Voting Member?</t>
  </si>
  <si>
    <t>Indicate if trustee is a voting member of your Board.</t>
  </si>
  <si>
    <t>Trustee Address 1</t>
  </si>
  <si>
    <t>Provide a current street address for each Board member. Include street number and street name.</t>
  </si>
  <si>
    <t>Trustee Address 2</t>
  </si>
  <si>
    <t>Provide a current PO Box, if appropriate, for each Board Member.</t>
  </si>
  <si>
    <t>Trustee City</t>
  </si>
  <si>
    <t>The city or town in which the Board Member resides.</t>
  </si>
  <si>
    <t>Trustee State</t>
  </si>
  <si>
    <t>The state in which the Board Member currently resides.</t>
  </si>
  <si>
    <t>Trustee Zip Code</t>
  </si>
  <si>
    <t>The five-digit postal zip code.</t>
  </si>
  <si>
    <t>Trustee Phone</t>
  </si>
  <si>
    <t>Provide the phone number at which each individual can be reached during the day.</t>
  </si>
  <si>
    <t>Trustee Term Expires</t>
  </si>
  <si>
    <t>List the month and year the term for each Board member will expire. If an individual serves on the Board as a function of his municipal office, write "ex officio" in this space.</t>
  </si>
  <si>
    <t>Trustee Verified Info</t>
  </si>
  <si>
    <t>Select the option which describes how your library Board members are designated </t>
  </si>
  <si>
    <t>The Library Trustees are:</t>
  </si>
  <si>
    <t>Updated : 2016-08-15 14:45:46</t>
  </si>
  <si>
    <t>Check the box which describes how your library board members are designated. Only one box should be checked.</t>
  </si>
  <si>
    <t>PART XVII: CERTIFICATION OF INFORMATION </t>
  </si>
  <si>
    <t>Please complete the fields below </t>
  </si>
  <si>
    <t>1. Authorized Official Name</t>
  </si>
  <si>
    <t>2. Authorized Official Title</t>
  </si>
  <si>
    <t>3. Authorized Official Phone Number</t>
  </si>
  <si>
    <t>4. Authorized Official Email</t>
  </si>
  <si>
    <t>5. Authorized Official Sign Date</t>
  </si>
  <si>
    <t>6. Contact Person Name</t>
  </si>
  <si>
    <t>7. Contact Person Title</t>
  </si>
  <si>
    <t>8. Contact Person Phone Number</t>
  </si>
  <si>
    <t>9. Contact Person Email</t>
  </si>
  <si>
    <t>10. Contact Person Sign Date</t>
  </si>
  <si>
    <t>11. Director Name</t>
  </si>
  <si>
    <t>12. Director Phone Number</t>
  </si>
  <si>
    <t>13. Director Email</t>
  </si>
  <si>
    <t>14. Director Sign Date</t>
  </si>
  <si>
    <t>I certify that the information provided on this application truly represents the library’s activities and that the financial information can be verified by audit.</t>
  </si>
  <si>
    <t>Updated : 2015-09-09 09:42:40</t>
  </si>
  <si>
    <t>To be completed by the library director or other authorized library official that can certify that this information is correct and can be verified by audit.</t>
  </si>
  <si>
    <t>I certify that state aid funds were used for expenses that are consistent with at LEAST ONE of the purposes AND ONE of the priorities of the Library Services &amp; Technology Act (20 USC Chapter 72 Subchapter II). Click on this text to see the full list of Pur</t>
  </si>
  <si>
    <t>Updated : 2015-09-09 09:43:15</t>
  </si>
  <si>
    <t>Purposes (Sec. 9121.) </t>
  </si>
  <si>
    <t>(1) To enhance coordination among Federal programs that relate to library and information services; </t>
  </si>
  <si>
    <t>(2) To promote continuous improvement in library services in all types of libraries in order to better serve the people of the United States; </t>
  </si>
  <si>
    <t>(3) To facilitate access to resources in all types of libraries for the purpose of cultivating an educated and informed citizenry; </t>
  </si>
  <si>
    <t>(4) To encourage resource sharing among all types of libraries for the purpose of achieving economical and efficient delivery of library services to the public; </t>
  </si>
  <si>
    <t>(5) To promote literacy, education, and lifelong learning and to enhance and expand the services and resources provided by libraries, including those services and resources relating to workforce development, 21st century skills, and digital literacy skills; </t>
  </si>
  <si>
    <t>(6) To enhance the skills of the current library workforce and to recruit future professionals to the field of library and information services; </t>
  </si>
  <si>
    <t>(7) To ensure the preservation of knowledge and library collections in all formats and to enable libraries to serve their communities during disasters; </t>
  </si>
  <si>
    <t>(8) To enhance the role of libraries within the information infrastructure of the United States in order to support research, education, and innovation; and national, State, regional, and international collaborations and networks.</t>
  </si>
  <si>
    <t>Priorities (Sec. 9141.) </t>
  </si>
  <si>
    <t>(1) Expanding services for learning and access to information and educational resources in a variety of formats, in all types of libraries, for individuals of all ages in order to support such individuals’ needs for education, life-long learning, workforce development, and digital literacy skills; </t>
  </si>
  <si>
    <t>(2) Establishing or enhancing electronic and other linkages and improved coordination among and between libraries and entities, as described in 9134(b)(6), for the purpose of improving the quality of and access to library and information services; </t>
  </si>
  <si>
    <t>(3) (A) Providing training and professional development, including continuing education, to enhance the skills of the current library workforce and leadership, and advance the delivery of library and information services; and (B) enhancing efforts to recruit future professionals to the field of library and information services; </t>
  </si>
  <si>
    <t>(4) Developing public and private partnerships with other agencies and community-based organizations; </t>
  </si>
  <si>
    <t>(5) Targeting library services to individuals of diverse geographic, cultural and socioeconomic backgrounds, to individuals with disabilities, and to individuals with limited functional literacy or information skills; </t>
  </si>
  <si>
    <t>(6) Targeting library and information services to persons having difficulty using a library and to underserved urban and rural communities, including children (from birth through age 17) from families with incomes below the poverty line…; </t>
  </si>
  <si>
    <t>(7) Developing library services that provide all users access to information through local, State, regional, national, and international collaborations and networks; and </t>
  </si>
  <si>
    <t>(8) Carrying out other activities consistent with the purposes set forth in section 9121, as described in the State library administrative agency’s plan.</t>
  </si>
  <si>
    <t>FSCS</t>
  </si>
  <si>
    <t>Location</t>
  </si>
  <si>
    <t>Library Class</t>
  </si>
  <si>
    <t>Report Start Period</t>
  </si>
  <si>
    <t>Report End Period</t>
  </si>
  <si>
    <t>Number of Central Libraries</t>
  </si>
  <si>
    <t>Number of Branch Libraries</t>
  </si>
  <si>
    <t>Total Number of Outlets</t>
  </si>
  <si>
    <t>Central Library(ies) Square Feet</t>
  </si>
  <si>
    <t>Branch(es) Square Feet</t>
  </si>
  <si>
    <t>Total Square Feet</t>
  </si>
  <si>
    <t>Total Annual Public Service Hours</t>
  </si>
  <si>
    <t>MI0405</t>
  </si>
  <si>
    <t>Addison Township Public Library</t>
  </si>
  <si>
    <t>Class 2: Serve 4,000-6,999</t>
  </si>
  <si>
    <t>01/01/2018</t>
  </si>
  <si>
    <t>12/31/2018</t>
  </si>
  <si>
    <t>MI0406</t>
  </si>
  <si>
    <t>Adrian District Library</t>
  </si>
  <si>
    <t>Class 4: Serve 12,000-25,999</t>
  </si>
  <si>
    <t>07/01/2018</t>
  </si>
  <si>
    <t>06/30/2019</t>
  </si>
  <si>
    <t>MI0372</t>
  </si>
  <si>
    <t>Aitkin Memorial District Library</t>
  </si>
  <si>
    <t>Class 3: Serve 7,000-11,999</t>
  </si>
  <si>
    <t>MI0407</t>
  </si>
  <si>
    <t>Alanson Area Public Library</t>
  </si>
  <si>
    <t>MI0408</t>
  </si>
  <si>
    <t>Albion District Library</t>
  </si>
  <si>
    <t>MI0409</t>
  </si>
  <si>
    <t>Alcona County Library</t>
  </si>
  <si>
    <t>MI0147</t>
  </si>
  <si>
    <t>Alden District Library</t>
  </si>
  <si>
    <t>Class 1: Serve 3,999 or less</t>
  </si>
  <si>
    <t>MI0410</t>
  </si>
  <si>
    <t>Allegan District Library</t>
  </si>
  <si>
    <t>MI9017</t>
  </si>
  <si>
    <t>Allen Park Public Library</t>
  </si>
  <si>
    <t>Class 5: Serve 26,000-49,999</t>
  </si>
  <si>
    <t>MI0411</t>
  </si>
  <si>
    <t>Allendale Township Library</t>
  </si>
  <si>
    <t>MI0412</t>
  </si>
  <si>
    <t>Alma Public Library</t>
  </si>
  <si>
    <t>MI0149</t>
  </si>
  <si>
    <t>Almont District Library</t>
  </si>
  <si>
    <t>12/01/2017</t>
  </si>
  <si>
    <t>11/30/2018</t>
  </si>
  <si>
    <t>MI0414</t>
  </si>
  <si>
    <t>Alpena County Library</t>
  </si>
  <si>
    <t>MI0010</t>
  </si>
  <si>
    <t>Alvah N. Belding Memorial Library</t>
  </si>
  <si>
    <t>MI0012</t>
  </si>
  <si>
    <t>Ann Arbor District Library</t>
  </si>
  <si>
    <t>Class 6: Serve 50,000+</t>
  </si>
  <si>
    <t>MI0013</t>
  </si>
  <si>
    <t>Armada Free Public Library</t>
  </si>
  <si>
    <t>MI9010</t>
  </si>
  <si>
    <t>Ashley District Library</t>
  </si>
  <si>
    <t>MI0014</t>
  </si>
  <si>
    <t>Athens Community Library</t>
  </si>
  <si>
    <t>04/01/2018</t>
  </si>
  <si>
    <t>03/31/2019</t>
  </si>
  <si>
    <t>MI0015</t>
  </si>
  <si>
    <t>Auburn Hills Public Library</t>
  </si>
  <si>
    <t>MI0016</t>
  </si>
  <si>
    <t>Augusta-Ross Township District Library</t>
  </si>
  <si>
    <t/>
  </si>
  <si>
    <t>MI0017</t>
  </si>
  <si>
    <t>Bacon Memorial District Library</t>
  </si>
  <si>
    <t>MI0018</t>
  </si>
  <si>
    <t>Bad Axe District Library</t>
  </si>
  <si>
    <t>MI0019</t>
  </si>
  <si>
    <t>Baldwin Public Library</t>
  </si>
  <si>
    <t>MI0020</t>
  </si>
  <si>
    <t>Barryton Public Library</t>
  </si>
  <si>
    <t>MI9026</t>
  </si>
  <si>
    <t>Bath Township Public Library</t>
  </si>
  <si>
    <t>MI0021</t>
  </si>
  <si>
    <t>Bay County Library System</t>
  </si>
  <si>
    <t>MI0023</t>
  </si>
  <si>
    <t>Beaver Island District Library</t>
  </si>
  <si>
    <t>MI0024</t>
  </si>
  <si>
    <t>Bellaire Public Library</t>
  </si>
  <si>
    <t>MI0430</t>
  </si>
  <si>
    <t>Belleville Area District Library</t>
  </si>
  <si>
    <t>MI0025</t>
  </si>
  <si>
    <t>Bellevue Township Library</t>
  </si>
  <si>
    <t>MI0027</t>
  </si>
  <si>
    <t>Benton Harbor Public Library</t>
  </si>
  <si>
    <t>MI0114</t>
  </si>
  <si>
    <t>Benzie Shores District Library</t>
  </si>
  <si>
    <t>MI0029</t>
  </si>
  <si>
    <t>Benzonia Public Library</t>
  </si>
  <si>
    <t>MI0030</t>
  </si>
  <si>
    <t>Berkley Public Library</t>
  </si>
  <si>
    <t>MI0031</t>
  </si>
  <si>
    <t>Berrien Springs Community Library</t>
  </si>
  <si>
    <t>MI0032</t>
  </si>
  <si>
    <t>Bessemer Public Library</t>
  </si>
  <si>
    <t>MI0033</t>
  </si>
  <si>
    <t>Betsie Valley District Library</t>
  </si>
  <si>
    <t>10/01/2018</t>
  </si>
  <si>
    <t>09/30/2019</t>
  </si>
  <si>
    <t>MI0035</t>
  </si>
  <si>
    <t>Big Rapids Community Library</t>
  </si>
  <si>
    <t>MI0036</t>
  </si>
  <si>
    <t>Blair Memorial Library</t>
  </si>
  <si>
    <t>MI0037</t>
  </si>
  <si>
    <t>Bloomfield Township Public Library</t>
  </si>
  <si>
    <t>MI0038</t>
  </si>
  <si>
    <t>Boyne District Library</t>
  </si>
  <si>
    <t>05/01/2018</t>
  </si>
  <si>
    <t>04/30/2019</t>
  </si>
  <si>
    <t>MI0039</t>
  </si>
  <si>
    <t>Branch District Library</t>
  </si>
  <si>
    <t>MI0040</t>
  </si>
  <si>
    <t>Brandon Township Public Library</t>
  </si>
  <si>
    <t>MI0041</t>
  </si>
  <si>
    <t>Bridgeport Public Library</t>
  </si>
  <si>
    <t>MI0042</t>
  </si>
  <si>
    <t>Bridgman Public Library</t>
  </si>
  <si>
    <t>MI0026</t>
  </si>
  <si>
    <t>Briggs District Library</t>
  </si>
  <si>
    <t>MI0043</t>
  </si>
  <si>
    <t>Brighton District Library</t>
  </si>
  <si>
    <t>MI0044</t>
  </si>
  <si>
    <t>Brown City Public Library</t>
  </si>
  <si>
    <t>MI0045</t>
  </si>
  <si>
    <t>Buchanan District Library</t>
  </si>
  <si>
    <t>MI0046</t>
  </si>
  <si>
    <t>Bullard Sanford Memorial Library</t>
  </si>
  <si>
    <t>MI0048</t>
  </si>
  <si>
    <t>Burr Oak Township Library</t>
  </si>
  <si>
    <t>MI0049</t>
  </si>
  <si>
    <t>Cadillac-Wexford County Public Library</t>
  </si>
  <si>
    <t>MI0050</t>
  </si>
  <si>
    <t>Calumet Public School Library</t>
  </si>
  <si>
    <t>MI0051</t>
  </si>
  <si>
    <t>Camden Township Library</t>
  </si>
  <si>
    <t>MI0052</t>
  </si>
  <si>
    <t>Canton Public Library</t>
  </si>
  <si>
    <t>MI0424</t>
  </si>
  <si>
    <t>Capital Area District Libraries</t>
  </si>
  <si>
    <t>MI0168</t>
  </si>
  <si>
    <t>Caro Area District Library</t>
  </si>
  <si>
    <t>MI0053</t>
  </si>
  <si>
    <t>Carp Lake Township Library</t>
  </si>
  <si>
    <t>MI0054</t>
  </si>
  <si>
    <t>Carson City Public Library</t>
  </si>
  <si>
    <t>MI0055</t>
  </si>
  <si>
    <t>Cass District Library</t>
  </si>
  <si>
    <t>MI0056</t>
  </si>
  <si>
    <t>Cedar Springs Public Library</t>
  </si>
  <si>
    <t>MI0057</t>
  </si>
  <si>
    <t>Center Line Public Library</t>
  </si>
  <si>
    <t>MI0058</t>
  </si>
  <si>
    <t>Central Lake District Library</t>
  </si>
  <si>
    <t>MI0059</t>
  </si>
  <si>
    <t>Charles A. Ransom District Library</t>
  </si>
  <si>
    <t>MI0060</t>
  </si>
  <si>
    <t>Charlevoix Public Library</t>
  </si>
  <si>
    <t>MI0061</t>
  </si>
  <si>
    <t>Charlotte Community Library</t>
  </si>
  <si>
    <t>MI0062</t>
  </si>
  <si>
    <t>Chase Township Public Library</t>
  </si>
  <si>
    <t>MI0063</t>
  </si>
  <si>
    <t>Cheboygan Area Public Library</t>
  </si>
  <si>
    <t>MI0223</t>
  </si>
  <si>
    <t>Chelsea District Library</t>
  </si>
  <si>
    <t>MI0416</t>
  </si>
  <si>
    <t>Chesterfield Township Library</t>
  </si>
  <si>
    <t>MI0348</t>
  </si>
  <si>
    <t>Chippewa River District Library System</t>
  </si>
  <si>
    <t>MI0166</t>
  </si>
  <si>
    <t>Clarkston Independence District Library</t>
  </si>
  <si>
    <t>MI0065</t>
  </si>
  <si>
    <t>Clinton Township Public Library</t>
  </si>
  <si>
    <t>MI0397</t>
  </si>
  <si>
    <t>Clinton-Macomb Public Library</t>
  </si>
  <si>
    <t>MI0066</t>
  </si>
  <si>
    <t>Coleman Area Library</t>
  </si>
  <si>
    <t>MI0067</t>
  </si>
  <si>
    <t>Coloma Public Library</t>
  </si>
  <si>
    <t>MI0068</t>
  </si>
  <si>
    <t>Colon Township Library</t>
  </si>
  <si>
    <t>MI0069</t>
  </si>
  <si>
    <t>Columbia Township Library</t>
  </si>
  <si>
    <t>MI0426</t>
  </si>
  <si>
    <t>Commerce Township Community Library</t>
  </si>
  <si>
    <t>MI0310</t>
  </si>
  <si>
    <t>Community District Library</t>
  </si>
  <si>
    <t>MI0070</t>
  </si>
  <si>
    <t>Comstock Township Library</t>
  </si>
  <si>
    <t>MI0071</t>
  </si>
  <si>
    <t>Constantine Township Library</t>
  </si>
  <si>
    <t>MI0072</t>
  </si>
  <si>
    <t>Coopersville Area District Library</t>
  </si>
  <si>
    <t>MI0074</t>
  </si>
  <si>
    <t>Crawford County Library</t>
  </si>
  <si>
    <t>MI0075</t>
  </si>
  <si>
    <t>Cromaine District Library</t>
  </si>
  <si>
    <t>MI0076</t>
  </si>
  <si>
    <t>Crooked Tree District Library</t>
  </si>
  <si>
    <t>MI0429</t>
  </si>
  <si>
    <t>Croton Township Library</t>
  </si>
  <si>
    <t>MI0077</t>
  </si>
  <si>
    <t>Crystal Falls District Community Library</t>
  </si>
  <si>
    <t>MI0417</t>
  </si>
  <si>
    <t>Curtis Township Library</t>
  </si>
  <si>
    <t>MI0034</t>
  </si>
  <si>
    <t>Darcy Library of Beulah</t>
  </si>
  <si>
    <t>MI0425</t>
  </si>
  <si>
    <t>Dearborn Heights City Libraries</t>
  </si>
  <si>
    <t>MI0078</t>
  </si>
  <si>
    <t>Dearborn Public Library</t>
  </si>
  <si>
    <t>MI0080</t>
  </si>
  <si>
    <t>Deckerville Public Library</t>
  </si>
  <si>
    <t>MI9009</t>
  </si>
  <si>
    <t>Delta Township District Library</t>
  </si>
  <si>
    <t>MI0081</t>
  </si>
  <si>
    <t>Delton District Library</t>
  </si>
  <si>
    <t>MI0083</t>
  </si>
  <si>
    <t>Detroit Public Library</t>
  </si>
  <si>
    <t>MI0106</t>
  </si>
  <si>
    <t>DeWitt District Library</t>
  </si>
  <si>
    <t>MI0084</t>
  </si>
  <si>
    <t>Dexter District Library</t>
  </si>
  <si>
    <t>MI0085</t>
  </si>
  <si>
    <t>Dickinson County Library</t>
  </si>
  <si>
    <t>MI0373</t>
  </si>
  <si>
    <t>Dorothy Hull Library - Windsor Township</t>
  </si>
  <si>
    <t>MI0086</t>
  </si>
  <si>
    <t>Dorr Township Library</t>
  </si>
  <si>
    <t>MI0087</t>
  </si>
  <si>
    <t>Dowagiac District Library</t>
  </si>
  <si>
    <t>MI0088</t>
  </si>
  <si>
    <t>Dowling Public Library</t>
  </si>
  <si>
    <t>MI0089</t>
  </si>
  <si>
    <t>Dryden Township Library</t>
  </si>
  <si>
    <t>MI0093</t>
  </si>
  <si>
    <t>East Lansing Public Library</t>
  </si>
  <si>
    <t>MI0092</t>
  </si>
  <si>
    <t>Eastpointe Memorial Library</t>
  </si>
  <si>
    <t>MI0094</t>
  </si>
  <si>
    <t>Eaton Rapids Area District Library</t>
  </si>
  <si>
    <t>MI0095</t>
  </si>
  <si>
    <t>Eau Claire District Library</t>
  </si>
  <si>
    <t>08/01/2018</t>
  </si>
  <si>
    <t>07/31/2019</t>
  </si>
  <si>
    <t>MI9021</t>
  </si>
  <si>
    <t>Ecorse Public Library</t>
  </si>
  <si>
    <t>MI0098</t>
  </si>
  <si>
    <t>Elk Rapids District Library</t>
  </si>
  <si>
    <t>03/01/2018</t>
  </si>
  <si>
    <t>02/29/2019</t>
  </si>
  <si>
    <t>MI0099</t>
  </si>
  <si>
    <t>Elk Township Library</t>
  </si>
  <si>
    <t>MI0100</t>
  </si>
  <si>
    <t>Elsie Public Library</t>
  </si>
  <si>
    <t>MI0101</t>
  </si>
  <si>
    <t>Escanaba Public Library</t>
  </si>
  <si>
    <t>MI0102</t>
  </si>
  <si>
    <t>Evart Public Library</t>
  </si>
  <si>
    <t>07/01/18</t>
  </si>
  <si>
    <t>06/30/19</t>
  </si>
  <si>
    <t>MI0103</t>
  </si>
  <si>
    <t>Fairgrove District Library</t>
  </si>
  <si>
    <t>MI0105</t>
  </si>
  <si>
    <t>Farmington Community Library</t>
  </si>
  <si>
    <t>MI0107</t>
  </si>
  <si>
    <t>Fennville District Library</t>
  </si>
  <si>
    <t>MI0108</t>
  </si>
  <si>
    <t>Ferndale Area District Library</t>
  </si>
  <si>
    <t>MI0109</t>
  </si>
  <si>
    <t>Fife Lake Public Library</t>
  </si>
  <si>
    <t>MI0133</t>
  </si>
  <si>
    <t>Flat River Community Library</t>
  </si>
  <si>
    <t>MI0421</t>
  </si>
  <si>
    <t>Flat Rock Public Library</t>
  </si>
  <si>
    <t>MI0111</t>
  </si>
  <si>
    <t>Flint Public Library</t>
  </si>
  <si>
    <t>MI0112</t>
  </si>
  <si>
    <t>Forsyth Township Public Library</t>
  </si>
  <si>
    <t>MI0113</t>
  </si>
  <si>
    <t>Fowlerville District Library</t>
  </si>
  <si>
    <t>MI0177</t>
  </si>
  <si>
    <t>Frankenmuth James E. Wickson District Library</t>
  </si>
  <si>
    <t>MI0115</t>
  </si>
  <si>
    <t>Franklin Public Library</t>
  </si>
  <si>
    <t>MI0116</t>
  </si>
  <si>
    <t>Fraser Public Library</t>
  </si>
  <si>
    <t>MI0117</t>
  </si>
  <si>
    <t>Freeport District Library</t>
  </si>
  <si>
    <t>MI0118</t>
  </si>
  <si>
    <t>Fremont Area District Library</t>
  </si>
  <si>
    <t>MI9022</t>
  </si>
  <si>
    <t>Fruitport District Library</t>
  </si>
  <si>
    <t>MI0119</t>
  </si>
  <si>
    <t>Galesburg-Charleston Memorial District Library</t>
  </si>
  <si>
    <t>MI0120</t>
  </si>
  <si>
    <t>Galien Township Public Library</t>
  </si>
  <si>
    <t>MI0121</t>
  </si>
  <si>
    <t>Garden City Public Library</t>
  </si>
  <si>
    <t>MI0162</t>
  </si>
  <si>
    <t>Gary Byker Memorial Library of Hudsonville</t>
  </si>
  <si>
    <t>MI0123</t>
  </si>
  <si>
    <t>Genesee District Library</t>
  </si>
  <si>
    <t>MI0376</t>
  </si>
  <si>
    <t>George W. Spindler Memorial Library</t>
  </si>
  <si>
    <t>MI0124</t>
  </si>
  <si>
    <t>Georgetown Township Public Library</t>
  </si>
  <si>
    <t>MI0126</t>
  </si>
  <si>
    <t>Gladstone School &amp; Public Library</t>
  </si>
  <si>
    <t>MI0127</t>
  </si>
  <si>
    <t>Gladwin County District Library</t>
  </si>
  <si>
    <t>MI0128</t>
  </si>
  <si>
    <t>Glen Lake Community Library</t>
  </si>
  <si>
    <t>MI0436</t>
  </si>
  <si>
    <t>Goodland Township Library</t>
  </si>
  <si>
    <t>MI0129</t>
  </si>
  <si>
    <t>Grace A. Dow Memorial Library</t>
  </si>
  <si>
    <t>MI0130</t>
  </si>
  <si>
    <t>Grand Ledge Area District Library</t>
  </si>
  <si>
    <t>MI0131</t>
  </si>
  <si>
    <t>Grand Rapids Public Library</t>
  </si>
  <si>
    <t>MI0132</t>
  </si>
  <si>
    <t>Grant Area District Library</t>
  </si>
  <si>
    <t>MI0134</t>
  </si>
  <si>
    <t>Grosse Pointe Public Library</t>
  </si>
  <si>
    <t>MI0135</t>
  </si>
  <si>
    <t>Hackley Public Library</t>
  </si>
  <si>
    <t>MI0137</t>
  </si>
  <si>
    <t>Hamburg Township Library</t>
  </si>
  <si>
    <t>MI0138</t>
  </si>
  <si>
    <t>Hamtramck Public Library</t>
  </si>
  <si>
    <t>MI0140</t>
  </si>
  <si>
    <t>Harbor Beach Area District Library</t>
  </si>
  <si>
    <t>MI0141</t>
  </si>
  <si>
    <t>Harper Woods Public Library</t>
  </si>
  <si>
    <t>MI0142</t>
  </si>
  <si>
    <t>Harrison District Library</t>
  </si>
  <si>
    <t>MI0435</t>
  </si>
  <si>
    <t>Harrison Township Public Library</t>
  </si>
  <si>
    <t>MI0143</t>
  </si>
  <si>
    <t>Hart Area Public Library</t>
  </si>
  <si>
    <t>MI0144</t>
  </si>
  <si>
    <t>Hartford Public Library</t>
  </si>
  <si>
    <t>MI0145</t>
  </si>
  <si>
    <t>Hastings Public Library</t>
  </si>
  <si>
    <t>MI0146</t>
  </si>
  <si>
    <t>Hazel Park Memorial District Library</t>
  </si>
  <si>
    <t>MI0148</t>
  </si>
  <si>
    <t>Henika District Library</t>
  </si>
  <si>
    <t>MI0150</t>
  </si>
  <si>
    <t>Herrick District Library</t>
  </si>
  <si>
    <t>MI0151</t>
  </si>
  <si>
    <t>Hesperia Community Library</t>
  </si>
  <si>
    <t>MI0152</t>
  </si>
  <si>
    <t>Highland Township Public Library</t>
  </si>
  <si>
    <t>MI0232</t>
  </si>
  <si>
    <t>Hillsdale Community Library</t>
  </si>
  <si>
    <t>MI0153</t>
  </si>
  <si>
    <t>Holly Township Library</t>
  </si>
  <si>
    <t>MI0154</t>
  </si>
  <si>
    <t>Home Township Library</t>
  </si>
  <si>
    <t>MI0155</t>
  </si>
  <si>
    <t>Homer Public Library</t>
  </si>
  <si>
    <t>MI0157</t>
  </si>
  <si>
    <t>Hopkins District Library</t>
  </si>
  <si>
    <t>MI0158</t>
  </si>
  <si>
    <t>Houghton Lake Public Library</t>
  </si>
  <si>
    <t>MI0378</t>
  </si>
  <si>
    <t>Howard Miller Library</t>
  </si>
  <si>
    <t>MI0159</t>
  </si>
  <si>
    <t>Howe Memorial Library</t>
  </si>
  <si>
    <t>MI0160</t>
  </si>
  <si>
    <t>Howell Carnegie District Library</t>
  </si>
  <si>
    <t>MI0161</t>
  </si>
  <si>
    <t>Hudson Carnegie District Library</t>
  </si>
  <si>
    <t>MI0163</t>
  </si>
  <si>
    <t>Huntington Woods Public Library</t>
  </si>
  <si>
    <t>MI0167</t>
  </si>
  <si>
    <t>Indian River Area Library</t>
  </si>
  <si>
    <t>MI0170</t>
  </si>
  <si>
    <t>Interlochen Public Library</t>
  </si>
  <si>
    <t>MI0136</t>
  </si>
  <si>
    <t>Ionia Community Library</t>
  </si>
  <si>
    <t>MI0171</t>
  </si>
  <si>
    <t>Iosco-Arenac District Library</t>
  </si>
  <si>
    <t>MI0172</t>
  </si>
  <si>
    <t>Ironwood Carnegie Library</t>
  </si>
  <si>
    <t>MI0173</t>
  </si>
  <si>
    <t>Ishpeming Carnegie Public Library</t>
  </si>
  <si>
    <t>MI0174</t>
  </si>
  <si>
    <t>J. C. Wheeler Public Library</t>
  </si>
  <si>
    <t>MI0175</t>
  </si>
  <si>
    <t>Jackson District Library</t>
  </si>
  <si>
    <t>MI0176</t>
  </si>
  <si>
    <t>Jacquelin E. Opperman Memorial Library</t>
  </si>
  <si>
    <t>MI0178</t>
  </si>
  <si>
    <t>Jonesville District Library</t>
  </si>
  <si>
    <t>MI0179</t>
  </si>
  <si>
    <t>Jordan Valley District Library</t>
  </si>
  <si>
    <t>MI0180</t>
  </si>
  <si>
    <t>Kalamazoo Public Library</t>
  </si>
  <si>
    <t>MI0181</t>
  </si>
  <si>
    <t>Kalkaska County Library</t>
  </si>
  <si>
    <t>MI0182</t>
  </si>
  <si>
    <t>Kent District Library</t>
  </si>
  <si>
    <t>MI0186</t>
  </si>
  <si>
    <t>Laingsburg Public Library</t>
  </si>
  <si>
    <t>MI0187</t>
  </si>
  <si>
    <t>Lake Linden-Hubbell School/Public Library</t>
  </si>
  <si>
    <t>MI0188</t>
  </si>
  <si>
    <t>Lake Odessa Community Library</t>
  </si>
  <si>
    <t>MI0184</t>
  </si>
  <si>
    <t>L'Anse Area School-Public Library</t>
  </si>
  <si>
    <t>MI0190</t>
  </si>
  <si>
    <t>Lapeer District Library</t>
  </si>
  <si>
    <t>MI0191</t>
  </si>
  <si>
    <t>Lawrence Memorial Public Library</t>
  </si>
  <si>
    <t>MI0192</t>
  </si>
  <si>
    <t>Lawton Public Library</t>
  </si>
  <si>
    <t>MI0431</t>
  </si>
  <si>
    <t>Leanna Hicks Public Library of Inkster</t>
  </si>
  <si>
    <t>MI0193</t>
  </si>
  <si>
    <t>Leelanau Township Library</t>
  </si>
  <si>
    <t>MI0422</t>
  </si>
  <si>
    <t>Leighton Township Library</t>
  </si>
  <si>
    <t>MI0194</t>
  </si>
  <si>
    <t>Leland Township Public Library</t>
  </si>
  <si>
    <t>MI0195</t>
  </si>
  <si>
    <t>Lenawee District Library</t>
  </si>
  <si>
    <t>MI0196</t>
  </si>
  <si>
    <t>Lenox Township Library</t>
  </si>
  <si>
    <t>MI0197</t>
  </si>
  <si>
    <t>LeRoy Community Library</t>
  </si>
  <si>
    <t>MI9025</t>
  </si>
  <si>
    <t>Lincoln Park Public Library</t>
  </si>
  <si>
    <t>MI0198</t>
  </si>
  <si>
    <t>Lincoln Township Public Library</t>
  </si>
  <si>
    <t>MI0199</t>
  </si>
  <si>
    <t>Litchfield District Library</t>
  </si>
  <si>
    <t>MI0200</t>
  </si>
  <si>
    <t>Livonia Public Library</t>
  </si>
  <si>
    <t>MI0290</t>
  </si>
  <si>
    <t>Lois Wagner Memorial Library</t>
  </si>
  <si>
    <t>MI0201</t>
  </si>
  <si>
    <t>Loutit District Library</t>
  </si>
  <si>
    <t>MI0203</t>
  </si>
  <si>
    <t>Luther Area Public Library</t>
  </si>
  <si>
    <t>MI0204</t>
  </si>
  <si>
    <t>Lyon Township Public Library</t>
  </si>
  <si>
    <t>MI0205</t>
  </si>
  <si>
    <t>Lyons Township District Library</t>
  </si>
  <si>
    <t>MI0206</t>
  </si>
  <si>
    <t>M. Alice Chapin Memorial Library</t>
  </si>
  <si>
    <t>MI0242</t>
  </si>
  <si>
    <t>MacDonald Public Library</t>
  </si>
  <si>
    <t>MI0207</t>
  </si>
  <si>
    <t>Mackinac Island Public Library</t>
  </si>
  <si>
    <t>MI0208</t>
  </si>
  <si>
    <t>Mackinaw Area Public Library</t>
  </si>
  <si>
    <t>MI0210</t>
  </si>
  <si>
    <t>Madison Heights Public Library</t>
  </si>
  <si>
    <t>MI0211</t>
  </si>
  <si>
    <t>Mancelona Township Library</t>
  </si>
  <si>
    <t>MI0212</t>
  </si>
  <si>
    <t>Manchester District Library</t>
  </si>
  <si>
    <t>06/01/2018</t>
  </si>
  <si>
    <t>05/31/2019</t>
  </si>
  <si>
    <t>MI0213</t>
  </si>
  <si>
    <t>Manistee County Library</t>
  </si>
  <si>
    <t>MI0214</t>
  </si>
  <si>
    <t>Manistique School &amp; Public Library</t>
  </si>
  <si>
    <t>MI0215</t>
  </si>
  <si>
    <t>Maple Rapids Public Library</t>
  </si>
  <si>
    <t>MI0216</t>
  </si>
  <si>
    <t>Marcellus Township Wood Memorial Library</t>
  </si>
  <si>
    <t>MI0217</t>
  </si>
  <si>
    <t>Marlette District Library</t>
  </si>
  <si>
    <t>MI0218</t>
  </si>
  <si>
    <t>Marshall District Library</t>
  </si>
  <si>
    <t>MI0401</t>
  </si>
  <si>
    <t>Mason County District Library</t>
  </si>
  <si>
    <t>MI0220</t>
  </si>
  <si>
    <t>Maud Preston Palenske Memorial Library</t>
  </si>
  <si>
    <t>MI0221</t>
  </si>
  <si>
    <t>Mayville District Public Library</t>
  </si>
  <si>
    <t>MI0418</t>
  </si>
  <si>
    <t>McBain Community Library</t>
  </si>
  <si>
    <t>MI0224</t>
  </si>
  <si>
    <t>McMillan Township Library</t>
  </si>
  <si>
    <t>MI9018</t>
  </si>
  <si>
    <t>Melvindale Public Library</t>
  </si>
  <si>
    <t>MI0225</t>
  </si>
  <si>
    <t>Mendon Township Library</t>
  </si>
  <si>
    <t>MI0226</t>
  </si>
  <si>
    <t>Menominee County Library</t>
  </si>
  <si>
    <t>MI0227</t>
  </si>
  <si>
    <t>Merrill District Library</t>
  </si>
  <si>
    <t>MI0228</t>
  </si>
  <si>
    <t>Milan Public Library</t>
  </si>
  <si>
    <t>MI0229</t>
  </si>
  <si>
    <t>Milford Public Library</t>
  </si>
  <si>
    <t>MI0230</t>
  </si>
  <si>
    <t>Millington Arbela District Library</t>
  </si>
  <si>
    <t>MI0231</t>
  </si>
  <si>
    <t>Missaukee District Library</t>
  </si>
  <si>
    <t>MI0233</t>
  </si>
  <si>
    <t>Monroe County Library System</t>
  </si>
  <si>
    <t>MI0234</t>
  </si>
  <si>
    <t>Montmorency County Public Libraries</t>
  </si>
  <si>
    <t>MI0235</t>
  </si>
  <si>
    <t>Moore Public Library</t>
  </si>
  <si>
    <t>MI0236</t>
  </si>
  <si>
    <t>Morton Township Public Library</t>
  </si>
  <si>
    <t>MI0237</t>
  </si>
  <si>
    <t>Mount Clemens Public Library</t>
  </si>
  <si>
    <t>MI0238</t>
  </si>
  <si>
    <t>Mulliken District Library</t>
  </si>
  <si>
    <t>MI0239</t>
  </si>
  <si>
    <t>Munising School Public Library</t>
  </si>
  <si>
    <t>MI0240</t>
  </si>
  <si>
    <t>Muskegon Area District Library</t>
  </si>
  <si>
    <t>MI0241</t>
  </si>
  <si>
    <t>Negaunee Public Library</t>
  </si>
  <si>
    <t>MI0243</t>
  </si>
  <si>
    <t>New Buffalo Township Public Library</t>
  </si>
  <si>
    <t>MI0244</t>
  </si>
  <si>
    <t>Newaygo Area District Library</t>
  </si>
  <si>
    <t>MI0245</t>
  </si>
  <si>
    <t>Niles District Library</t>
  </si>
  <si>
    <t>MI0246</t>
  </si>
  <si>
    <t>North Adams Community Memorial Library</t>
  </si>
  <si>
    <t>MI0247</t>
  </si>
  <si>
    <t>North Branch Township Library</t>
  </si>
  <si>
    <t>MI0379</t>
  </si>
  <si>
    <t>Northfield Township Area Library</t>
  </si>
  <si>
    <t>MI0248</t>
  </si>
  <si>
    <t>Northville District Library</t>
  </si>
  <si>
    <t>MI0249</t>
  </si>
  <si>
    <t>Nottawa Township Library</t>
  </si>
  <si>
    <t>MI0250</t>
  </si>
  <si>
    <t>Novi Public Library</t>
  </si>
  <si>
    <t>MI0251</t>
  </si>
  <si>
    <t>Oak Park Public Library</t>
  </si>
  <si>
    <t>MI0253</t>
  </si>
  <si>
    <t>Ogemaw District Library</t>
  </si>
  <si>
    <t>MI0254</t>
  </si>
  <si>
    <t>Ontonagon Township Library</t>
  </si>
  <si>
    <t>MI0255</t>
  </si>
  <si>
    <t>Orion Township Public Library</t>
  </si>
  <si>
    <t>MI0256</t>
  </si>
  <si>
    <t>Osceola Township School Public Library</t>
  </si>
  <si>
    <t>MI0257</t>
  </si>
  <si>
    <t>Oscoda County Library</t>
  </si>
  <si>
    <t>MI0258</t>
  </si>
  <si>
    <t>Otsego County Library</t>
  </si>
  <si>
    <t>MI0259</t>
  </si>
  <si>
    <t>Otsego District Public Library</t>
  </si>
  <si>
    <t>MI0260</t>
  </si>
  <si>
    <t>Ovid Public Library</t>
  </si>
  <si>
    <t>MI0262</t>
  </si>
  <si>
    <t>Oxford Public Library</t>
  </si>
  <si>
    <t>MI0263</t>
  </si>
  <si>
    <t>Parchment Community Library</t>
  </si>
  <si>
    <t>MI0264</t>
  </si>
  <si>
    <t>Pathfinder Community Library</t>
  </si>
  <si>
    <t>MI9012</t>
  </si>
  <si>
    <t>Patmos Library</t>
  </si>
  <si>
    <t>MI0265</t>
  </si>
  <si>
    <t>Paw Paw District Library</t>
  </si>
  <si>
    <t>MI0266</t>
  </si>
  <si>
    <t>Peninsula Community Library</t>
  </si>
  <si>
    <t>MI0267</t>
  </si>
  <si>
    <t>Pentwater Township Library</t>
  </si>
  <si>
    <t>MI0122</t>
  </si>
  <si>
    <t>Pere Marquette District Library</t>
  </si>
  <si>
    <t>MI0268</t>
  </si>
  <si>
    <t>Peter White Public Library</t>
  </si>
  <si>
    <t>MI0269</t>
  </si>
  <si>
    <t>Petoskey District Library</t>
  </si>
  <si>
    <t>MI0270</t>
  </si>
  <si>
    <t>Pigeon District Library</t>
  </si>
  <si>
    <t>MI0271</t>
  </si>
  <si>
    <t>Pinckney Community Public Library</t>
  </si>
  <si>
    <t>MI0272</t>
  </si>
  <si>
    <t>Pittsford Public Library</t>
  </si>
  <si>
    <t>MI0273</t>
  </si>
  <si>
    <t>Plymouth District Library</t>
  </si>
  <si>
    <t>MI0274</t>
  </si>
  <si>
    <t>Pontiac Public Library</t>
  </si>
  <si>
    <t>MI0275</t>
  </si>
  <si>
    <t>Port Austin Township Library</t>
  </si>
  <si>
    <t>MI0277</t>
  </si>
  <si>
    <t>Portage District Library</t>
  </si>
  <si>
    <t>MI0276</t>
  </si>
  <si>
    <t>Portage Lake District Library</t>
  </si>
  <si>
    <t>MI0278</t>
  </si>
  <si>
    <t>Portland District Library</t>
  </si>
  <si>
    <t>MI0028</t>
  </si>
  <si>
    <t>Potterville-Benton Township District Library</t>
  </si>
  <si>
    <t>MI0279</t>
  </si>
  <si>
    <t>Presque Isle District Library</t>
  </si>
  <si>
    <t>MI0299</t>
  </si>
  <si>
    <t>Public Libraries of Saginaw</t>
  </si>
  <si>
    <t>MI0280</t>
  </si>
  <si>
    <t>Putnam District Library</t>
  </si>
  <si>
    <t>MI0281</t>
  </si>
  <si>
    <t>Rauchholz Memorial Library</t>
  </si>
  <si>
    <t>MI0282</t>
  </si>
  <si>
    <t>Rawson Memorial Library</t>
  </si>
  <si>
    <t>MI0427</t>
  </si>
  <si>
    <t>Ray Township Public Library</t>
  </si>
  <si>
    <t>MI0283</t>
  </si>
  <si>
    <t>Reading Community Library</t>
  </si>
  <si>
    <t>MI0402</t>
  </si>
  <si>
    <t>Redford Township District Library</t>
  </si>
  <si>
    <t>MI0284</t>
  </si>
  <si>
    <t>Reed City Area District Library</t>
  </si>
  <si>
    <t>MI0380</t>
  </si>
  <si>
    <t>Reese Unity District Library</t>
  </si>
  <si>
    <t>MI0285</t>
  </si>
  <si>
    <t>Republic-Michigamme Public Library</t>
  </si>
  <si>
    <t>MI0287</t>
  </si>
  <si>
    <t>Richfield Township Public Library</t>
  </si>
  <si>
    <t>MI0288</t>
  </si>
  <si>
    <t>Richland Community Library</t>
  </si>
  <si>
    <t>MI0289</t>
  </si>
  <si>
    <t>Richland Township Library</t>
  </si>
  <si>
    <t>MI0291</t>
  </si>
  <si>
    <t>Richmond Township Library</t>
  </si>
  <si>
    <t>MI0064</t>
  </si>
  <si>
    <t>River Rapids District Library</t>
  </si>
  <si>
    <t>MI9019</t>
  </si>
  <si>
    <t>River Rouge Public Library</t>
  </si>
  <si>
    <t>MI0292</t>
  </si>
  <si>
    <t>Riverview Veterans Memorial Library</t>
  </si>
  <si>
    <t>MI0293</t>
  </si>
  <si>
    <t>Rochester Hills Public Library</t>
  </si>
  <si>
    <t>MI0294</t>
  </si>
  <si>
    <t>Romeo District Library</t>
  </si>
  <si>
    <t>MI0433</t>
  </si>
  <si>
    <t>Romulus Public Library</t>
  </si>
  <si>
    <t>MI0125</t>
  </si>
  <si>
    <t>Roscommon Area District Library</t>
  </si>
  <si>
    <t>MI0295</t>
  </si>
  <si>
    <t>Roseville Public Library</t>
  </si>
  <si>
    <t>MI0296</t>
  </si>
  <si>
    <t>Royal Oak Public Library</t>
  </si>
  <si>
    <t>MI0165</t>
  </si>
  <si>
    <t>Ruth Hughes Memorial District Library</t>
  </si>
  <si>
    <t>MI0320</t>
  </si>
  <si>
    <t>Saint Charles District Library</t>
  </si>
  <si>
    <t>MI0321</t>
  </si>
  <si>
    <t>Saint Clair County Library System</t>
  </si>
  <si>
    <t>MI0322</t>
  </si>
  <si>
    <t>Saint Clair Shores Public Library</t>
  </si>
  <si>
    <t>MI0323</t>
  </si>
  <si>
    <t>Saint Ignace Public Library</t>
  </si>
  <si>
    <t>MI0423</t>
  </si>
  <si>
    <t>Salem Township Library</t>
  </si>
  <si>
    <t>MI0315</t>
  </si>
  <si>
    <t>Salem-South Lyon District Library</t>
  </si>
  <si>
    <t>MI0300</t>
  </si>
  <si>
    <t>Saline District Library</t>
  </si>
  <si>
    <t>MI0301</t>
  </si>
  <si>
    <t>Sandusky District Library</t>
  </si>
  <si>
    <t>MI0302</t>
  </si>
  <si>
    <t>Sanilac District Library</t>
  </si>
  <si>
    <t>MI0303</t>
  </si>
  <si>
    <t>Saranac Public Library</t>
  </si>
  <si>
    <t>MI0304</t>
  </si>
  <si>
    <t>Saugatuck-Douglas District Library</t>
  </si>
  <si>
    <t>MI0305</t>
  </si>
  <si>
    <t>Schoolcraft Community Library</t>
  </si>
  <si>
    <t>MI0428</t>
  </si>
  <si>
    <t>Schultz-Holmes Memorial Library</t>
  </si>
  <si>
    <t>MI9007</t>
  </si>
  <si>
    <t>Sebewaing Township Library</t>
  </si>
  <si>
    <t>MI0307</t>
  </si>
  <si>
    <t>Seville Township Public Library</t>
  </si>
  <si>
    <t>MI0309</t>
  </si>
  <si>
    <t>Shelby Area District Library</t>
  </si>
  <si>
    <t>02/28/2019</t>
  </si>
  <si>
    <t>MI0308</t>
  </si>
  <si>
    <t>Shelby Township Library</t>
  </si>
  <si>
    <t>MI0432</t>
  </si>
  <si>
    <t>Sherman Township Library</t>
  </si>
  <si>
    <t>MI0261</t>
  </si>
  <si>
    <t>Shiawassee District Library</t>
  </si>
  <si>
    <t>MI0311</t>
  </si>
  <si>
    <t>Sleeper Public Library</t>
  </si>
  <si>
    <t>MI0312</t>
  </si>
  <si>
    <t>Sodus Township Library</t>
  </si>
  <si>
    <t>MI0314</t>
  </si>
  <si>
    <t>South Haven Memorial Library</t>
  </si>
  <si>
    <t>MI0316</t>
  </si>
  <si>
    <t>Southfield Public Library</t>
  </si>
  <si>
    <t>MI0434</t>
  </si>
  <si>
    <t>Southgate Veterans Memorial Library</t>
  </si>
  <si>
    <t>MI0317</t>
  </si>
  <si>
    <t>Sparta Carnegie Township Library</t>
  </si>
  <si>
    <t>MI0318</t>
  </si>
  <si>
    <t>Spies Public Library</t>
  </si>
  <si>
    <t>MI0355</t>
  </si>
  <si>
    <t>Spring Lake District Library</t>
  </si>
  <si>
    <t>MI0319</t>
  </si>
  <si>
    <t>Springfield Township Library</t>
  </si>
  <si>
    <t>MI0324</t>
  </si>
  <si>
    <t>Stair District Library</t>
  </si>
  <si>
    <t>MI0325</t>
  </si>
  <si>
    <t>Sterling Heights Public Library</t>
  </si>
  <si>
    <t>MI0326</t>
  </si>
  <si>
    <t>Sturgis District Library</t>
  </si>
  <si>
    <t>MI0327</t>
  </si>
  <si>
    <t>Sunfield District Library</t>
  </si>
  <si>
    <t>MI0022</t>
  </si>
  <si>
    <t>Superior District Library</t>
  </si>
  <si>
    <t>MI0328</t>
  </si>
  <si>
    <t>Surrey Township Public Library</t>
  </si>
  <si>
    <t>MI0329</t>
  </si>
  <si>
    <t>Suttons Bay-Bingham District Library</t>
  </si>
  <si>
    <t>MI0330</t>
  </si>
  <si>
    <t>Tahquamenon Area Public Library</t>
  </si>
  <si>
    <t>MI0331</t>
  </si>
  <si>
    <t>Tamarack District Library</t>
  </si>
  <si>
    <t>MI9024</t>
  </si>
  <si>
    <t>Taylor Community Library</t>
  </si>
  <si>
    <t>MI0332</t>
  </si>
  <si>
    <t>Taymouth Township Library</t>
  </si>
  <si>
    <t>MI0333</t>
  </si>
  <si>
    <t>Tecumseh District Library</t>
  </si>
  <si>
    <t>MI0334</t>
  </si>
  <si>
    <t>Tekonsha Township Public Library</t>
  </si>
  <si>
    <t>MI0335</t>
  </si>
  <si>
    <t>Theodore A. Cutler Memorial Library</t>
  </si>
  <si>
    <t>MI0110</t>
  </si>
  <si>
    <t>Thomas E. Fleschner Memorial Library</t>
  </si>
  <si>
    <t>MI0336</t>
  </si>
  <si>
    <t>Thomas Township Library</t>
  </si>
  <si>
    <t>MI0337</t>
  </si>
  <si>
    <t>Thompson Home Public Library</t>
  </si>
  <si>
    <t>MI0338</t>
  </si>
  <si>
    <t>Thornapple Kellogg School and Community Library</t>
  </si>
  <si>
    <t>MI0339</t>
  </si>
  <si>
    <t>Three Oaks Township Public Library</t>
  </si>
  <si>
    <t>MI0340</t>
  </si>
  <si>
    <t>Three Rivers Public Library</t>
  </si>
  <si>
    <t>MI0286</t>
  </si>
  <si>
    <t>Timothy C. Hauenstein Reynolds Township Library</t>
  </si>
  <si>
    <t>MI0341</t>
  </si>
  <si>
    <t>Topinabee Public Library</t>
  </si>
  <si>
    <t>MI0342</t>
  </si>
  <si>
    <t>Traverse Area District Library</t>
  </si>
  <si>
    <t>MI9020</t>
  </si>
  <si>
    <t>Trenton Veteran's Memorial Library</t>
  </si>
  <si>
    <t>MI0343</t>
  </si>
  <si>
    <t>Troy Public Library</t>
  </si>
  <si>
    <t>MI0344</t>
  </si>
  <si>
    <t>Utica Public Library</t>
  </si>
  <si>
    <t>MI0345</t>
  </si>
  <si>
    <t>Van Buren District Library</t>
  </si>
  <si>
    <t>MI0346</t>
  </si>
  <si>
    <t>Vermontville Township Library</t>
  </si>
  <si>
    <t>MI0347</t>
  </si>
  <si>
    <t>Vernon District Public Library</t>
  </si>
  <si>
    <t>MI0349</t>
  </si>
  <si>
    <t>Vicksburg District Library</t>
  </si>
  <si>
    <t>MI0350</t>
  </si>
  <si>
    <t>Wakefield Public Library</t>
  </si>
  <si>
    <t>MI0351</t>
  </si>
  <si>
    <t>Waldron District Library</t>
  </si>
  <si>
    <t>MI0352</t>
  </si>
  <si>
    <t>Walkerville Public/School Library</t>
  </si>
  <si>
    <t>MI0353</t>
  </si>
  <si>
    <t>Walled Lake City Library</t>
  </si>
  <si>
    <t>MI0354</t>
  </si>
  <si>
    <t>Walton Erickson Public Library</t>
  </si>
  <si>
    <t>MI0356</t>
  </si>
  <si>
    <t>Warren Public Library</t>
  </si>
  <si>
    <t>MI0358</t>
  </si>
  <si>
    <t>Waterford Township Public Library</t>
  </si>
  <si>
    <t>MI0359</t>
  </si>
  <si>
    <t>Watertown Township Library</t>
  </si>
  <si>
    <t>MI0360</t>
  </si>
  <si>
    <t>Watervliet District Library</t>
  </si>
  <si>
    <t>MI0403</t>
  </si>
  <si>
    <t>Wayne Public Library</t>
  </si>
  <si>
    <t>MI0362</t>
  </si>
  <si>
    <t>West Bloomfield Township Public Library</t>
  </si>
  <si>
    <t>MI0363</t>
  </si>
  <si>
    <t>West Branch District Library</t>
  </si>
  <si>
    <t>MI0364</t>
  </si>
  <si>
    <t>West Iron District Library</t>
  </si>
  <si>
    <t>MI0365</t>
  </si>
  <si>
    <t>Wheatland Township Library</t>
  </si>
  <si>
    <t>MI0091</t>
  </si>
  <si>
    <t>White Cloud Community Library</t>
  </si>
  <si>
    <t>MI0370</t>
  </si>
  <si>
    <t>White Lake Community Library</t>
  </si>
  <si>
    <t>MI0366</t>
  </si>
  <si>
    <t>White Lake Township Library</t>
  </si>
  <si>
    <t>MI0367</t>
  </si>
  <si>
    <t>White Pigeon Township Library</t>
  </si>
  <si>
    <t>MI0368</t>
  </si>
  <si>
    <t>White Pine District Library</t>
  </si>
  <si>
    <t>MI0369</t>
  </si>
  <si>
    <t>Whitefish Township Community Library</t>
  </si>
  <si>
    <t>MI0371</t>
  </si>
  <si>
    <t>Willard Public Library</t>
  </si>
  <si>
    <t>MI0415</t>
  </si>
  <si>
    <t>William P. Faust Public Library of Westland</t>
  </si>
  <si>
    <t>MI0374</t>
  </si>
  <si>
    <t>Wixom Public Library</t>
  </si>
  <si>
    <t>MI0375</t>
  </si>
  <si>
    <t>Wolverine Community Library</t>
  </si>
  <si>
    <t>MI0377</t>
  </si>
  <si>
    <t>Ypsilanti District Library</t>
  </si>
  <si>
    <t>Total Population Served</t>
  </si>
  <si>
    <t>Number of Print Materials</t>
  </si>
  <si>
    <t>Audio (Physical Units)</t>
  </si>
  <si>
    <t>Video (Physical Units)</t>
  </si>
  <si>
    <t>Subscriptions (Non-electronic)</t>
  </si>
  <si>
    <t>Total Electronic Collections</t>
  </si>
  <si>
    <t>Electronic Books (E-Books)</t>
  </si>
  <si>
    <t>Audio (Downloadable Units)</t>
  </si>
  <si>
    <t>Video (Downloadable Units)</t>
  </si>
  <si>
    <t>Total Collection (Physical / Electronic Units)</t>
  </si>
  <si>
    <t>eMaterials Per Capita</t>
  </si>
  <si>
    <t>Physical Materials Per Capita (subcriptions not included)</t>
  </si>
  <si>
    <t>Total Materials Per Capita</t>
  </si>
  <si>
    <t>Circulation of Children's Materials</t>
  </si>
  <si>
    <t>Circulation of Non-Children's Materials</t>
  </si>
  <si>
    <t>Circulation of Electronic Materials</t>
  </si>
  <si>
    <t>Total Circulation</t>
  </si>
  <si>
    <t>Children's Circ Per Capita</t>
  </si>
  <si>
    <t>eMaterials Circ Per Capita</t>
  </si>
  <si>
    <t>Total Circulation Per Capita</t>
  </si>
  <si>
    <t>Circulation Per Cardholder</t>
  </si>
  <si>
    <t>Electronic Collection (Dbase) Use</t>
  </si>
  <si>
    <t>Total Electronic Content Use</t>
  </si>
  <si>
    <t>Total Physical Circulation</t>
  </si>
  <si>
    <t>Total Collection Use</t>
  </si>
  <si>
    <t>eMaterials Total Available</t>
  </si>
  <si>
    <t>eMaterials Available Per Capita</t>
  </si>
  <si>
    <t>Reference Transactions</t>
  </si>
  <si>
    <t>Reference Transactions Per Capita</t>
  </si>
  <si>
    <t>Number of items loaned to other libraries</t>
  </si>
  <si>
    <t>Number of items borrowed from other libraries</t>
  </si>
  <si>
    <t>Physical Library Visits</t>
  </si>
  <si>
    <t>Virtual Visits to the Library's Website</t>
  </si>
  <si>
    <t>Physical Visits Per Capita</t>
  </si>
  <si>
    <t>Physical Visits Per Cardholder</t>
  </si>
  <si>
    <t>Uses (Sessions) of Public Internet Computers Per Year</t>
  </si>
  <si>
    <t>Do you provide Wireless Internet Access to Patrons?</t>
  </si>
  <si>
    <t>Uses of Wireless Logins Per Year</t>
  </si>
  <si>
    <t>Number of active registered borrowers</t>
  </si>
  <si>
    <t>Yes</t>
  </si>
  <si>
    <t>No</t>
  </si>
  <si>
    <t>Adult Programs</t>
  </si>
  <si>
    <t>Adult Program Attendance</t>
  </si>
  <si>
    <t>General Programs</t>
  </si>
  <si>
    <t>General Program Attendance</t>
  </si>
  <si>
    <t>Summer Reading Events Children Programs</t>
  </si>
  <si>
    <t>Summer Reading Events Children Attendance</t>
  </si>
  <si>
    <t>Summer Reading Events Teens Programs</t>
  </si>
  <si>
    <t>Summer Reading Events Teens Attendance</t>
  </si>
  <si>
    <t>How Many Children Signed Up For This Program</t>
  </si>
  <si>
    <t>How Many Teens Signed Up For This Program?</t>
  </si>
  <si>
    <t>Total Children's Programs</t>
  </si>
  <si>
    <t>Total Children's Program Attendance</t>
  </si>
  <si>
    <t>Total Teen Programs</t>
  </si>
  <si>
    <t>Total Teen Program Attendance</t>
  </si>
  <si>
    <t>Do any of your programs focus on early literacy for ages 0-5?</t>
  </si>
  <si>
    <t>NA</t>
  </si>
  <si>
    <t>0</t>
  </si>
  <si>
    <t>Children's Events (Non Summer Reading)</t>
  </si>
  <si>
    <t>Children's Events Attendance (Non Summer Reading)</t>
  </si>
  <si>
    <t>Teen Events (Non Summer Reading)</t>
  </si>
  <si>
    <t>Teen  Events Attendance(Non Summer Reading)</t>
  </si>
  <si>
    <t>Total Summer Reading Program Participation</t>
  </si>
  <si>
    <t>Attend per program</t>
  </si>
  <si>
    <t>Total number of computers that the library provides for use by staff only</t>
  </si>
  <si>
    <t>Total number of computers that the library provides for public use</t>
  </si>
  <si>
    <t>Is your library circulation system automated?</t>
  </si>
  <si>
    <t>Circulation System Vendor Name</t>
  </si>
  <si>
    <t>Is your card catalog automated?</t>
  </si>
  <si>
    <t>Card Catalog Vendor Name</t>
  </si>
  <si>
    <t>Patron Initiated ILL</t>
  </si>
  <si>
    <t>Do you offer a Remote Catalog?</t>
  </si>
  <si>
    <t>Do you provide Self Checkout?</t>
  </si>
  <si>
    <t>Is your Circulation System Shared?</t>
  </si>
  <si>
    <t>Carl</t>
  </si>
  <si>
    <t>Atriuum</t>
  </si>
  <si>
    <t>Autographics</t>
  </si>
  <si>
    <t>Sirsi</t>
  </si>
  <si>
    <t>Biblionix - Apollo</t>
  </si>
  <si>
    <t>Sirsi Dynix</t>
  </si>
  <si>
    <t>Book Systems</t>
  </si>
  <si>
    <t>Auto Graphics</t>
  </si>
  <si>
    <t>Carl-X</t>
  </si>
  <si>
    <t>Innovative</t>
  </si>
  <si>
    <t>TLC</t>
  </si>
  <si>
    <t>VLC/Sirsi</t>
  </si>
  <si>
    <t>SirsiDynix</t>
  </si>
  <si>
    <t>Sierra</t>
  </si>
  <si>
    <t>Encore</t>
  </si>
  <si>
    <t>Evergreen</t>
  </si>
  <si>
    <t>Homegrown</t>
  </si>
  <si>
    <t>follett</t>
  </si>
  <si>
    <t>Destiny</t>
  </si>
  <si>
    <t>Follett</t>
  </si>
  <si>
    <t>TLC-CARLX</t>
  </si>
  <si>
    <t>TLC-CARL Connect</t>
  </si>
  <si>
    <t>Biblionix</t>
  </si>
  <si>
    <t>The Library Corporation</t>
  </si>
  <si>
    <t>Auto-Graphics</t>
  </si>
  <si>
    <t>Innovative Interfaces, Inc.</t>
  </si>
  <si>
    <t>Michigan Evergreen</t>
  </si>
  <si>
    <t>Valley Library Consortium</t>
  </si>
  <si>
    <t>Cloud Libraries</t>
  </si>
  <si>
    <t>NuGen</t>
  </si>
  <si>
    <t>Auto-graphics</t>
  </si>
  <si>
    <t>AutoGraphics</t>
  </si>
  <si>
    <t xml:space="preserve">Biblionix Apollo </t>
  </si>
  <si>
    <t>CARL</t>
  </si>
  <si>
    <t>Enterprise</t>
  </si>
  <si>
    <t>Nugen</t>
  </si>
  <si>
    <t>Biblionix-Apollo</t>
  </si>
  <si>
    <t>TLC Carl</t>
  </si>
  <si>
    <t>Innovative Interfaces Inc</t>
  </si>
  <si>
    <t xml:space="preserve">Sirsi </t>
  </si>
  <si>
    <t xml:space="preserve">Bibliocommons </t>
  </si>
  <si>
    <t>Evergren</t>
  </si>
  <si>
    <t>Biblionix/Apollo</t>
  </si>
  <si>
    <t>Follett/Destiny</t>
  </si>
  <si>
    <t>SIRSI</t>
  </si>
  <si>
    <t>Innovative - Inopac</t>
  </si>
  <si>
    <t>Innovative Sierra</t>
  </si>
  <si>
    <t xml:space="preserve"> SirsiDynix</t>
  </si>
  <si>
    <t>SirsiDynix Enterprise</t>
  </si>
  <si>
    <t>NuGen Cloudnet Libraries</t>
  </si>
  <si>
    <t>Bibliocommons</t>
  </si>
  <si>
    <t>Auto-Graphics/Verso</t>
  </si>
  <si>
    <t>Sirsi/Dynix</t>
  </si>
  <si>
    <t>Sirsi Dynix and TLC's CARL-X</t>
  </si>
  <si>
    <t>SirsiDynix Symphony</t>
  </si>
  <si>
    <t>Polaris - III</t>
  </si>
  <si>
    <t>Infovision Software</t>
  </si>
  <si>
    <t>III</t>
  </si>
  <si>
    <t>Citrix</t>
  </si>
  <si>
    <t>Follett Software Company Destiny Library Manager</t>
  </si>
  <si>
    <t>Follett Software Company Destiny Library Manage</t>
  </si>
  <si>
    <t xml:space="preserve">Book Systems- Attrium </t>
  </si>
  <si>
    <t>Book Systems- Attrium</t>
  </si>
  <si>
    <t>Bibionix</t>
  </si>
  <si>
    <t>Sirsi Dynx</t>
  </si>
  <si>
    <t>Evolve</t>
  </si>
  <si>
    <t>Infovision</t>
  </si>
  <si>
    <t>sirsi</t>
  </si>
  <si>
    <t>TLC/CARL</t>
  </si>
  <si>
    <t>Biblionix Apollo</t>
  </si>
  <si>
    <t>Biblionix (Apollo)</t>
  </si>
  <si>
    <t xml:space="preserve">Auto Graphics </t>
  </si>
  <si>
    <t>Verso</t>
  </si>
  <si>
    <t>Sirsi Symphony</t>
  </si>
  <si>
    <t>Carl.connect</t>
  </si>
  <si>
    <t>Auto-Graphics (Verso)</t>
  </si>
  <si>
    <t>Auto-Graphics, Inc.</t>
  </si>
  <si>
    <t>Sirsi Dynix Horizon</t>
  </si>
  <si>
    <t>Apollo</t>
  </si>
  <si>
    <t>verso</t>
  </si>
  <si>
    <t>Auto Graphics Verso</t>
  </si>
  <si>
    <t>Innovative Interfaces, Inc</t>
  </si>
  <si>
    <t>III Sierra</t>
  </si>
  <si>
    <t>III Sierra (Encore)</t>
  </si>
  <si>
    <t>CarlX</t>
  </si>
  <si>
    <t>LS2 PAC</t>
  </si>
  <si>
    <t>Innovated Sierra</t>
  </si>
  <si>
    <t>Innovative Interfaces</t>
  </si>
  <si>
    <t>Follett Destiny</t>
  </si>
  <si>
    <t>TLC CARL</t>
  </si>
  <si>
    <t xml:space="preserve"> Sirsi/Dynix Enterprise</t>
  </si>
  <si>
    <t>Book System/Atriuum</t>
  </si>
  <si>
    <t>OPAC</t>
  </si>
  <si>
    <t>Lakleand Library Cooperative</t>
  </si>
  <si>
    <t>iii</t>
  </si>
  <si>
    <t>AutoGraphics Verso</t>
  </si>
  <si>
    <t>CARL X</t>
  </si>
  <si>
    <t>Auto-Graphics Verso</t>
  </si>
  <si>
    <t>Auto-grahics Verso</t>
  </si>
  <si>
    <t>Auto-graphics Verso</t>
  </si>
  <si>
    <t>The Library Corporation (TLC), Carl.X</t>
  </si>
  <si>
    <t>TLN Carl.Connect Discovery</t>
  </si>
  <si>
    <t>Sirsi Dynix - Horizon</t>
  </si>
  <si>
    <t>Innovative Interface</t>
  </si>
  <si>
    <t>Book Systems Atriuum</t>
  </si>
  <si>
    <t>Innovative/Sierra</t>
  </si>
  <si>
    <t>SirsiDynix Horizon</t>
  </si>
  <si>
    <t>SirsiDynix Horizon [Enterprise]</t>
  </si>
  <si>
    <t>Insignia Software</t>
  </si>
  <si>
    <t>Verso Auto-Graphics</t>
  </si>
  <si>
    <t>Evergreen via TADL</t>
  </si>
  <si>
    <t>SIRSY/DYNIX</t>
  </si>
  <si>
    <t>Ibistro</t>
  </si>
  <si>
    <t>sierra</t>
  </si>
  <si>
    <t>innovative interfaces</t>
  </si>
  <si>
    <t>Library World</t>
  </si>
  <si>
    <t>Innovative Interfaces-Sierra</t>
  </si>
  <si>
    <t>Innovative Interfaces-Encore</t>
  </si>
  <si>
    <t>Polaris</t>
  </si>
  <si>
    <t xml:space="preserve"> THE LIBRARY CORPORATION</t>
  </si>
  <si>
    <t>The Library Company</t>
  </si>
  <si>
    <t>SIRSI/DYNIX</t>
  </si>
  <si>
    <t>Carl Connect</t>
  </si>
  <si>
    <t>Book Systems-Atriuum</t>
  </si>
  <si>
    <t>Dynix/Horizon</t>
  </si>
  <si>
    <t>Innovative Millennium</t>
  </si>
  <si>
    <t>VERSO-Auto-Graphics</t>
  </si>
  <si>
    <t>VERSO Auto-graphics</t>
  </si>
  <si>
    <t>Carl Discovery</t>
  </si>
  <si>
    <t>sirsi dynix</t>
  </si>
  <si>
    <t xml:space="preserve">Carl </t>
  </si>
  <si>
    <t>COMPanion Corp</t>
  </si>
  <si>
    <t>Sirsi/Dynix Symphony</t>
  </si>
  <si>
    <t>Sierra Integrated Library System</t>
  </si>
  <si>
    <t>TLC CARL Discovery</t>
  </si>
  <si>
    <t>CARL-X</t>
  </si>
  <si>
    <t>Polaris Library System</t>
  </si>
  <si>
    <t>TLC Carl x</t>
  </si>
  <si>
    <t>TLC Carl Connect</t>
  </si>
  <si>
    <t>Library Corporation (TLC)</t>
  </si>
  <si>
    <t>Sirsi-Dynix</t>
  </si>
  <si>
    <t>Valley Library Consotium</t>
  </si>
  <si>
    <t>auto graphics</t>
  </si>
  <si>
    <t>Dell</t>
  </si>
  <si>
    <t>Book Systtems</t>
  </si>
  <si>
    <t>Auto-Graphics - VERSO</t>
  </si>
  <si>
    <t>Sirsi Workflows</t>
  </si>
  <si>
    <t>BiblioCommons</t>
  </si>
  <si>
    <t>Syrsi Dynix Unicorn</t>
  </si>
  <si>
    <t>Syrsi Synix Unicorn</t>
  </si>
  <si>
    <t>The Library Corporation (TLC)</t>
  </si>
  <si>
    <t>n/a</t>
  </si>
  <si>
    <t>NuGen System</t>
  </si>
  <si>
    <t>Book Systems - Atriuum</t>
  </si>
  <si>
    <t>SirsiDynix-Horizon</t>
  </si>
  <si>
    <t>Enterprise by SirsiDynix-Horizon</t>
  </si>
  <si>
    <t>Horizon / Sirsi Dynix w/ Valley Library Consortium</t>
  </si>
  <si>
    <t>Sierra-Lakeland</t>
  </si>
  <si>
    <t>Innovative Encore</t>
  </si>
  <si>
    <t>Destiny Follett</t>
  </si>
  <si>
    <t>Biblioix</t>
  </si>
  <si>
    <t>VERSO Auto-Graphics</t>
  </si>
  <si>
    <t>Biblionox</t>
  </si>
  <si>
    <t>Agent-Verso</t>
  </si>
  <si>
    <t>WebPacPro/Onnovative</t>
  </si>
  <si>
    <t>Autographics-Verso</t>
  </si>
  <si>
    <t>SIRSI Dynix</t>
  </si>
  <si>
    <t>Mel Catalog</t>
  </si>
  <si>
    <t>Innovative - Sierra</t>
  </si>
  <si>
    <t>encore</t>
  </si>
  <si>
    <t>ALEXANDRIA</t>
  </si>
  <si>
    <t>CARLX</t>
  </si>
  <si>
    <t>Innovative/Polaris</t>
  </si>
  <si>
    <t>Atriuum Book Systems</t>
  </si>
  <si>
    <t>Atrium Book Systems</t>
  </si>
  <si>
    <t>Auto Graphics/Verso</t>
  </si>
  <si>
    <t>Auto Graphics / Verso</t>
  </si>
  <si>
    <t>Follett-Destiny</t>
  </si>
  <si>
    <t>SirsiDynix &amp; The Library Corporation</t>
  </si>
  <si>
    <t>SirsiDynix &amp; The Library Corportion</t>
  </si>
  <si>
    <t>Sirsi Dynix Enterprise</t>
  </si>
  <si>
    <t>Inovative</t>
  </si>
  <si>
    <t>Infovision - Evolve</t>
  </si>
  <si>
    <t>Innovative Sierra/Encore</t>
  </si>
  <si>
    <t>Athena</t>
  </si>
  <si>
    <t>Sirsi Dyix Horizon</t>
  </si>
  <si>
    <t>Township</t>
  </si>
  <si>
    <t>Type</t>
  </si>
  <si>
    <t>Millage Rate</t>
  </si>
  <si>
    <t>Millage Authorization Date</t>
  </si>
  <si>
    <t>Millage Rate Levied</t>
  </si>
  <si>
    <t>Millage Expiration Date</t>
  </si>
  <si>
    <t>Millage Voted in Perpetuity</t>
  </si>
  <si>
    <t>Millage is for Operating, Debt, or Both?</t>
  </si>
  <si>
    <t>Millage Rate (2)</t>
  </si>
  <si>
    <t>Millage Authorization Date (2)</t>
  </si>
  <si>
    <t>Millage Rate Levied (2)</t>
  </si>
  <si>
    <t>Millage Expiration Date (2)</t>
  </si>
  <si>
    <t>Millage Voted in Perpetuity (2)</t>
  </si>
  <si>
    <t>Millage is for Operating, Debt, or Both? (2)</t>
  </si>
  <si>
    <t>Millage Rate (3)</t>
  </si>
  <si>
    <t>Millage Authorization Date (3)</t>
  </si>
  <si>
    <t>Millage Rate Levied (3)</t>
  </si>
  <si>
    <t>Millage Expiration Date (3)</t>
  </si>
  <si>
    <t>Millage Voted in Perpetuity (3)</t>
  </si>
  <si>
    <t>Millage is for Operating, Debt, or Both? (3)</t>
  </si>
  <si>
    <t>Ingham</t>
  </si>
  <si>
    <t>Oakland</t>
  </si>
  <si>
    <t>Addison</t>
  </si>
  <si>
    <t>Nov 1984</t>
  </si>
  <si>
    <t>None</t>
  </si>
  <si>
    <t>Both</t>
  </si>
  <si>
    <t>2014-11-04</t>
  </si>
  <si>
    <t>2024-12-31</t>
  </si>
  <si>
    <t>Lenawee</t>
  </si>
  <si>
    <t>City of Adrian</t>
  </si>
  <si>
    <t>District</t>
  </si>
  <si>
    <t>05/2015</t>
  </si>
  <si>
    <t>2025</t>
  </si>
  <si>
    <t>Operating</t>
  </si>
  <si>
    <t>Sanilac</t>
  </si>
  <si>
    <t>City of Croswell</t>
  </si>
  <si>
    <t>2016-08-02</t>
  </si>
  <si>
    <t>2020-12-31</t>
  </si>
  <si>
    <t>2026-12-31</t>
  </si>
  <si>
    <t>Emmet</t>
  </si>
  <si>
    <t>Littlefield</t>
  </si>
  <si>
    <t>Calhoun</t>
  </si>
  <si>
    <t>City of Albion</t>
  </si>
  <si>
    <t>Aug 2016</t>
  </si>
  <si>
    <t>Dec 2026</t>
  </si>
  <si>
    <t>Alcona</t>
  </si>
  <si>
    <t>Harrisville</t>
  </si>
  <si>
    <t>Jan 2010</t>
  </si>
  <si>
    <t>Dec 2018</t>
  </si>
  <si>
    <t>112000</t>
  </si>
  <si>
    <t>122010</t>
  </si>
  <si>
    <t>Antrim</t>
  </si>
  <si>
    <t>Helena</t>
  </si>
  <si>
    <t>Aug-13</t>
  </si>
  <si>
    <t>Aug-24</t>
  </si>
  <si>
    <t>Allegan</t>
  </si>
  <si>
    <t>City of Allegan</t>
  </si>
  <si>
    <t>Aug 10</t>
  </si>
  <si>
    <t>Dec 19</t>
  </si>
  <si>
    <t>Aug 16</t>
  </si>
  <si>
    <t>Dec 2045</t>
  </si>
  <si>
    <t>Wayne</t>
  </si>
  <si>
    <t>Ottawa</t>
  </si>
  <si>
    <t>Allendale</t>
  </si>
  <si>
    <t>Aug- 2016</t>
  </si>
  <si>
    <t>Aug - 2021</t>
  </si>
  <si>
    <t>Gratiot</t>
  </si>
  <si>
    <t>Arcada</t>
  </si>
  <si>
    <t>aug 2004</t>
  </si>
  <si>
    <t>2024-08-30</t>
  </si>
  <si>
    <t>july 2011</t>
  </si>
  <si>
    <t>none</t>
  </si>
  <si>
    <t>Lapeer</t>
  </si>
  <si>
    <t>Almont</t>
  </si>
  <si>
    <t>2026-08-02</t>
  </si>
  <si>
    <t>Alpena</t>
  </si>
  <si>
    <t>January 2015</t>
  </si>
  <si>
    <t>December 2024</t>
  </si>
  <si>
    <t>2019-08-06</t>
  </si>
  <si>
    <t>2030-08-06</t>
  </si>
  <si>
    <t>Ionia</t>
  </si>
  <si>
    <t>City of Belding</t>
  </si>
  <si>
    <t>August 2016</t>
  </si>
  <si>
    <t>December 2028</t>
  </si>
  <si>
    <t>Washtenaw</t>
  </si>
  <si>
    <t>City of Ann Arbor</t>
  </si>
  <si>
    <t>Jun-96</t>
  </si>
  <si>
    <t>N/A</t>
  </si>
  <si>
    <t>Macomb</t>
  </si>
  <si>
    <t>Armada</t>
  </si>
  <si>
    <t>Aug 66</t>
  </si>
  <si>
    <t>Aug 92</t>
  </si>
  <si>
    <t>Elba</t>
  </si>
  <si>
    <t>8-5-14</t>
  </si>
  <si>
    <t>8-5-2022</t>
  </si>
  <si>
    <t>Athens</t>
  </si>
  <si>
    <t>Oct.-2018</t>
  </si>
  <si>
    <t>Oct.-2019</t>
  </si>
  <si>
    <t>City of Auburn Hills</t>
  </si>
  <si>
    <t>November 1984</t>
  </si>
  <si>
    <t>Kalamazoo</t>
  </si>
  <si>
    <t>Ross</t>
  </si>
  <si>
    <t>Aug-18</t>
  </si>
  <si>
    <t>Dec-27</t>
  </si>
  <si>
    <t>City of Wyandotte</t>
  </si>
  <si>
    <t>Jun-94</t>
  </si>
  <si>
    <t>Huron</t>
  </si>
  <si>
    <t>City of Bad Axe</t>
  </si>
  <si>
    <t>May 2007</t>
  </si>
  <si>
    <t>Never</t>
  </si>
  <si>
    <t>City of Birmingham</t>
  </si>
  <si>
    <t>Nov-98</t>
  </si>
  <si>
    <t>Mecosta</t>
  </si>
  <si>
    <t>Fork</t>
  </si>
  <si>
    <t>November 2016</t>
  </si>
  <si>
    <t>December 2021</t>
  </si>
  <si>
    <t>Clinton</t>
  </si>
  <si>
    <t>Bath Township</t>
  </si>
  <si>
    <t>2018-11-11</t>
  </si>
  <si>
    <t>2021-01-01</t>
  </si>
  <si>
    <t>Bay</t>
  </si>
  <si>
    <t>Nov-14</t>
  </si>
  <si>
    <t>Dec-19</t>
  </si>
  <si>
    <t>Aug-00</t>
  </si>
  <si>
    <t>Charlevoix</t>
  </si>
  <si>
    <t>Saint James / Peaine</t>
  </si>
  <si>
    <t>2023-12-31</t>
  </si>
  <si>
    <t>Kearney</t>
  </si>
  <si>
    <t>Mar-97</t>
  </si>
  <si>
    <t>City of Belleville</t>
  </si>
  <si>
    <t>11-2010</t>
  </si>
  <si>
    <t>12-2021</t>
  </si>
  <si>
    <t>2016-11-08</t>
  </si>
  <si>
    <t>12-2036</t>
  </si>
  <si>
    <t>Debt</t>
  </si>
  <si>
    <t>Eaton</t>
  </si>
  <si>
    <t>Bellevue</t>
  </si>
  <si>
    <t>Berrien</t>
  </si>
  <si>
    <t>Benton</t>
  </si>
  <si>
    <t>Nov-11</t>
  </si>
  <si>
    <t>Dec-22</t>
  </si>
  <si>
    <t>Apr-45</t>
  </si>
  <si>
    <t>Benzie</t>
  </si>
  <si>
    <t>City of Frankfort</t>
  </si>
  <si>
    <t>5/2014</t>
  </si>
  <si>
    <t>Dec-12</t>
  </si>
  <si>
    <t>Benzonia</t>
  </si>
  <si>
    <t>Village</t>
  </si>
  <si>
    <t>2016</t>
  </si>
  <si>
    <t>May 2027</t>
  </si>
  <si>
    <t>City of Berkley</t>
  </si>
  <si>
    <t>Oronoko</t>
  </si>
  <si>
    <t>2017-08-08</t>
  </si>
  <si>
    <t>Gogebic</t>
  </si>
  <si>
    <t>City of Bessemer</t>
  </si>
  <si>
    <t>Weldon</t>
  </si>
  <si>
    <t>2018-08-07</t>
  </si>
  <si>
    <t>2023-08-07</t>
  </si>
  <si>
    <t>City of Clawson</t>
  </si>
  <si>
    <t>May-11</t>
  </si>
  <si>
    <t>May-09</t>
  </si>
  <si>
    <t>July-20</t>
  </si>
  <si>
    <t>Bloomfield</t>
  </si>
  <si>
    <t>April 1982</t>
  </si>
  <si>
    <t>August 2002</t>
  </si>
  <si>
    <t>November 2014</t>
  </si>
  <si>
    <t>November 2024</t>
  </si>
  <si>
    <t>City of Boyne City, Evangeline, Eveline, Wilson and Bay</t>
  </si>
  <si>
    <t>Aug 96</t>
  </si>
  <si>
    <t>Branch</t>
  </si>
  <si>
    <t>Coldwater</t>
  </si>
  <si>
    <t>Aug-91</t>
  </si>
  <si>
    <t>in perpetuity</t>
  </si>
  <si>
    <t>Aug-2014</t>
  </si>
  <si>
    <t>2022-12-31</t>
  </si>
  <si>
    <t>Brandon</t>
  </si>
  <si>
    <t>Sept 1987</t>
  </si>
  <si>
    <t>1996</t>
  </si>
  <si>
    <t>June 1996</t>
  </si>
  <si>
    <t>Saginaw</t>
  </si>
  <si>
    <t>Bridgeport</t>
  </si>
  <si>
    <t>8/5/2014</t>
  </si>
  <si>
    <t>12/2019</t>
  </si>
  <si>
    <t>Lake</t>
  </si>
  <si>
    <t>Apr 1966</t>
  </si>
  <si>
    <t>Bingham</t>
  </si>
  <si>
    <t>Dec. 2016</t>
  </si>
  <si>
    <t>Dec. 2025</t>
  </si>
  <si>
    <t>Livingston</t>
  </si>
  <si>
    <t>City of Brighton</t>
  </si>
  <si>
    <t>May 1994</t>
  </si>
  <si>
    <t>November 2015</t>
  </si>
  <si>
    <t>November 2035</t>
  </si>
  <si>
    <t>Maple Valley</t>
  </si>
  <si>
    <t>Sept-16</t>
  </si>
  <si>
    <t>Aug-20</t>
  </si>
  <si>
    <t>Sep-16</t>
  </si>
  <si>
    <t>City of Buchanan</t>
  </si>
  <si>
    <t>Aug-10</t>
  </si>
  <si>
    <t>Aug-15</t>
  </si>
  <si>
    <t>Tuscola</t>
  </si>
  <si>
    <t>City of Vassar</t>
  </si>
  <si>
    <t>November 2018</t>
  </si>
  <si>
    <t>November 2022</t>
  </si>
  <si>
    <t>St. Joseph</t>
  </si>
  <si>
    <t>Burr Oak</t>
  </si>
  <si>
    <t>Wexford</t>
  </si>
  <si>
    <t>Cadillac</t>
  </si>
  <si>
    <t>January 2022</t>
  </si>
  <si>
    <t>Houghton</t>
  </si>
  <si>
    <t>Calumet</t>
  </si>
  <si>
    <t>School District</t>
  </si>
  <si>
    <t>Hillsdale</t>
  </si>
  <si>
    <t>Camden</t>
  </si>
  <si>
    <t>Aug-03</t>
  </si>
  <si>
    <t>Canton</t>
  </si>
  <si>
    <t>08/1986</t>
  </si>
  <si>
    <t>City of Lansing</t>
  </si>
  <si>
    <t>8/2018</t>
  </si>
  <si>
    <t>12/2021</t>
  </si>
  <si>
    <t>Indianfields</t>
  </si>
  <si>
    <t>May 2010</t>
  </si>
  <si>
    <t>May 2019</t>
  </si>
  <si>
    <t>Jun-02</t>
  </si>
  <si>
    <t>Ontonagon</t>
  </si>
  <si>
    <t>Carp Lake</t>
  </si>
  <si>
    <t>Dec-21</t>
  </si>
  <si>
    <t>Montcalm</t>
  </si>
  <si>
    <t>Bloomer</t>
  </si>
  <si>
    <t>August 2010</t>
  </si>
  <si>
    <t>December 2019</t>
  </si>
  <si>
    <t>Cass</t>
  </si>
  <si>
    <t>LaGrange</t>
  </si>
  <si>
    <t>Jan. 1993</t>
  </si>
  <si>
    <t>Kent</t>
  </si>
  <si>
    <t>City of Cedar Springs</t>
  </si>
  <si>
    <t>Nov-36</t>
  </si>
  <si>
    <t>June-04</t>
  </si>
  <si>
    <t>City of Center Line</t>
  </si>
  <si>
    <t>Central Lake</t>
  </si>
  <si>
    <t>Oct-99</t>
  </si>
  <si>
    <t>Gun Plain, Cooper, Plainwell</t>
  </si>
  <si>
    <t>Feb-1991</t>
  </si>
  <si>
    <t>Aug-2024</t>
  </si>
  <si>
    <t>Aug-2019</t>
  </si>
  <si>
    <t>2043</t>
  </si>
  <si>
    <t>City of Charlevoix</t>
  </si>
  <si>
    <t>June 97</t>
  </si>
  <si>
    <t>June 04</t>
  </si>
  <si>
    <t>12/31/24</t>
  </si>
  <si>
    <t>June 24</t>
  </si>
  <si>
    <t>City of Charlotte</t>
  </si>
  <si>
    <t>Aug-2016</t>
  </si>
  <si>
    <t>Dec-2027</t>
  </si>
  <si>
    <t>Chase</t>
  </si>
  <si>
    <t>12/2015</t>
  </si>
  <si>
    <t>Cheboygan</t>
  </si>
  <si>
    <t>City of Cheboygan</t>
  </si>
  <si>
    <t>Feb 95</t>
  </si>
  <si>
    <t>Jun 04</t>
  </si>
  <si>
    <t>Jun 23</t>
  </si>
  <si>
    <t>May 10</t>
  </si>
  <si>
    <t>10-1999</t>
  </si>
  <si>
    <t>May-04</t>
  </si>
  <si>
    <t>Dec-23</t>
  </si>
  <si>
    <t>Aug-14</t>
  </si>
  <si>
    <t>Chesterfield</t>
  </si>
  <si>
    <t>11/1994</t>
  </si>
  <si>
    <t>Isabella</t>
  </si>
  <si>
    <t>City of Mount Pleasant</t>
  </si>
  <si>
    <t>August 2018</t>
  </si>
  <si>
    <t>December 2038</t>
  </si>
  <si>
    <t>Independence</t>
  </si>
  <si>
    <t>Aug 1934</t>
  </si>
  <si>
    <t>Aug-98</t>
  </si>
  <si>
    <t>08739</t>
  </si>
  <si>
    <t>Midland</t>
  </si>
  <si>
    <t>City of Coleman</t>
  </si>
  <si>
    <t>Coloma</t>
  </si>
  <si>
    <t>5-31-02</t>
  </si>
  <si>
    <t>2021</t>
  </si>
  <si>
    <t>Colon</t>
  </si>
  <si>
    <t>Aug-2018</t>
  </si>
  <si>
    <t>Dec 2022</t>
  </si>
  <si>
    <t>Aug 2003</t>
  </si>
  <si>
    <t>Dec 2023</t>
  </si>
  <si>
    <t>Columbia</t>
  </si>
  <si>
    <t>September 2016</t>
  </si>
  <si>
    <t>September 2020</t>
  </si>
  <si>
    <t>Commerce</t>
  </si>
  <si>
    <t>nov 94</t>
  </si>
  <si>
    <t>nov 2016</t>
  </si>
  <si>
    <t>Nov 2022</t>
  </si>
  <si>
    <t>Shiawassee</t>
  </si>
  <si>
    <t>Caledonia</t>
  </si>
  <si>
    <t>08/16</t>
  </si>
  <si>
    <t>08/20</t>
  </si>
  <si>
    <t>Comstock</t>
  </si>
  <si>
    <t>11/94</t>
  </si>
  <si>
    <t>Constantine</t>
  </si>
  <si>
    <t>MAR 1993</t>
  </si>
  <si>
    <t>City of Coopersville</t>
  </si>
  <si>
    <t>Nov. 1994</t>
  </si>
  <si>
    <t>Perpituity</t>
  </si>
  <si>
    <t>10/03/2015</t>
  </si>
  <si>
    <t>2032</t>
  </si>
  <si>
    <t>11/3/2015</t>
  </si>
  <si>
    <t>2031</t>
  </si>
  <si>
    <t>Crawford</t>
  </si>
  <si>
    <t>City of Grayling</t>
  </si>
  <si>
    <t>2018</t>
  </si>
  <si>
    <t>2033-08</t>
  </si>
  <si>
    <t>08/2012</t>
  </si>
  <si>
    <t>2019</t>
  </si>
  <si>
    <t>Hartland</t>
  </si>
  <si>
    <t>Melrose</t>
  </si>
  <si>
    <t>Newaygo</t>
  </si>
  <si>
    <t>Croton</t>
  </si>
  <si>
    <t>Nov-2019</t>
  </si>
  <si>
    <t>Nov-2029</t>
  </si>
  <si>
    <t>Iron</t>
  </si>
  <si>
    <t>City of Crystal Falls</t>
  </si>
  <si>
    <t>12/2020</t>
  </si>
  <si>
    <t>0.0000</t>
  </si>
  <si>
    <t>Curtis</t>
  </si>
  <si>
    <t>08/2016</t>
  </si>
  <si>
    <t>12/2024</t>
  </si>
  <si>
    <t>Aug-16</t>
  </si>
  <si>
    <t>Aug-27</t>
  </si>
  <si>
    <t>Dearborn Heights</t>
  </si>
  <si>
    <t>Nov 1999</t>
  </si>
  <si>
    <t>Nov 2013</t>
  </si>
  <si>
    <t>City of Dearborn</t>
  </si>
  <si>
    <t>Nov. 2011</t>
  </si>
  <si>
    <t>Nov. 2021</t>
  </si>
  <si>
    <t>July 2019</t>
  </si>
  <si>
    <t>2020-06-30</t>
  </si>
  <si>
    <t>Marion</t>
  </si>
  <si>
    <t>Aug 2020</t>
  </si>
  <si>
    <t>Delta</t>
  </si>
  <si>
    <t>12/2006</t>
  </si>
  <si>
    <t>Barry</t>
  </si>
  <si>
    <t>Barry, Hope, Prairieville</t>
  </si>
  <si>
    <t>Chippewa</t>
  </si>
  <si>
    <t>City of Detroit</t>
  </si>
  <si>
    <t>July 1994</t>
  </si>
  <si>
    <t>August 2014</t>
  </si>
  <si>
    <t>June 2025</t>
  </si>
  <si>
    <t>DeWitt</t>
  </si>
  <si>
    <t>Aug 2014</t>
  </si>
  <si>
    <t>Aug 2028</t>
  </si>
  <si>
    <t>Scio</t>
  </si>
  <si>
    <t>June 1994</t>
  </si>
  <si>
    <t>2016-11-07</t>
  </si>
  <si>
    <t>2023-01-01</t>
  </si>
  <si>
    <t>Nov 2005</t>
  </si>
  <si>
    <t>Dec 2024</t>
  </si>
  <si>
    <t>Dickinson</t>
  </si>
  <si>
    <t>City of Iron Mountain</t>
  </si>
  <si>
    <t>Windsor</t>
  </si>
  <si>
    <t>Dorr</t>
  </si>
  <si>
    <t>11/2010</t>
  </si>
  <si>
    <t>2019-12-31</t>
  </si>
  <si>
    <t>City of Dowagiac</t>
  </si>
  <si>
    <t>Mar-04</t>
  </si>
  <si>
    <t>2018-11-06</t>
  </si>
  <si>
    <t>12/31/2037</t>
  </si>
  <si>
    <t>Baltimore</t>
  </si>
  <si>
    <t>Aug-12</t>
  </si>
  <si>
    <t>Dryden</t>
  </si>
  <si>
    <t>Nov-74</t>
  </si>
  <si>
    <t>Aug-06</t>
  </si>
  <si>
    <t>City of East Lansing</t>
  </si>
  <si>
    <t>2018-07-01</t>
  </si>
  <si>
    <t>2018-06-30</t>
  </si>
  <si>
    <t>7/2013</t>
  </si>
  <si>
    <t>6-2023</t>
  </si>
  <si>
    <t>City of Eastpointe</t>
  </si>
  <si>
    <t>jul-18</t>
  </si>
  <si>
    <t>jun-19</t>
  </si>
  <si>
    <t>Nov-16</t>
  </si>
  <si>
    <t>Nov-20</t>
  </si>
  <si>
    <t>City of Eaton Rapids</t>
  </si>
  <si>
    <t>11/2018</t>
  </si>
  <si>
    <t>2027</t>
  </si>
  <si>
    <t>Aug 2035</t>
  </si>
  <si>
    <t>1990</t>
  </si>
  <si>
    <t>2015</t>
  </si>
  <si>
    <t>Elk Rapids</t>
  </si>
  <si>
    <t>08/2001</t>
  </si>
  <si>
    <t>Elk</t>
  </si>
  <si>
    <t>08/2020</t>
  </si>
  <si>
    <t>Duplain</t>
  </si>
  <si>
    <t>Nov. 2012</t>
  </si>
  <si>
    <t>City of Escanaba</t>
  </si>
  <si>
    <t>Osceola</t>
  </si>
  <si>
    <t>City of Evart</t>
  </si>
  <si>
    <t>April 1952</t>
  </si>
  <si>
    <t>perpetuity</t>
  </si>
  <si>
    <t>Fairgrove</t>
  </si>
  <si>
    <t>June 2000</t>
  </si>
  <si>
    <t>00/00/0000</t>
  </si>
  <si>
    <t>May 2006</t>
  </si>
  <si>
    <t>Missaukee</t>
  </si>
  <si>
    <t>City of Farmington Hills</t>
  </si>
  <si>
    <t>Nov 2011</t>
  </si>
  <si>
    <t>Dec 2032</t>
  </si>
  <si>
    <t>May 2005</t>
  </si>
  <si>
    <t>Manlius</t>
  </si>
  <si>
    <t>Aug 12</t>
  </si>
  <si>
    <t>Dec 21</t>
  </si>
  <si>
    <t>City of Ferndale</t>
  </si>
  <si>
    <t>2027-06-30</t>
  </si>
  <si>
    <t>Grand Traverse</t>
  </si>
  <si>
    <t>Fife Lake</t>
  </si>
  <si>
    <t>5/6/1997</t>
  </si>
  <si>
    <t>PERP</t>
  </si>
  <si>
    <t>08/2010</t>
  </si>
  <si>
    <t>City of Flat Rock</t>
  </si>
  <si>
    <t>12/1994</t>
  </si>
  <si>
    <t>2014-07-07</t>
  </si>
  <si>
    <t>6/30/2019</t>
  </si>
  <si>
    <t>Genesee</t>
  </si>
  <si>
    <t>City of Flint</t>
  </si>
  <si>
    <t>AUG 2002</t>
  </si>
  <si>
    <t>AUG 2010</t>
  </si>
  <si>
    <t>DEC 2021</t>
  </si>
  <si>
    <t>NOV 2015</t>
  </si>
  <si>
    <t>Marquette</t>
  </si>
  <si>
    <t>Forsyth</t>
  </si>
  <si>
    <t>Dec-26</t>
  </si>
  <si>
    <t>Handy</t>
  </si>
  <si>
    <t>Nov-12</t>
  </si>
  <si>
    <t>Nov-22</t>
  </si>
  <si>
    <t>Jul-94</t>
  </si>
  <si>
    <t>Frankenmuth</t>
  </si>
  <si>
    <t>November 2008</t>
  </si>
  <si>
    <t>Southfield</t>
  </si>
  <si>
    <t>Mar-73</t>
  </si>
  <si>
    <t>Jun-05</t>
  </si>
  <si>
    <t>City of Fraser</t>
  </si>
  <si>
    <t>4/1963</t>
  </si>
  <si>
    <t>Irving</t>
  </si>
  <si>
    <t>City of Fremont</t>
  </si>
  <si>
    <t>Sep-97</t>
  </si>
  <si>
    <t>Muskegon</t>
  </si>
  <si>
    <t>Fruitport</t>
  </si>
  <si>
    <t>12/2028</t>
  </si>
  <si>
    <t>Charleston</t>
  </si>
  <si>
    <t>08/2014</t>
  </si>
  <si>
    <t>12/2018</t>
  </si>
  <si>
    <t>08/2018</t>
  </si>
  <si>
    <t>Galien</t>
  </si>
  <si>
    <t>11/98</t>
  </si>
  <si>
    <t>11/24</t>
  </si>
  <si>
    <t>11/62</t>
  </si>
  <si>
    <t>City of Garden City</t>
  </si>
  <si>
    <t>July 2012</t>
  </si>
  <si>
    <t>July 2031</t>
  </si>
  <si>
    <t>City of Hudsonville</t>
  </si>
  <si>
    <t>Aug 2004</t>
  </si>
  <si>
    <t>Jul 2026</t>
  </si>
  <si>
    <t>Flint</t>
  </si>
  <si>
    <t>Woodland</t>
  </si>
  <si>
    <t>2018-04-01</t>
  </si>
  <si>
    <t>2019-03-31</t>
  </si>
  <si>
    <t>Georgetown</t>
  </si>
  <si>
    <t>City of Gladstone</t>
  </si>
  <si>
    <t>Gladwin</t>
  </si>
  <si>
    <t>2016-08</t>
  </si>
  <si>
    <t>Leelanau</t>
  </si>
  <si>
    <t>Empire</t>
  </si>
  <si>
    <t>8/2016</t>
  </si>
  <si>
    <t>Goodland</t>
  </si>
  <si>
    <t>8/2/16</t>
  </si>
  <si>
    <t>2020</t>
  </si>
  <si>
    <t>City of Grand Ledge</t>
  </si>
  <si>
    <t>8/2010</t>
  </si>
  <si>
    <t>City of Grand Rapids</t>
  </si>
  <si>
    <t>Jan 1994</t>
  </si>
  <si>
    <t>2019-07-01</t>
  </si>
  <si>
    <t>2029-10-31</t>
  </si>
  <si>
    <t>City of Grant</t>
  </si>
  <si>
    <t>06/2002</t>
  </si>
  <si>
    <t>06/02</t>
  </si>
  <si>
    <t>12/2026</t>
  </si>
  <si>
    <t>12/2027</t>
  </si>
  <si>
    <t>City of Grosse Pointe Farms</t>
  </si>
  <si>
    <t>September 1994</t>
  </si>
  <si>
    <t>11/06/2018</t>
  </si>
  <si>
    <t>12/31/2027</t>
  </si>
  <si>
    <t>City of Muskegon</t>
  </si>
  <si>
    <t>June 2001</t>
  </si>
  <si>
    <t>June 2021</t>
  </si>
  <si>
    <t>Nov. 2014</t>
  </si>
  <si>
    <t>2030</t>
  </si>
  <si>
    <t>Hamburg</t>
  </si>
  <si>
    <t>August 2021</t>
  </si>
  <si>
    <t>Feb-09</t>
  </si>
  <si>
    <t>City of Hamtramck</t>
  </si>
  <si>
    <t>1991</t>
  </si>
  <si>
    <t>permanent</t>
  </si>
  <si>
    <t>sept 2003</t>
  </si>
  <si>
    <t>Franklin</t>
  </si>
  <si>
    <t>City of Harbor Beach</t>
  </si>
  <si>
    <t>Sep-94</t>
  </si>
  <si>
    <t>City of Harper Woods</t>
  </si>
  <si>
    <t>01/1965</t>
  </si>
  <si>
    <t>11/2003</t>
  </si>
  <si>
    <t>01/2024</t>
  </si>
  <si>
    <t>11/2016</t>
  </si>
  <si>
    <t>11/2023</t>
  </si>
  <si>
    <t>Clare</t>
  </si>
  <si>
    <t>City of Harrison</t>
  </si>
  <si>
    <t>August 2020</t>
  </si>
  <si>
    <t>Harrison Township</t>
  </si>
  <si>
    <t>08/05/2014</t>
  </si>
  <si>
    <t>08/04/2024</t>
  </si>
  <si>
    <t>Oceana</t>
  </si>
  <si>
    <t>City of Hart</t>
  </si>
  <si>
    <t>Apr-99</t>
  </si>
  <si>
    <t>Van Buren</t>
  </si>
  <si>
    <t>City of Hartford</t>
  </si>
  <si>
    <t>Nov.94</t>
  </si>
  <si>
    <t>Aug.00</t>
  </si>
  <si>
    <t>City of Hastings</t>
  </si>
  <si>
    <t>Aug-28</t>
  </si>
  <si>
    <t>May-19</t>
  </si>
  <si>
    <t>City of Hazel Park</t>
  </si>
  <si>
    <t>Aug-94</t>
  </si>
  <si>
    <t>Wayland Township</t>
  </si>
  <si>
    <t>July 1999</t>
  </si>
  <si>
    <t>City of Holland</t>
  </si>
  <si>
    <t>AUGUST 2016</t>
  </si>
  <si>
    <t>DEC 2030</t>
  </si>
  <si>
    <t>Denver</t>
  </si>
  <si>
    <t>March 2000</t>
  </si>
  <si>
    <t>Highland</t>
  </si>
  <si>
    <t>charter and Aug. 1994 renewal</t>
  </si>
  <si>
    <t>August 1994</t>
  </si>
  <si>
    <t>2028</t>
  </si>
  <si>
    <t>City of Hillsdale</t>
  </si>
  <si>
    <t>09/2001</t>
  </si>
  <si>
    <t>Holly</t>
  </si>
  <si>
    <t>08/02/2016</t>
  </si>
  <si>
    <t>12/31/2021</t>
  </si>
  <si>
    <t>Home</t>
  </si>
  <si>
    <t>Aug-19</t>
  </si>
  <si>
    <t>Homer</t>
  </si>
  <si>
    <t>December 2020</t>
  </si>
  <si>
    <t>Hopkins</t>
  </si>
  <si>
    <t>Roscommon</t>
  </si>
  <si>
    <t>Denton</t>
  </si>
  <si>
    <t>City of Zeeland</t>
  </si>
  <si>
    <t>Wheeler</t>
  </si>
  <si>
    <t>11/2014</t>
  </si>
  <si>
    <t>11/2022</t>
  </si>
  <si>
    <t>City of Howell</t>
  </si>
  <si>
    <t>Oct 1988</t>
  </si>
  <si>
    <t>August 2013</t>
  </si>
  <si>
    <t>August 2032</t>
  </si>
  <si>
    <t>Hudson</t>
  </si>
  <si>
    <t>City of Huntington Woods</t>
  </si>
  <si>
    <t>Tuscarora</t>
  </si>
  <si>
    <t>Aug. 2006</t>
  </si>
  <si>
    <t>Green Lake</t>
  </si>
  <si>
    <t>City of Ionia</t>
  </si>
  <si>
    <t>2027-12-01</t>
  </si>
  <si>
    <t>Iosco</t>
  </si>
  <si>
    <t>City of East Tawas</t>
  </si>
  <si>
    <t>Ironwood</t>
  </si>
  <si>
    <t>11/08/94</t>
  </si>
  <si>
    <t>never</t>
  </si>
  <si>
    <t>City of Ishpeming</t>
  </si>
  <si>
    <t>Martin</t>
  </si>
  <si>
    <t>Jackson</t>
  </si>
  <si>
    <t>City of Jackson</t>
  </si>
  <si>
    <t>Kingston</t>
  </si>
  <si>
    <t>Fayette</t>
  </si>
  <si>
    <t>May 1999</t>
  </si>
  <si>
    <t>City of East Jordan</t>
  </si>
  <si>
    <t>Apr 1994</t>
  </si>
  <si>
    <t>City of Kalamazoo</t>
  </si>
  <si>
    <t>5/5/2009</t>
  </si>
  <si>
    <t>12/29/2029</t>
  </si>
  <si>
    <t>5/6/2014</t>
  </si>
  <si>
    <t>12/31/2033</t>
  </si>
  <si>
    <t>Kalkaska</t>
  </si>
  <si>
    <t>11-2014</t>
  </si>
  <si>
    <t>Plainfield</t>
  </si>
  <si>
    <t>Aug - 2014</t>
  </si>
  <si>
    <t>Dec - 2023</t>
  </si>
  <si>
    <t>Baraga</t>
  </si>
  <si>
    <t>L'Anse</t>
  </si>
  <si>
    <t>City of Laingsburg</t>
  </si>
  <si>
    <t>Torch Lake</t>
  </si>
  <si>
    <t>Odessa</t>
  </si>
  <si>
    <t>Aug-17</t>
  </si>
  <si>
    <t>Nov-96</t>
  </si>
  <si>
    <t>Perpetuity</t>
  </si>
  <si>
    <t>City of Lapeer</t>
  </si>
  <si>
    <t>August 2012</t>
  </si>
  <si>
    <t>December 2022</t>
  </si>
  <si>
    <t>Climax</t>
  </si>
  <si>
    <t>Antwerp</t>
  </si>
  <si>
    <t>2008</t>
  </si>
  <si>
    <t>City of Inkster</t>
  </si>
  <si>
    <t>December 2029</t>
  </si>
  <si>
    <t>Leighton</t>
  </si>
  <si>
    <t>Sep 1996</t>
  </si>
  <si>
    <t>Leland</t>
  </si>
  <si>
    <t>Adrian City</t>
  </si>
  <si>
    <t>August 6, 2013</t>
  </si>
  <si>
    <t>2022</t>
  </si>
  <si>
    <t>Lenox</t>
  </si>
  <si>
    <t>AUG 88</t>
  </si>
  <si>
    <t>Nov 94</t>
  </si>
  <si>
    <t>LeRoy</t>
  </si>
  <si>
    <t>July 1, 2014</t>
  </si>
  <si>
    <t>Annual</t>
  </si>
  <si>
    <t>Lincoln</t>
  </si>
  <si>
    <t>Oct. 59</t>
  </si>
  <si>
    <t>Aug. 90</t>
  </si>
  <si>
    <t>Nov. 12</t>
  </si>
  <si>
    <t>Litchfield</t>
  </si>
  <si>
    <t>Nov-95</t>
  </si>
  <si>
    <t>City of Livonia</t>
  </si>
  <si>
    <t>Aug. 1984</t>
  </si>
  <si>
    <t>Grand Haven</t>
  </si>
  <si>
    <t>04/2000</t>
  </si>
  <si>
    <t>Jun-99</t>
  </si>
  <si>
    <t>05/2007</t>
  </si>
  <si>
    <t>05/2027</t>
  </si>
  <si>
    <t>Newkirk</t>
  </si>
  <si>
    <t>8/5/2019</t>
  </si>
  <si>
    <t>Lyon</t>
  </si>
  <si>
    <t>May 2017</t>
  </si>
  <si>
    <t>2026</t>
  </si>
  <si>
    <t>Lyons</t>
  </si>
  <si>
    <t>2018-12-01</t>
  </si>
  <si>
    <t>March 1969</t>
  </si>
  <si>
    <t>City of New Baltimore</t>
  </si>
  <si>
    <t>NOVEMBER, 1987</t>
  </si>
  <si>
    <t>Mackinac</t>
  </si>
  <si>
    <t>City of Mackinac Island</t>
  </si>
  <si>
    <t>Wawatam</t>
  </si>
  <si>
    <t>Mar-86</t>
  </si>
  <si>
    <t>City of Madison Heights</t>
  </si>
  <si>
    <t>May 2011</t>
  </si>
  <si>
    <t>May 2021</t>
  </si>
  <si>
    <t>Mancelona</t>
  </si>
  <si>
    <t>Manchester</t>
  </si>
  <si>
    <t>Dec. 2024</t>
  </si>
  <si>
    <t>Manistee</t>
  </si>
  <si>
    <t>City of Manistee</t>
  </si>
  <si>
    <t>Schoolcraft</t>
  </si>
  <si>
    <t>City of Manistique</t>
  </si>
  <si>
    <t>Essex</t>
  </si>
  <si>
    <t>March 1964</t>
  </si>
  <si>
    <t>Marcellus</t>
  </si>
  <si>
    <t>Sept. 12</t>
  </si>
  <si>
    <t>2024-11-06</t>
  </si>
  <si>
    <t>City of Marlette</t>
  </si>
  <si>
    <t>City of Marshall</t>
  </si>
  <si>
    <t>Jul-95</t>
  </si>
  <si>
    <t>Mason</t>
  </si>
  <si>
    <t>City of Ludington</t>
  </si>
  <si>
    <t>Saint Joseph</t>
  </si>
  <si>
    <t>City Charter</t>
  </si>
  <si>
    <t>Fremont</t>
  </si>
  <si>
    <t>08/2021</t>
  </si>
  <si>
    <t>City of McBain</t>
  </si>
  <si>
    <t>McMillan</t>
  </si>
  <si>
    <t>012016</t>
  </si>
  <si>
    <t>012021</t>
  </si>
  <si>
    <t>Mendon</t>
  </si>
  <si>
    <t>Menominee</t>
  </si>
  <si>
    <t>Jonesfield</t>
  </si>
  <si>
    <t>Aug - 16</t>
  </si>
  <si>
    <t>Aug-26</t>
  </si>
  <si>
    <t>Monroe</t>
  </si>
  <si>
    <t>Milan</t>
  </si>
  <si>
    <t>Nov 1947</t>
  </si>
  <si>
    <t>January 2025</t>
  </si>
  <si>
    <t>January 2023</t>
  </si>
  <si>
    <t>Milford</t>
  </si>
  <si>
    <t>4/1979</t>
  </si>
  <si>
    <t>Millington</t>
  </si>
  <si>
    <t>2014</t>
  </si>
  <si>
    <t>2023</t>
  </si>
  <si>
    <t>City of Lake City</t>
  </si>
  <si>
    <t>Aug - 96</t>
  </si>
  <si>
    <t>Montmorency</t>
  </si>
  <si>
    <t>Briley</t>
  </si>
  <si>
    <t>aug 16</t>
  </si>
  <si>
    <t>dec 19</t>
  </si>
  <si>
    <t>Lexington</t>
  </si>
  <si>
    <t>Nov 2014</t>
  </si>
  <si>
    <t>Dec 2025</t>
  </si>
  <si>
    <t>Morton</t>
  </si>
  <si>
    <t>8/1994</t>
  </si>
  <si>
    <t>8/2040</t>
  </si>
  <si>
    <t>8/2/2016</t>
  </si>
  <si>
    <t>City of Mount Clemens</t>
  </si>
  <si>
    <t>June 2004</t>
  </si>
  <si>
    <t>Roxand</t>
  </si>
  <si>
    <t>82012</t>
  </si>
  <si>
    <t>Jan 75</t>
  </si>
  <si>
    <t>Alger</t>
  </si>
  <si>
    <t>Munising City</t>
  </si>
  <si>
    <t>12/31/2025</t>
  </si>
  <si>
    <t>City of Negaunee</t>
  </si>
  <si>
    <t>New Buffalo</t>
  </si>
  <si>
    <t>9/1995</t>
  </si>
  <si>
    <t>yes</t>
  </si>
  <si>
    <t>11/06/2012</t>
  </si>
  <si>
    <t>2035</t>
  </si>
  <si>
    <t>City of Newaygo</t>
  </si>
  <si>
    <t>Aug 2010</t>
  </si>
  <si>
    <t>Dec 2029</t>
  </si>
  <si>
    <t>Operating.</t>
  </si>
  <si>
    <t>Niles</t>
  </si>
  <si>
    <t>Aug 2002</t>
  </si>
  <si>
    <t>Capital Projects</t>
  </si>
  <si>
    <t>Adams</t>
  </si>
  <si>
    <t>2026-08-04</t>
  </si>
  <si>
    <t>North Branch</t>
  </si>
  <si>
    <t>September 2028</t>
  </si>
  <si>
    <t>Northfield</t>
  </si>
  <si>
    <t>Aug 1994</t>
  </si>
  <si>
    <t>Aug 1996</t>
  </si>
  <si>
    <t>Northville</t>
  </si>
  <si>
    <t>Nov 1994</t>
  </si>
  <si>
    <t>11/20/2022</t>
  </si>
  <si>
    <t>Nottawa</t>
  </si>
  <si>
    <t>08-2014</t>
  </si>
  <si>
    <t>12-31-2019</t>
  </si>
  <si>
    <t>City of Novi</t>
  </si>
  <si>
    <t>November -77</t>
  </si>
  <si>
    <t>City of Oak Park</t>
  </si>
  <si>
    <t>May-2004</t>
  </si>
  <si>
    <t>Feb-2011</t>
  </si>
  <si>
    <t>Feb-2021</t>
  </si>
  <si>
    <t>Ogemaw</t>
  </si>
  <si>
    <t>City of Rose City</t>
  </si>
  <si>
    <t>November 2020</t>
  </si>
  <si>
    <t>08/14</t>
  </si>
  <si>
    <t>12/31/23</t>
  </si>
  <si>
    <t>Orion</t>
  </si>
  <si>
    <t>Oscoda</t>
  </si>
  <si>
    <t>Big Creek</t>
  </si>
  <si>
    <t>12/31/2019</t>
  </si>
  <si>
    <t>Otsego</t>
  </si>
  <si>
    <t>City of Gaylord</t>
  </si>
  <si>
    <t>City of Otsego</t>
  </si>
  <si>
    <t>March 1996</t>
  </si>
  <si>
    <t>August 2007</t>
  </si>
  <si>
    <t>January 2027</t>
  </si>
  <si>
    <t>Ovid</t>
  </si>
  <si>
    <t>Nov of 1992</t>
  </si>
  <si>
    <t>Oxford</t>
  </si>
  <si>
    <t>Aug-84</t>
  </si>
  <si>
    <t>City of Parchment</t>
  </si>
  <si>
    <t>62004</t>
  </si>
  <si>
    <t>Pleasant Plains</t>
  </si>
  <si>
    <t>Jsn 1953</t>
  </si>
  <si>
    <t>Jan 2019</t>
  </si>
  <si>
    <t>Jan 2023</t>
  </si>
  <si>
    <t>Jamestown</t>
  </si>
  <si>
    <t>Dec-13</t>
  </si>
  <si>
    <t>Paw Paw</t>
  </si>
  <si>
    <t>May 07</t>
  </si>
  <si>
    <t>Dec 26</t>
  </si>
  <si>
    <t>Jun 94</t>
  </si>
  <si>
    <t>Jun 97</t>
  </si>
  <si>
    <t>Peninsula</t>
  </si>
  <si>
    <t>Pentwater</t>
  </si>
  <si>
    <t>August 1993</t>
  </si>
  <si>
    <t>City of Clare</t>
  </si>
  <si>
    <t>May 05</t>
  </si>
  <si>
    <t>City of Marquette</t>
  </si>
  <si>
    <t>1-29-1891</t>
  </si>
  <si>
    <t>8/8/2017</t>
  </si>
  <si>
    <t>2033</t>
  </si>
  <si>
    <t>City of Petoskey</t>
  </si>
  <si>
    <t>12/1995</t>
  </si>
  <si>
    <t>8/2000</t>
  </si>
  <si>
    <t>12/2016</t>
  </si>
  <si>
    <t>Winsor</t>
  </si>
  <si>
    <t>08-18</t>
  </si>
  <si>
    <t>12-22</t>
  </si>
  <si>
    <t>Putnam</t>
  </si>
  <si>
    <t>February 2011</t>
  </si>
  <si>
    <t>December 2040</t>
  </si>
  <si>
    <t>OperatingBoth</t>
  </si>
  <si>
    <t>Pittsford</t>
  </si>
  <si>
    <t>Jan. 08</t>
  </si>
  <si>
    <t>Jan. 2028</t>
  </si>
  <si>
    <t>Plymouth</t>
  </si>
  <si>
    <t>Nov-94</t>
  </si>
  <si>
    <t>Nov-87</t>
  </si>
  <si>
    <t>Nov-85</t>
  </si>
  <si>
    <t>City of Pontiac</t>
  </si>
  <si>
    <t>2017-01-01</t>
  </si>
  <si>
    <t>Port Austin</t>
  </si>
  <si>
    <t>dec 2023</t>
  </si>
  <si>
    <t>Nov 2012</t>
  </si>
  <si>
    <t>Nov 2023</t>
  </si>
  <si>
    <t>Nov 2032</t>
  </si>
  <si>
    <t>City of Portage</t>
  </si>
  <si>
    <t>Jun-98</t>
  </si>
  <si>
    <t>2019-11-05</t>
  </si>
  <si>
    <t>2029-11-05</t>
  </si>
  <si>
    <t>City of Houghton</t>
  </si>
  <si>
    <t>Jan-18</t>
  </si>
  <si>
    <t>Dec-24</t>
  </si>
  <si>
    <t>City of Portland</t>
  </si>
  <si>
    <t>Aug 2018</t>
  </si>
  <si>
    <t>May 03</t>
  </si>
  <si>
    <t>Jun 24</t>
  </si>
  <si>
    <t>Nov. 1996</t>
  </si>
  <si>
    <t>Presque Isle</t>
  </si>
  <si>
    <t>City of Rogers City</t>
  </si>
  <si>
    <t>8/2014</t>
  </si>
  <si>
    <t>City of Saginaw</t>
  </si>
  <si>
    <t>11/2013</t>
  </si>
  <si>
    <t>11/2024</t>
  </si>
  <si>
    <t>Castleton</t>
  </si>
  <si>
    <t>Jan 2016</t>
  </si>
  <si>
    <t>Richland</t>
  </si>
  <si>
    <t>November 1988</t>
  </si>
  <si>
    <t>Elkland</t>
  </si>
  <si>
    <t>Aug 2012</t>
  </si>
  <si>
    <t>Ray</t>
  </si>
  <si>
    <t>11/2006</t>
  </si>
  <si>
    <t>Reading</t>
  </si>
  <si>
    <t>July 2023</t>
  </si>
  <si>
    <t>Redford</t>
  </si>
  <si>
    <t>Dec-94</t>
  </si>
  <si>
    <t>Nov-02</t>
  </si>
  <si>
    <t>City of Reed City</t>
  </si>
  <si>
    <t>11/4/14</t>
  </si>
  <si>
    <t>Denmark</t>
  </si>
  <si>
    <t>Nov - 24</t>
  </si>
  <si>
    <t>Jun-14</t>
  </si>
  <si>
    <t>Republic</t>
  </si>
  <si>
    <t>Richfield</t>
  </si>
  <si>
    <t>Aug-81</t>
  </si>
  <si>
    <t>Sept-01</t>
  </si>
  <si>
    <t>Sept-21</t>
  </si>
  <si>
    <t>Aug-2010</t>
  </si>
  <si>
    <t>Richmond</t>
  </si>
  <si>
    <t>Chesaning</t>
  </si>
  <si>
    <t>Aug-11</t>
  </si>
  <si>
    <t>Dec-20</t>
  </si>
  <si>
    <t>7/1/09</t>
  </si>
  <si>
    <t>City of Riverview</t>
  </si>
  <si>
    <t>2018-06-05</t>
  </si>
  <si>
    <t>2019-06-04</t>
  </si>
  <si>
    <t>City of Rochester</t>
  </si>
  <si>
    <t>April 1924</t>
  </si>
  <si>
    <t>Washington</t>
  </si>
  <si>
    <t>November / 1996</t>
  </si>
  <si>
    <t>Higgins</t>
  </si>
  <si>
    <t>Aug 2029</t>
  </si>
  <si>
    <t>January 2012</t>
  </si>
  <si>
    <t>2016-08-03</t>
  </si>
  <si>
    <t>City of Royal Oak</t>
  </si>
  <si>
    <t>Nov. 2003</t>
  </si>
  <si>
    <t>Nov. 2023</t>
  </si>
  <si>
    <t>Imlay</t>
  </si>
  <si>
    <t>08-07-2012</t>
  </si>
  <si>
    <t>2018-12-31</t>
  </si>
  <si>
    <t>Saint Charles</t>
  </si>
  <si>
    <t>November 1990</t>
  </si>
  <si>
    <t>Unlimited</t>
  </si>
  <si>
    <t>Saint Clair</t>
  </si>
  <si>
    <t>City of Port Huron</t>
  </si>
  <si>
    <t>City of Saint Clair Shores</t>
  </si>
  <si>
    <t>2017-07-01</t>
  </si>
  <si>
    <t>2019-06-30</t>
  </si>
  <si>
    <t>City of Saint Ignace</t>
  </si>
  <si>
    <t>August /16</t>
  </si>
  <si>
    <t>Dec/26</t>
  </si>
  <si>
    <t>August/16</t>
  </si>
  <si>
    <t>Aug./26</t>
  </si>
  <si>
    <t>Salem</t>
  </si>
  <si>
    <t>May-95</t>
  </si>
  <si>
    <t>2/25/14</t>
  </si>
  <si>
    <t>12/2033</t>
  </si>
  <si>
    <t>City of Saline</t>
  </si>
  <si>
    <t>09/1991</t>
  </si>
  <si>
    <t>08/2006</t>
  </si>
  <si>
    <t>08/2026</t>
  </si>
  <si>
    <t>City of Sandusky</t>
  </si>
  <si>
    <t>June 1998</t>
  </si>
  <si>
    <t>August 2019</t>
  </si>
  <si>
    <t>Boston</t>
  </si>
  <si>
    <t>Mar-74</t>
  </si>
  <si>
    <t>2027-12-31</t>
  </si>
  <si>
    <t>Dec 2027</t>
  </si>
  <si>
    <t>Saugatuck</t>
  </si>
  <si>
    <t>Nov 1995</t>
  </si>
  <si>
    <t>Mar-94</t>
  </si>
  <si>
    <t>May-96</t>
  </si>
  <si>
    <t>Blissfield</t>
  </si>
  <si>
    <t>Sebewaing</t>
  </si>
  <si>
    <t>Aug 14</t>
  </si>
  <si>
    <t>Aug 22</t>
  </si>
  <si>
    <t>Aug 24</t>
  </si>
  <si>
    <t>Aug 20</t>
  </si>
  <si>
    <t>Seville</t>
  </si>
  <si>
    <t>Shelby</t>
  </si>
  <si>
    <t>April 1994</t>
  </si>
  <si>
    <t>Sherman</t>
  </si>
  <si>
    <t>11/2020</t>
  </si>
  <si>
    <t>Owosso</t>
  </si>
  <si>
    <t>Aug 2011</t>
  </si>
  <si>
    <t>Dec 2021</t>
  </si>
  <si>
    <t>2019-05-07</t>
  </si>
  <si>
    <t>Aug-2028</t>
  </si>
  <si>
    <t>Sodus</t>
  </si>
  <si>
    <t>11/9/16</t>
  </si>
  <si>
    <t>South Haven</t>
  </si>
  <si>
    <t>Jan-59</t>
  </si>
  <si>
    <t>May-2017</t>
  </si>
  <si>
    <t>May-2057</t>
  </si>
  <si>
    <t>Building Project</t>
  </si>
  <si>
    <t>City of Southfield</t>
  </si>
  <si>
    <t>05/2011</t>
  </si>
  <si>
    <t>07/2011</t>
  </si>
  <si>
    <t>Southgate</t>
  </si>
  <si>
    <t>Sparta</t>
  </si>
  <si>
    <t>Aug 2025</t>
  </si>
  <si>
    <t>June 2020</t>
  </si>
  <si>
    <t>Spring Lake</t>
  </si>
  <si>
    <t>Sept. 1</t>
  </si>
  <si>
    <t>12/30/20</t>
  </si>
  <si>
    <t>August 94</t>
  </si>
  <si>
    <t>May 2001</t>
  </si>
  <si>
    <t>Springfield</t>
  </si>
  <si>
    <t>Nov. 1990</t>
  </si>
  <si>
    <t>City of Morenci</t>
  </si>
  <si>
    <t>8.4.2015</t>
  </si>
  <si>
    <t>12.31.2024</t>
  </si>
  <si>
    <t>City of Sterling Heights</t>
  </si>
  <si>
    <t>Sturgis</t>
  </si>
  <si>
    <t>Dec-2025</t>
  </si>
  <si>
    <t>Sunfield</t>
  </si>
  <si>
    <t>Dec. 2027</t>
  </si>
  <si>
    <t>City of Sault Ste. Marie</t>
  </si>
  <si>
    <t>01/2016</t>
  </si>
  <si>
    <t>Surrey</t>
  </si>
  <si>
    <t>9/11/2001</t>
  </si>
  <si>
    <t>Suttons Bay</t>
  </si>
  <si>
    <t>8/2021</t>
  </si>
  <si>
    <t>Luce</t>
  </si>
  <si>
    <t>Nov-15</t>
  </si>
  <si>
    <t>Cato</t>
  </si>
  <si>
    <t>2010</t>
  </si>
  <si>
    <t>2006</t>
  </si>
  <si>
    <t>2037</t>
  </si>
  <si>
    <t>1986</t>
  </si>
  <si>
    <t>Taymouth</t>
  </si>
  <si>
    <t>Tecumseh</t>
  </si>
  <si>
    <t>May 2013</t>
  </si>
  <si>
    <t>December 2023</t>
  </si>
  <si>
    <t>Tekonsha</t>
  </si>
  <si>
    <t>August 18</t>
  </si>
  <si>
    <t>12/31/38</t>
  </si>
  <si>
    <t>City of Saint Louis</t>
  </si>
  <si>
    <t>Jul 2022</t>
  </si>
  <si>
    <t>Birch Run</t>
  </si>
  <si>
    <t>Thomas</t>
  </si>
  <si>
    <t>8-2008</t>
  </si>
  <si>
    <t>1-1-2028</t>
  </si>
  <si>
    <t>8-2012</t>
  </si>
  <si>
    <t>1-1-2022</t>
  </si>
  <si>
    <t>City of Ithaca</t>
  </si>
  <si>
    <t>Thornapple</t>
  </si>
  <si>
    <t>Three Oaks</t>
  </si>
  <si>
    <t>May 2008</t>
  </si>
  <si>
    <t>Nov 2027</t>
  </si>
  <si>
    <t>City of Three Rivers</t>
  </si>
  <si>
    <t>Jan 93</t>
  </si>
  <si>
    <t>Reynolds</t>
  </si>
  <si>
    <t>Apr 1955</t>
  </si>
  <si>
    <t>Dec 2019</t>
  </si>
  <si>
    <t>Mullett</t>
  </si>
  <si>
    <t>City of Traverse City</t>
  </si>
  <si>
    <t>Dec-25</t>
  </si>
  <si>
    <t>05/30/2018</t>
  </si>
  <si>
    <t>08072018</t>
  </si>
  <si>
    <t>City of Troy</t>
  </si>
  <si>
    <t>City of Utica</t>
  </si>
  <si>
    <t>April 1949</t>
  </si>
  <si>
    <t>August 2026</t>
  </si>
  <si>
    <t>Decatur</t>
  </si>
  <si>
    <t>04/1991</t>
  </si>
  <si>
    <t>08/2015</t>
  </si>
  <si>
    <t>08/2025</t>
  </si>
  <si>
    <t>Vermontville</t>
  </si>
  <si>
    <t>2022-08-01</t>
  </si>
  <si>
    <t>Vernon</t>
  </si>
  <si>
    <t>05/2005</t>
  </si>
  <si>
    <t>8/2002</t>
  </si>
  <si>
    <t>Operation</t>
  </si>
  <si>
    <t>City of Wakefield</t>
  </si>
  <si>
    <t>Wright</t>
  </si>
  <si>
    <t>08/2005</t>
  </si>
  <si>
    <t>Leavitt</t>
  </si>
  <si>
    <t>City of Walled Lake</t>
  </si>
  <si>
    <t>11/1962</t>
  </si>
  <si>
    <t>Deerfield</t>
  </si>
  <si>
    <t>City of Warren</t>
  </si>
  <si>
    <t>10/1957</t>
  </si>
  <si>
    <t>08/2030</t>
  </si>
  <si>
    <t>Waterford</t>
  </si>
  <si>
    <t>August 2022</t>
  </si>
  <si>
    <t>Watertown</t>
  </si>
  <si>
    <t>01012019</t>
  </si>
  <si>
    <t>Watervliet</t>
  </si>
  <si>
    <t>2024</t>
  </si>
  <si>
    <t>City of Wayne</t>
  </si>
  <si>
    <t>2028-08-07</t>
  </si>
  <si>
    <t>West Bloomfield</t>
  </si>
  <si>
    <t>09/1949</t>
  </si>
  <si>
    <t>2026-08-03</t>
  </si>
  <si>
    <t>City of West Branch</t>
  </si>
  <si>
    <t>2021-12-31</t>
  </si>
  <si>
    <t>City of Iron River</t>
  </si>
  <si>
    <t>FEB. 14</t>
  </si>
  <si>
    <t>dec.2024</t>
  </si>
  <si>
    <t>Wheatland</t>
  </si>
  <si>
    <t>Aug-2020</t>
  </si>
  <si>
    <t>Aug-2000</t>
  </si>
  <si>
    <t>Nov2030</t>
  </si>
  <si>
    <t>Jan-99</t>
  </si>
  <si>
    <t>City of Whitehall</t>
  </si>
  <si>
    <t>Apr 99</t>
  </si>
  <si>
    <t>White Lake</t>
  </si>
  <si>
    <t>nov-2022</t>
  </si>
  <si>
    <t>apr-75</t>
  </si>
  <si>
    <t>nov-26</t>
  </si>
  <si>
    <t>White Pigeon</t>
  </si>
  <si>
    <t>Aug-97</t>
  </si>
  <si>
    <t>Sidney</t>
  </si>
  <si>
    <t>Aug. 2010</t>
  </si>
  <si>
    <t>Aug. 2020</t>
  </si>
  <si>
    <t>Whitefish</t>
  </si>
  <si>
    <t>May2022</t>
  </si>
  <si>
    <t>City of Battle Creek</t>
  </si>
  <si>
    <t>City of Westland</t>
  </si>
  <si>
    <t>Operations</t>
  </si>
  <si>
    <t>June 2022</t>
  </si>
  <si>
    <t>City of Wixom</t>
  </si>
  <si>
    <t>June 2027</t>
  </si>
  <si>
    <t>Nunda</t>
  </si>
  <si>
    <t>Ypsilanti</t>
  </si>
  <si>
    <t>2/15/93</t>
  </si>
  <si>
    <t>11/02/10</t>
  </si>
  <si>
    <t>11/06/18</t>
  </si>
  <si>
    <t>12/31/29</t>
  </si>
  <si>
    <t>Subtotal Legal Service Area Population Served</t>
  </si>
  <si>
    <t>Subtotal Local Penal Fine Revenues</t>
  </si>
  <si>
    <t>Subtotal Income From Voted Millage</t>
  </si>
  <si>
    <t>Subtotal Appropriated Tax Income</t>
  </si>
  <si>
    <t>Subtotal Other Local Government Income</t>
  </si>
  <si>
    <t>Subtotal Total Local Government Income</t>
  </si>
  <si>
    <t>Subtotal Other Local Operating Income</t>
  </si>
  <si>
    <t>Contracted Municipality Population Served</t>
  </si>
  <si>
    <t>CM Penal Fine Revenues</t>
  </si>
  <si>
    <t>CM Income From Voted Millage</t>
  </si>
  <si>
    <t>CM Appropriated Tax Income</t>
  </si>
  <si>
    <t>Contract Fee Income</t>
  </si>
  <si>
    <t>CM Total Local Government Income</t>
  </si>
  <si>
    <t>Other Local Operating Income</t>
  </si>
  <si>
    <t>Total Local Government Income</t>
  </si>
  <si>
    <t>Total Other Local Operating Income</t>
  </si>
  <si>
    <t>Total Local Operating Income</t>
  </si>
  <si>
    <t>State Government Operating Income</t>
  </si>
  <si>
    <t>Federal Government Operating Income</t>
  </si>
  <si>
    <t>Total Operating Income</t>
  </si>
  <si>
    <t>Total Operating Income Per Capita</t>
  </si>
  <si>
    <t>Print Materials Expenditure</t>
  </si>
  <si>
    <t>Other Materials Expenditure</t>
  </si>
  <si>
    <t>Electronic Materials Expenditure</t>
  </si>
  <si>
    <t>Total Collection Expenditures</t>
  </si>
  <si>
    <t>Salaries and Wages</t>
  </si>
  <si>
    <t>Employee Benefits</t>
  </si>
  <si>
    <t>Total Staff Expenditures</t>
  </si>
  <si>
    <t>Other Operating Expenditures</t>
  </si>
  <si>
    <t>Total Operating Expenditures</t>
  </si>
  <si>
    <t>Total Operating Expenditures Per Capita</t>
  </si>
  <si>
    <t>Federal Capital Income</t>
  </si>
  <si>
    <t>State Capital Income</t>
  </si>
  <si>
    <t>Local Capital Icome</t>
  </si>
  <si>
    <t>Private Capital Income</t>
  </si>
  <si>
    <t>Total Capital Income</t>
  </si>
  <si>
    <t>Capital Expenditures for Electronic Access</t>
  </si>
  <si>
    <t>Furnishings and Equipment Expenditures</t>
  </si>
  <si>
    <t>Building Expenditures</t>
  </si>
  <si>
    <t>Other Capital Expenditures</t>
  </si>
  <si>
    <t>Total Capital Expenditures</t>
  </si>
  <si>
    <t>Cooperative</t>
  </si>
  <si>
    <t>Non-Resident Fee</t>
  </si>
  <si>
    <t>NR Fee Annual or One Time</t>
  </si>
  <si>
    <t>Fee schedule or non-resident rate (Example: $35/family;$25/individual)</t>
  </si>
  <si>
    <t>Full Library Service for Contracted Municipalities</t>
  </si>
  <si>
    <t>Leonard</t>
  </si>
  <si>
    <t>The Library Network</t>
  </si>
  <si>
    <t>Adrian</t>
  </si>
  <si>
    <t>Woodlands Library Cooperative</t>
  </si>
  <si>
    <t>$90/family;$45 seasonal</t>
  </si>
  <si>
    <t>Croswell</t>
  </si>
  <si>
    <t>White Pine Library Cooperative</t>
  </si>
  <si>
    <t>Alanson</t>
  </si>
  <si>
    <t>Superiorland Library Cooperative</t>
  </si>
  <si>
    <t>$25 Individual/$15 Over Age 60</t>
  </si>
  <si>
    <t>Albion</t>
  </si>
  <si>
    <t>$60/INDIVIDUAL (ANNUAL, AVAILABLE QUARTERLY)</t>
  </si>
  <si>
    <t>Northland Library Cooperative</t>
  </si>
  <si>
    <t>Alden</t>
  </si>
  <si>
    <t>Mid-Michigan Library League</t>
  </si>
  <si>
    <t>$5/individual; $10/family</t>
  </si>
  <si>
    <t>Southwest Michigan Library Cooperative</t>
  </si>
  <si>
    <t>Allen Park</t>
  </si>
  <si>
    <t>Lakeland Library Cooperative</t>
  </si>
  <si>
    <t>Alma</t>
  </si>
  <si>
    <t>Mideastern Michigan Library Cooperative</t>
  </si>
  <si>
    <t>$25/individual</t>
  </si>
  <si>
    <t>Belding</t>
  </si>
  <si>
    <t>Ann Arbor</t>
  </si>
  <si>
    <t>Non-member</t>
  </si>
  <si>
    <t>$150/Family</t>
  </si>
  <si>
    <t>Suburban Library Cooperative</t>
  </si>
  <si>
    <t>$200/Full SLC/$100 Armada Only</t>
  </si>
  <si>
    <t>Ashley</t>
  </si>
  <si>
    <t>Woodlands Library Co-Op</t>
  </si>
  <si>
    <t>OneTime</t>
  </si>
  <si>
    <t>$20/family</t>
  </si>
  <si>
    <t>Auburn Hills</t>
  </si>
  <si>
    <t>Augusta</t>
  </si>
  <si>
    <t>$15/Family</t>
  </si>
  <si>
    <t>Wyandotte</t>
  </si>
  <si>
    <t>$100/Family</t>
  </si>
  <si>
    <t>Bad Axe</t>
  </si>
  <si>
    <t>$40/Household</t>
  </si>
  <si>
    <t>Birmingham</t>
  </si>
  <si>
    <t>Barryton</t>
  </si>
  <si>
    <t>Bath</t>
  </si>
  <si>
    <t>Woodlands Cooperative</t>
  </si>
  <si>
    <t>Bay City</t>
  </si>
  <si>
    <t>Beaver Island</t>
  </si>
  <si>
    <t>Bellaire</t>
  </si>
  <si>
    <t>Belleville</t>
  </si>
  <si>
    <t>Benton Harbor</t>
  </si>
  <si>
    <t>50/individual</t>
  </si>
  <si>
    <t>Frankfort</t>
  </si>
  <si>
    <t>Berkley</t>
  </si>
  <si>
    <t>Berrien Springs</t>
  </si>
  <si>
    <t>75/Individual</t>
  </si>
  <si>
    <t>Bessemer</t>
  </si>
  <si>
    <t>$20/person</t>
  </si>
  <si>
    <t>Thompsonville</t>
  </si>
  <si>
    <t>Big Rapids</t>
  </si>
  <si>
    <t>$25 individual, $50 household, $120 individual plus MeL</t>
  </si>
  <si>
    <t>Clawson</t>
  </si>
  <si>
    <t>Bloomfield Township</t>
  </si>
  <si>
    <t>Boyne City</t>
  </si>
  <si>
    <t>$40/individual</t>
  </si>
  <si>
    <t>Ortonville</t>
  </si>
  <si>
    <t>$150/family; $100/individual; $6/student</t>
  </si>
  <si>
    <t>75.00/Individual</t>
  </si>
  <si>
    <t>Bridgman</t>
  </si>
  <si>
    <t>$20/individual</t>
  </si>
  <si>
    <t>Saint Johns</t>
  </si>
  <si>
    <t>$50 a household</t>
  </si>
  <si>
    <t>Brighton</t>
  </si>
  <si>
    <t>Brown City</t>
  </si>
  <si>
    <t>Buchanan</t>
  </si>
  <si>
    <t>Vassar</t>
  </si>
  <si>
    <t>Lansing</t>
  </si>
  <si>
    <t>$50/ind, $75/fam</t>
  </si>
  <si>
    <t>Caro</t>
  </si>
  <si>
    <t>$20 individual</t>
  </si>
  <si>
    <t>White Pine</t>
  </si>
  <si>
    <t>Carson City</t>
  </si>
  <si>
    <t>25/individual</t>
  </si>
  <si>
    <t>Cassopolis</t>
  </si>
  <si>
    <t>MI $25 per family; non-MI $40 per family</t>
  </si>
  <si>
    <t>Cedar Springs</t>
  </si>
  <si>
    <t>Center Line</t>
  </si>
  <si>
    <t>$50/individual</t>
  </si>
  <si>
    <t>1800/Banks Township</t>
  </si>
  <si>
    <t>Plainwell</t>
  </si>
  <si>
    <t>$50/individual or family</t>
  </si>
  <si>
    <t>100/year, $25/quarter</t>
  </si>
  <si>
    <t>Charlotte</t>
  </si>
  <si>
    <t>$80/family</t>
  </si>
  <si>
    <t>$50/household/year</t>
  </si>
  <si>
    <t>Chelsea</t>
  </si>
  <si>
    <t>$50/individual - local; $200/individual - cooperative wide</t>
  </si>
  <si>
    <t>Mount Pleasant</t>
  </si>
  <si>
    <t>130/household</t>
  </si>
  <si>
    <t>Clarkston</t>
  </si>
  <si>
    <t>$10/Family</t>
  </si>
  <si>
    <t>Clinton Township</t>
  </si>
  <si>
    <t>$200/Family/Coopwide</t>
  </si>
  <si>
    <t>Coleman</t>
  </si>
  <si>
    <t>$50 individual;$75 family</t>
  </si>
  <si>
    <t>Unionville</t>
  </si>
  <si>
    <t>Commerce Township</t>
  </si>
  <si>
    <t>Corunna</t>
  </si>
  <si>
    <t>55/Family</t>
  </si>
  <si>
    <t>$35/family</t>
  </si>
  <si>
    <t>Coopersville</t>
  </si>
  <si>
    <t>Grayling</t>
  </si>
  <si>
    <t>10.00/INDIVIDUAL</t>
  </si>
  <si>
    <t>$150/household</t>
  </si>
  <si>
    <t>Walloon Lake</t>
  </si>
  <si>
    <t>$75/family</t>
  </si>
  <si>
    <t>Crystal Falls</t>
  </si>
  <si>
    <t>$30/Individual; $45/Family</t>
  </si>
  <si>
    <t>Glennie</t>
  </si>
  <si>
    <t>Beulah</t>
  </si>
  <si>
    <t>Dearborn</t>
  </si>
  <si>
    <t>$100/family</t>
  </si>
  <si>
    <t>Deckerville</t>
  </si>
  <si>
    <t>Delton</t>
  </si>
  <si>
    <t>$50/family</t>
  </si>
  <si>
    <t>Detroit</t>
  </si>
  <si>
    <t>Detroit Library Cooperative</t>
  </si>
  <si>
    <t>$100/individual</t>
  </si>
  <si>
    <t>$30/Individual $40/Family</t>
  </si>
  <si>
    <t>Dexter</t>
  </si>
  <si>
    <t>60/household</t>
  </si>
  <si>
    <t>Iron Mountain</t>
  </si>
  <si>
    <t>$35/Family</t>
  </si>
  <si>
    <t>Dimondale</t>
  </si>
  <si>
    <t>Dowagiac</t>
  </si>
  <si>
    <t>$5/individual</t>
  </si>
  <si>
    <t>Hastings</t>
  </si>
  <si>
    <t>East Lansing</t>
  </si>
  <si>
    <t>$30 individual/$40 family</t>
  </si>
  <si>
    <t>Eastpointe</t>
  </si>
  <si>
    <t>Eaton Rapids</t>
  </si>
  <si>
    <t>$45/family; $25/individual; $5/90-day, one per calendar year</t>
  </si>
  <si>
    <t>Eau Claire</t>
  </si>
  <si>
    <t>Ecorse</t>
  </si>
  <si>
    <t>Peck</t>
  </si>
  <si>
    <t>Elsie</t>
  </si>
  <si>
    <t>Escanaba</t>
  </si>
  <si>
    <t>$35 / Family</t>
  </si>
  <si>
    <t>Evart</t>
  </si>
  <si>
    <t>Farmington Hills</t>
  </si>
  <si>
    <t>Fennville</t>
  </si>
  <si>
    <t>Ferndale</t>
  </si>
  <si>
    <t>Greenville</t>
  </si>
  <si>
    <t>$25/yer</t>
  </si>
  <si>
    <t>Flat Rock</t>
  </si>
  <si>
    <t>Gwinn</t>
  </si>
  <si>
    <t>Fowlerville</t>
  </si>
  <si>
    <t>$50/Family</t>
  </si>
  <si>
    <t>$165/Individual</t>
  </si>
  <si>
    <t>Fraser</t>
  </si>
  <si>
    <t>FREEPORT</t>
  </si>
  <si>
    <t>$48/Individual</t>
  </si>
  <si>
    <t>$75/individual</t>
  </si>
  <si>
    <t>Galesburg</t>
  </si>
  <si>
    <t>Garden City</t>
  </si>
  <si>
    <t>Hudsonville</t>
  </si>
  <si>
    <t>100/family</t>
  </si>
  <si>
    <t>Jenison</t>
  </si>
  <si>
    <t>Gladstone</t>
  </si>
  <si>
    <t>$35/family;$20 individual</t>
  </si>
  <si>
    <t>$50/person</t>
  </si>
  <si>
    <t>Imlay City</t>
  </si>
  <si>
    <t>Mideastern</t>
  </si>
  <si>
    <t>$125/family</t>
  </si>
  <si>
    <t>Grand Ledge</t>
  </si>
  <si>
    <t>Grand Rapids</t>
  </si>
  <si>
    <t>$60/family/6 mos - $115/family/yr</t>
  </si>
  <si>
    <t>Grant</t>
  </si>
  <si>
    <t>$50/Individual</t>
  </si>
  <si>
    <t>Grosse Pointe Farms</t>
  </si>
  <si>
    <t>Hamtramck</t>
  </si>
  <si>
    <t>30/individual</t>
  </si>
  <si>
    <t>Harbor Beach</t>
  </si>
  <si>
    <t>$25 individual $5 additional family cards</t>
  </si>
  <si>
    <t>Harper Woods</t>
  </si>
  <si>
    <t>$75/Family</t>
  </si>
  <si>
    <t>Harrison</t>
  </si>
  <si>
    <t>200/family</t>
  </si>
  <si>
    <t>Hart</t>
  </si>
  <si>
    <t>Hartford</t>
  </si>
  <si>
    <t>$100/household</t>
  </si>
  <si>
    <t>Hazel Park</t>
  </si>
  <si>
    <t>Wayland</t>
  </si>
  <si>
    <t>Holland</t>
  </si>
  <si>
    <t>$50 Print $100 print and AV</t>
  </si>
  <si>
    <t>Hesperia</t>
  </si>
  <si>
    <t>Edmore</t>
  </si>
  <si>
    <t>$20/Family</t>
  </si>
  <si>
    <t>36/Individual</t>
  </si>
  <si>
    <t>Houghton Lake</t>
  </si>
  <si>
    <t>Zeeland, MI</t>
  </si>
  <si>
    <t>$50.00/Individual</t>
  </si>
  <si>
    <t>Breckenridge</t>
  </si>
  <si>
    <t>Howell</t>
  </si>
  <si>
    <t>$30 individual $90 Family</t>
  </si>
  <si>
    <t>Huntington Woods</t>
  </si>
  <si>
    <t>Indian River</t>
  </si>
  <si>
    <t>$25/family/individual</t>
  </si>
  <si>
    <t>Interlochen</t>
  </si>
  <si>
    <t>East Tawas</t>
  </si>
  <si>
    <t>30/family</t>
  </si>
  <si>
    <t>Ishpeming</t>
  </si>
  <si>
    <t>Jonesville</t>
  </si>
  <si>
    <t>East Jordan</t>
  </si>
  <si>
    <t>$195 / Family</t>
  </si>
  <si>
    <t>Comstock Park</t>
  </si>
  <si>
    <t>Laingsburg</t>
  </si>
  <si>
    <t>Lake Linden</t>
  </si>
  <si>
    <t>Lake Odessa</t>
  </si>
  <si>
    <t>$45/household</t>
  </si>
  <si>
    <t>$24.00/ Individual or family</t>
  </si>
  <si>
    <t>Lawton</t>
  </si>
  <si>
    <t>Inkster</t>
  </si>
  <si>
    <t>Northport</t>
  </si>
  <si>
    <t>Moline</t>
  </si>
  <si>
    <t>$1/patron</t>
  </si>
  <si>
    <t>$30/household</t>
  </si>
  <si>
    <t>New Haven</t>
  </si>
  <si>
    <t>Lincoln Park</t>
  </si>
  <si>
    <t>Stevensville</t>
  </si>
  <si>
    <t>Livonia</t>
  </si>
  <si>
    <t>100/ individual</t>
  </si>
  <si>
    <t>Luther</t>
  </si>
  <si>
    <t>South Lyon</t>
  </si>
  <si>
    <t>55/individual; 125 family</t>
  </si>
  <si>
    <t>New Baltimore</t>
  </si>
  <si>
    <t>$75-Individual,$200-Cooperative-Individual or Family</t>
  </si>
  <si>
    <t>Mackinac Island</t>
  </si>
  <si>
    <t>Mackinaw City</t>
  </si>
  <si>
    <t>Madison Heights</t>
  </si>
  <si>
    <t>$20.00/household</t>
  </si>
  <si>
    <t>Manistique</t>
  </si>
  <si>
    <t>Maple Rapids</t>
  </si>
  <si>
    <t>Marlette</t>
  </si>
  <si>
    <t>Marshall</t>
  </si>
  <si>
    <t>$100 Household; $50 Senior/Military Household</t>
  </si>
  <si>
    <t>Ludington</t>
  </si>
  <si>
    <t>75/year per Household</t>
  </si>
  <si>
    <t>Mayville</t>
  </si>
  <si>
    <t>McBain</t>
  </si>
  <si>
    <t>Ewen</t>
  </si>
  <si>
    <t>Melvindale</t>
  </si>
  <si>
    <t>Stephenson</t>
  </si>
  <si>
    <t>MERRILL</t>
  </si>
  <si>
    <t>Lake City</t>
  </si>
  <si>
    <t>Mid Michigan Library League</t>
  </si>
  <si>
    <t>Atlanta</t>
  </si>
  <si>
    <t>30/Family</t>
  </si>
  <si>
    <t>Mount Clemens</t>
  </si>
  <si>
    <t>200/Family</t>
  </si>
  <si>
    <t>Mulliken</t>
  </si>
  <si>
    <t>Munising</t>
  </si>
  <si>
    <t>$25/Individual</t>
  </si>
  <si>
    <t>Negaunee</t>
  </si>
  <si>
    <t>$80/family; $50/individual</t>
  </si>
  <si>
    <t>$40/Individual</t>
  </si>
  <si>
    <t>North Adams</t>
  </si>
  <si>
    <t>$5?Individual</t>
  </si>
  <si>
    <t>Whitmore Lake</t>
  </si>
  <si>
    <t>Centrevile</t>
  </si>
  <si>
    <t>Novi</t>
  </si>
  <si>
    <t>Oak Park</t>
  </si>
  <si>
    <t>Rose City</t>
  </si>
  <si>
    <t>$10/card</t>
  </si>
  <si>
    <t>Lake Orion</t>
  </si>
  <si>
    <t>Dollar Bay</t>
  </si>
  <si>
    <t>Mio</t>
  </si>
  <si>
    <t>Gaylord</t>
  </si>
  <si>
    <t>$75/family; $30 individual</t>
  </si>
  <si>
    <t>$80/individual</t>
  </si>
  <si>
    <t>Parchment</t>
  </si>
  <si>
    <t>$105/family</t>
  </si>
  <si>
    <t>Baldwin</t>
  </si>
  <si>
    <t>Traverse City</t>
  </si>
  <si>
    <t>$10 Annually</t>
  </si>
  <si>
    <t>$115/individual/12month; $60/individual/6month; $30individual/3month or $175/family/12/month; $90/family/6month; $45/family/3month</t>
  </si>
  <si>
    <t>Petoskey</t>
  </si>
  <si>
    <t>95/family/year or 25/family/quarter</t>
  </si>
  <si>
    <t>Pigeon</t>
  </si>
  <si>
    <t>$40/card</t>
  </si>
  <si>
    <t>Pinckney</t>
  </si>
  <si>
    <t>Pontiac</t>
  </si>
  <si>
    <t>Portage</t>
  </si>
  <si>
    <t>$171/Household; $85.50/Senior Citizen</t>
  </si>
  <si>
    <t>$110/Individual; $155/Family</t>
  </si>
  <si>
    <t>Portland</t>
  </si>
  <si>
    <t>Potterville</t>
  </si>
  <si>
    <t>Rogers City</t>
  </si>
  <si>
    <t>Nashville</t>
  </si>
  <si>
    <t>$35/Individual</t>
  </si>
  <si>
    <t>Hemlock</t>
  </si>
  <si>
    <t>$25/individual/$50 family</t>
  </si>
  <si>
    <t>Cass City</t>
  </si>
  <si>
    <t>10.00/family</t>
  </si>
  <si>
    <t>$125/Household</t>
  </si>
  <si>
    <t>Reed City</t>
  </si>
  <si>
    <t>Reese</t>
  </si>
  <si>
    <t>$10/student; $15/individual adult; $25/family</t>
  </si>
  <si>
    <t>Saint Helen</t>
  </si>
  <si>
    <t>Vestaburg</t>
  </si>
  <si>
    <t>Palmer</t>
  </si>
  <si>
    <t>River Rouge</t>
  </si>
  <si>
    <t>Riverview</t>
  </si>
  <si>
    <t>Rochester</t>
  </si>
  <si>
    <t>Romeo</t>
  </si>
  <si>
    <t>$200/family</t>
  </si>
  <si>
    <t>Romulus</t>
  </si>
  <si>
    <t>Roseville</t>
  </si>
  <si>
    <t>$200/SLC</t>
  </si>
  <si>
    <t>Royal Oak</t>
  </si>
  <si>
    <t>$100/Individual</t>
  </si>
  <si>
    <t>40/individual</t>
  </si>
  <si>
    <t>Port Huron</t>
  </si>
  <si>
    <t>St. Clair Shores</t>
  </si>
  <si>
    <t>St. Ignace</t>
  </si>
  <si>
    <t>$40/family, $20/Summer Resident</t>
  </si>
  <si>
    <t>Burnips</t>
  </si>
  <si>
    <t>$25 individual</t>
  </si>
  <si>
    <t>Saline</t>
  </si>
  <si>
    <t>$135 Individual/Family</t>
  </si>
  <si>
    <t>Sandusky</t>
  </si>
  <si>
    <t>Port Sanilac</t>
  </si>
  <si>
    <t>Saranac</t>
  </si>
  <si>
    <t>Douglas</t>
  </si>
  <si>
    <t>$40/family</t>
  </si>
  <si>
    <t>40$/family</t>
  </si>
  <si>
    <t>Blissfield, MI</t>
  </si>
  <si>
    <t>Riverdale</t>
  </si>
  <si>
    <t>$35/individual, $50/family</t>
  </si>
  <si>
    <t>Shelby Township</t>
  </si>
  <si>
    <t>Weidman</t>
  </si>
  <si>
    <t>$20/address</t>
  </si>
  <si>
    <t>$82/Family</t>
  </si>
  <si>
    <t>Ubly</t>
  </si>
  <si>
    <t>20/Family</t>
  </si>
  <si>
    <t>Sodus, MI</t>
  </si>
  <si>
    <t>$58/Individual;$29/Senior</t>
  </si>
  <si>
    <t>$15/Student;$25/Individual;$40/Family</t>
  </si>
  <si>
    <t>Davisburg</t>
  </si>
  <si>
    <t>Morenci</t>
  </si>
  <si>
    <t>Sterling Heights</t>
  </si>
  <si>
    <t>$200/Family</t>
  </si>
  <si>
    <t>50/Family</t>
  </si>
  <si>
    <t>Sault Ste Marie</t>
  </si>
  <si>
    <t>80/individual</t>
  </si>
  <si>
    <t>Farwell</t>
  </si>
  <si>
    <t>100.00/individual</t>
  </si>
  <si>
    <t>Newberry</t>
  </si>
  <si>
    <t>$10/Individual;$25/Family</t>
  </si>
  <si>
    <t>Lakeview</t>
  </si>
  <si>
    <t>Taylor</t>
  </si>
  <si>
    <t>Burt</t>
  </si>
  <si>
    <t>Saint Louis</t>
  </si>
  <si>
    <t>ITHACA</t>
  </si>
  <si>
    <t>50/family</t>
  </si>
  <si>
    <t>Middleville</t>
  </si>
  <si>
    <t>$40/Family</t>
  </si>
  <si>
    <t>Three Rivers</t>
  </si>
  <si>
    <t>$50 for 1 or 2 / $75 for 3 or more</t>
  </si>
  <si>
    <t>Howard City</t>
  </si>
  <si>
    <t>topinabee</t>
  </si>
  <si>
    <t>$100/family; $50/six months</t>
  </si>
  <si>
    <t>Trenton</t>
  </si>
  <si>
    <t>Troy</t>
  </si>
  <si>
    <t>$200/family outside Suburban Library Cooperative</t>
  </si>
  <si>
    <t>Utica</t>
  </si>
  <si>
    <t>45/household</t>
  </si>
  <si>
    <t>Vicksburg</t>
  </si>
  <si>
    <t>Wakefield</t>
  </si>
  <si>
    <t>$30/individual</t>
  </si>
  <si>
    <t>Waldron</t>
  </si>
  <si>
    <t>Walkerville</t>
  </si>
  <si>
    <t>Walled Lake</t>
  </si>
  <si>
    <t>Morley</t>
  </si>
  <si>
    <t>Warren</t>
  </si>
  <si>
    <t>$200 per family</t>
  </si>
  <si>
    <t>Fostoria</t>
  </si>
  <si>
    <t>West Branch</t>
  </si>
  <si>
    <t>25 individual or family</t>
  </si>
  <si>
    <t>Iron River</t>
  </si>
  <si>
    <t>Remus</t>
  </si>
  <si>
    <t>White Cloud</t>
  </si>
  <si>
    <t>35; $50 family</t>
  </si>
  <si>
    <t>Whitehall</t>
  </si>
  <si>
    <t>$42/individual</t>
  </si>
  <si>
    <t>Stanton</t>
  </si>
  <si>
    <t>Paradise</t>
  </si>
  <si>
    <t>Battle Creek</t>
  </si>
  <si>
    <t>Westland</t>
  </si>
  <si>
    <t>Wixom</t>
  </si>
  <si>
    <t>Wolverine</t>
  </si>
  <si>
    <t>Number of ALA-MLS Librarians</t>
  </si>
  <si>
    <t>Total Hours per Week worked by ALA-MLS Librarians</t>
  </si>
  <si>
    <t>ALA-MLS FTE (40 Hours/wk)</t>
  </si>
  <si>
    <t>Number of Other Librarians</t>
  </si>
  <si>
    <t>Total Hours per Week worked by Other Librarians</t>
  </si>
  <si>
    <t>Other Librarians FTE (40 Hours/wk)</t>
  </si>
  <si>
    <t>Number of Total Librarians</t>
  </si>
  <si>
    <t>Total Hours per Week worked by Total Librarians</t>
  </si>
  <si>
    <t>Total Librarians FTE (40 Hours/wk)</t>
  </si>
  <si>
    <t>Number of All Other Paid Staff</t>
  </si>
  <si>
    <t>Total Hours per Week worked by All Other Paid Staff</t>
  </si>
  <si>
    <t>All Other Paid Staff FTE (40 Hours/wk)</t>
  </si>
  <si>
    <t>Number of Total Paid Employees</t>
  </si>
  <si>
    <t>Total Hours per Week worked by Total Paid Employees</t>
  </si>
  <si>
    <t>Total Paid Employees FTE (40 Hours/wk)</t>
  </si>
  <si>
    <t>Director's Certification Level (I, II, III, or IV)</t>
  </si>
  <si>
    <t>Director Minimum Salary</t>
  </si>
  <si>
    <t>Director Maximum Salary</t>
  </si>
  <si>
    <t>Director Average Hrs/Wk</t>
  </si>
  <si>
    <t>Health Insurance</t>
  </si>
  <si>
    <t>Dental Insurance</t>
  </si>
  <si>
    <t>Vision Insurance</t>
  </si>
  <si>
    <t>Life Insurance</t>
  </si>
  <si>
    <t>Pension</t>
  </si>
  <si>
    <t>Paid Sick Leave</t>
  </si>
  <si>
    <t>Paid Vacation</t>
  </si>
  <si>
    <t>Paid Personal Days</t>
  </si>
  <si>
    <t>Paid Holidays</t>
  </si>
  <si>
    <t>Deferred Compensation</t>
  </si>
  <si>
    <t>Disability</t>
  </si>
  <si>
    <t>Longevity</t>
  </si>
  <si>
    <t>I</t>
  </si>
  <si>
    <t>II</t>
  </si>
  <si>
    <t>IV</t>
  </si>
  <si>
    <t>Assistant Director Average Hrs/Wk</t>
  </si>
  <si>
    <t>Assistant Director Minimum Salary</t>
  </si>
  <si>
    <t>Assistant Director Maximum Salary</t>
  </si>
  <si>
    <t>Department/Branch Head Average Hrs/Wk</t>
  </si>
  <si>
    <t>Department/Branch Head Minimum Salary</t>
  </si>
  <si>
    <t>Department/Branch Head Maximum Salary</t>
  </si>
  <si>
    <t>Senior Level Librarian Average Hrs/Wk</t>
  </si>
  <si>
    <t>Senior Level Librarian Minimum Salary</t>
  </si>
  <si>
    <t>Senior Level Librarian Maximum Salary</t>
  </si>
  <si>
    <t>Entry Level Librarian Average Hrs/Wk</t>
  </si>
  <si>
    <t>Entry Level Librarian Minimum Salary</t>
  </si>
  <si>
    <t>Entry Level Librarian Maximum Salary</t>
  </si>
  <si>
    <t>Computer/Technology Specialist Average Hrs/Wk</t>
  </si>
  <si>
    <t>Computer/Technology Specialist Minimum Salary</t>
  </si>
  <si>
    <t>Computer/Technology Specialist Maximum Salary</t>
  </si>
  <si>
    <t>Library Clerk Average Hrs/Wk</t>
  </si>
  <si>
    <t>Library Clerk Minimum Salary</t>
  </si>
  <si>
    <t>Library Clerk Maximum Salary</t>
  </si>
  <si>
    <t>Full Time Employee Health Insurance</t>
  </si>
  <si>
    <t>Full Time Employee Dental Insurance</t>
  </si>
  <si>
    <t>Full Time Employee Life Insurance</t>
  </si>
  <si>
    <t>Full Time Employee Pension</t>
  </si>
  <si>
    <t>Full Time Employee Vision Insurance</t>
  </si>
  <si>
    <t>Full Time Employee Paid Sick Leave</t>
  </si>
  <si>
    <t>Full Time EmployeePaid Vacation</t>
  </si>
  <si>
    <t>Full Time EmployeePaid Holidays</t>
  </si>
  <si>
    <t>Full Time Employee Deferred Compensation</t>
  </si>
  <si>
    <t>Full Time Employee Disability</t>
  </si>
  <si>
    <t>Full Time Employee Paid Personal Days</t>
  </si>
  <si>
    <t>Full Time Employee Longevity</t>
  </si>
  <si>
    <t>Part Time Employee Health Insurance</t>
  </si>
  <si>
    <t>Part Time Employee Dental Insurance</t>
  </si>
  <si>
    <t>Part Time Employee Life Insurance</t>
  </si>
  <si>
    <t>Part Time Employee Pension</t>
  </si>
  <si>
    <t>Part Time Employee Vision Insurance</t>
  </si>
  <si>
    <t>Part Time Employee Paid Sick Leave</t>
  </si>
  <si>
    <t>Part Time Employee Paid Vacation</t>
  </si>
  <si>
    <t>Part Time Employee Paid Holidays</t>
  </si>
  <si>
    <t>Part Time Employee Deferred Compensation</t>
  </si>
  <si>
    <t>Part Time Employee Disability</t>
  </si>
  <si>
    <t>Part Time Employee Paid Personal Days</t>
  </si>
  <si>
    <t>Part Time Employee Longevity</t>
  </si>
  <si>
    <t>2018/2019 Annual Report/State Aid Application</t>
  </si>
  <si>
    <t>Outlets, Hours and SqFt</t>
  </si>
  <si>
    <t>2019/2020 Annual Report/State Aid Application</t>
  </si>
  <si>
    <t>Total Libraries Reporting (N)</t>
  </si>
  <si>
    <t>TOTAL</t>
  </si>
  <si>
    <t>AVERAGE</t>
  </si>
  <si>
    <t>DNR</t>
  </si>
  <si>
    <t>City of Allen Park</t>
  </si>
  <si>
    <t>Total Collection use per capita</t>
  </si>
  <si>
    <t>Class 1</t>
  </si>
  <si>
    <t>Class 2</t>
  </si>
  <si>
    <t>Class 3</t>
  </si>
  <si>
    <t>Class 4</t>
  </si>
  <si>
    <t>Class 5</t>
  </si>
  <si>
    <t>Class 6</t>
  </si>
  <si>
    <t>Capital Income &amp; Expenditure</t>
  </si>
  <si>
    <t>Director's Salary</t>
  </si>
  <si>
    <t>Total</t>
  </si>
  <si>
    <t>Average</t>
  </si>
  <si>
    <t>Total Events</t>
  </si>
  <si>
    <t>Attend per capita</t>
  </si>
  <si>
    <r>
      <t xml:space="preserve"> Early Literacy Programs (</t>
    </r>
    <r>
      <rPr>
        <b/>
        <sz val="8"/>
        <rFont val="Arial"/>
        <family val="2"/>
      </rPr>
      <t>Subset of Children's programming)</t>
    </r>
  </si>
  <si>
    <r>
      <t xml:space="preserve"> Early Literacy Program Attendance (</t>
    </r>
    <r>
      <rPr>
        <b/>
        <sz val="8"/>
        <rFont val="Arial"/>
        <family val="2"/>
      </rPr>
      <t>Subset of Children's programming)</t>
    </r>
  </si>
  <si>
    <t>City of Trenton</t>
  </si>
  <si>
    <t>City of Taylor</t>
  </si>
  <si>
    <t>Rpseville</t>
  </si>
  <si>
    <t>Totals</t>
  </si>
  <si>
    <t>Director Benefits by Class</t>
  </si>
  <si>
    <t>Most recent fiscal year completed prior to October 1, 2019, even if that means reporting less than 12 months of data. The reason for reporting less than 12 months of data could be due to a change in legal status, change in fiscal year, etc. If your reporting year has changed, please mail documentation authorizing the change (such as board minutes) to the Library of Michigan.</t>
  </si>
  <si>
    <t xml:space="preserve">Unduplicated branch hours are hours when one or more branches are open when the main library is not. Do not count duplicate branch hours. For example: Main library: Open 9 AM - 4 PM, Mon - Fri = 35 unduplicated hours/week North Branch: Open Noon - 8 PM, Tues and Thurs = 8 unduplicated hours/week Open 10 AM - 4 PM Fri = no unduplicted hours. South Branch: Open 10 AM - 2 :M Sat = 4 unduplicated hours Open 10 AM - 6 PM Tues - Fri = 2 hours Fri + 2 hours Wed unduplicated Total unduplicated branch hours for the system is 16.  </t>
  </si>
  <si>
    <t>Full Time Employee Benefits by Class</t>
  </si>
  <si>
    <t>Part Time Employee Benefits by Class</t>
  </si>
  <si>
    <t>*</t>
  </si>
  <si>
    <t>UTD</t>
  </si>
  <si>
    <t>UTD = Unable to Determine</t>
  </si>
  <si>
    <t>*included the entire Hoopla catalog as collection</t>
  </si>
  <si>
    <t>Total eContent</t>
  </si>
  <si>
    <t>Directors Salary &amp; Benefits</t>
  </si>
  <si>
    <t>Other Employee Salary &amp; Benefits</t>
  </si>
  <si>
    <t>Physical Materials Total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</si>
</sst>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00"/>
    <numFmt numFmtId="165" formatCode="&quot;$&quot;#,##0"/>
    <numFmt numFmtId="166" formatCode="&quot;$&quot;#,##0.00"/>
    <numFmt numFmtId="167" formatCode="0.0"/>
    <numFmt numFmtId="168" formatCode="0.0%"/>
    <numFmt numFmtId="169" formatCode="#,##0.0"/>
  </numFmts>
  <fonts count="25" x14ac:knownFonts="1">
    <font>
      <sz val="11"/>
      <color theme="1"/>
      <name val="Calibri"/>
      <family val="2"/>
      <scheme val="minor"/>
    </font>
    <font>
      <u/>
      <sz val="11"/>
      <color theme="10"/>
      <name val="Calibri"/>
      <family val="2"/>
      <scheme val="minor"/>
    </font>
    <font>
      <u/>
      <sz val="10"/>
      <color theme="8" tint="-0.249977111117893"/>
      <name val="Arial"/>
      <family val="2"/>
    </font>
    <font>
      <sz val="10"/>
      <color theme="8" tint="-0.249977111117893"/>
      <name val="Arial"/>
      <family val="2"/>
    </font>
    <font>
      <u/>
      <sz val="14"/>
      <color indexed="12"/>
      <name val="Calibri"/>
      <family val="2"/>
      <scheme val="minor"/>
    </font>
    <font>
      <b/>
      <sz val="7"/>
      <color rgb="FFD3B12C"/>
      <name val="Arial"/>
      <family val="2"/>
    </font>
    <font>
      <b/>
      <sz val="12"/>
      <color rgb="FF003366"/>
      <name val="Verdana"/>
      <family val="2"/>
    </font>
    <font>
      <b/>
      <sz val="10.050000000000001"/>
      <color theme="1"/>
      <name val="Arial"/>
      <family val="2"/>
    </font>
    <font>
      <b/>
      <sz val="10.050000000000001"/>
      <color rgb="FF808080"/>
      <name val="Arial"/>
      <family val="2"/>
    </font>
    <font>
      <b/>
      <sz val="12"/>
      <color theme="1"/>
      <name val="Arial"/>
      <family val="2"/>
    </font>
    <font>
      <b/>
      <i/>
      <sz val="12.8"/>
      <color rgb="FF003399"/>
      <name val="Arial"/>
      <family val="2"/>
    </font>
    <font>
      <b/>
      <sz val="12.8"/>
      <color rgb="FF003399"/>
      <name val="Arial"/>
      <family val="2"/>
    </font>
    <font>
      <b/>
      <sz val="10"/>
      <name val="Arial"/>
      <family val="2"/>
    </font>
    <font>
      <sz val="10"/>
      <name val="Arial"/>
      <family val="2"/>
    </font>
    <font>
      <b/>
      <sz val="11"/>
      <name val="Calibri"/>
      <family val="2"/>
      <scheme val="minor"/>
    </font>
    <font>
      <sz val="11"/>
      <color theme="1"/>
      <name val="Calibri"/>
      <family val="2"/>
      <scheme val="minor"/>
    </font>
    <font>
      <b/>
      <sz val="11"/>
      <name val="Arial"/>
      <family val="2"/>
    </font>
    <font>
      <b/>
      <sz val="14"/>
      <name val="Arial"/>
      <family val="2"/>
    </font>
    <font>
      <sz val="14"/>
      <color theme="1"/>
      <name val="Calibri"/>
      <family val="2"/>
      <scheme val="minor"/>
    </font>
    <font>
      <b/>
      <sz val="14"/>
      <color theme="1"/>
      <name val="Calibri"/>
      <family val="2"/>
      <scheme val="minor"/>
    </font>
    <font>
      <b/>
      <sz val="12"/>
      <name val="Arial"/>
      <family val="2"/>
    </font>
    <font>
      <b/>
      <sz val="14"/>
      <color theme="1"/>
      <name val="Arial"/>
      <family val="2"/>
    </font>
    <font>
      <sz val="14"/>
      <color theme="1"/>
      <name val="Arial"/>
      <family val="2"/>
    </font>
    <font>
      <b/>
      <sz val="8"/>
      <name val="Arial"/>
      <family val="2"/>
    </font>
    <font>
      <b/>
      <sz val="16"/>
      <color theme="1"/>
      <name val="Arial"/>
      <family val="2"/>
    </font>
  </fonts>
  <fills count="19">
    <fill>
      <patternFill patternType="none"/>
    </fill>
    <fill>
      <patternFill patternType="gray125"/>
    </fill>
    <fill>
      <patternFill patternType="solid">
        <fgColor rgb="FFE6F0FA"/>
        <bgColor indexed="64"/>
      </patternFill>
    </fill>
    <fill>
      <patternFill patternType="solid">
        <fgColor rgb="FFFFFFFF"/>
        <bgColor indexed="64"/>
      </patternFill>
    </fill>
    <fill>
      <patternFill patternType="solid">
        <fgColor rgb="FFF0FAE6"/>
        <bgColor indexed="64"/>
      </patternFill>
    </fill>
    <fill>
      <patternFill patternType="solid">
        <fgColor rgb="FFCCCCCC"/>
        <bgColor indexed="64"/>
      </patternFill>
    </fill>
    <fill>
      <patternFill patternType="solid">
        <fgColor rgb="FFEEEEEE"/>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1"/>
        <bgColor indexed="64"/>
      </patternFill>
    </fill>
    <fill>
      <patternFill patternType="solid">
        <fgColor theme="1" tint="0.499984740745262"/>
        <bgColor indexed="64"/>
      </patternFill>
    </fill>
  </fills>
  <borders count="35">
    <border>
      <left/>
      <right/>
      <top/>
      <bottom/>
      <diagonal/>
    </border>
    <border>
      <left style="medium">
        <color rgb="FFA06927"/>
      </left>
      <right style="medium">
        <color rgb="FFA06927"/>
      </right>
      <top style="medium">
        <color rgb="FFA06927"/>
      </top>
      <bottom style="medium">
        <color rgb="FFA06927"/>
      </bottom>
      <diagonal/>
    </border>
    <border>
      <left style="medium">
        <color rgb="FFEEEEEE"/>
      </left>
      <right/>
      <top style="medium">
        <color rgb="FFA06927"/>
      </top>
      <bottom style="medium">
        <color rgb="FFEEEEEE"/>
      </bottom>
      <diagonal/>
    </border>
    <border>
      <left/>
      <right/>
      <top style="medium">
        <color rgb="FFA06927"/>
      </top>
      <bottom style="medium">
        <color rgb="FFEEEEEE"/>
      </bottom>
      <diagonal/>
    </border>
    <border>
      <left style="medium">
        <color rgb="FFEEEEEE"/>
      </left>
      <right/>
      <top style="medium">
        <color rgb="FFEEEEEE"/>
      </top>
      <bottom style="medium">
        <color rgb="FFA06927"/>
      </bottom>
      <diagonal/>
    </border>
    <border>
      <left/>
      <right/>
      <top style="medium">
        <color rgb="FFEEEEEE"/>
      </top>
      <bottom style="medium">
        <color rgb="FFA06927"/>
      </bottom>
      <diagonal/>
    </border>
    <border>
      <left style="medium">
        <color rgb="FFA06927"/>
      </left>
      <right style="medium">
        <color rgb="FFA06927"/>
      </right>
      <top style="medium">
        <color rgb="FFA06927"/>
      </top>
      <bottom/>
      <diagonal/>
    </border>
    <border>
      <left style="medium">
        <color rgb="FFA06927"/>
      </left>
      <right style="medium">
        <color rgb="FFA06927"/>
      </right>
      <top/>
      <bottom style="medium">
        <color rgb="FFA06927"/>
      </bottom>
      <diagonal/>
    </border>
    <border>
      <left style="medium">
        <color rgb="FFA06927"/>
      </left>
      <right/>
      <top style="medium">
        <color rgb="FFA06927"/>
      </top>
      <bottom style="medium">
        <color rgb="FFA06927"/>
      </bottom>
      <diagonal/>
    </border>
    <border>
      <left/>
      <right/>
      <top style="medium">
        <color rgb="FFA06927"/>
      </top>
      <bottom style="medium">
        <color rgb="FFA06927"/>
      </bottom>
      <diagonal/>
    </border>
    <border>
      <left style="medium">
        <color rgb="FFA06927"/>
      </left>
      <right style="medium">
        <color rgb="FFA06927"/>
      </right>
      <top/>
      <bottom/>
      <diagonal/>
    </border>
    <border>
      <left style="medium">
        <color rgb="FFEEEEEE"/>
      </left>
      <right/>
      <top style="medium">
        <color rgb="FFA06927"/>
      </top>
      <bottom style="medium">
        <color rgb="FFA06927"/>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medium">
        <color auto="1"/>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bottom/>
      <diagonal/>
    </border>
    <border>
      <left style="thin">
        <color auto="1"/>
      </left>
      <right style="thin">
        <color auto="1"/>
      </right>
      <top/>
      <bottom/>
      <diagonal/>
    </border>
    <border>
      <left/>
      <right style="medium">
        <color indexed="64"/>
      </right>
      <top/>
      <bottom/>
      <diagonal/>
    </border>
  </borders>
  <cellStyleXfs count="6">
    <xf numFmtId="0" fontId="0" fillId="0" borderId="0"/>
    <xf numFmtId="0" fontId="1" fillId="0" borderId="0" applyNumberFormat="0" applyFill="0" applyBorder="0" applyAlignment="0" applyProtection="0"/>
    <xf numFmtId="0" fontId="13" fillId="0" borderId="0" applyNumberFormat="0" applyFont="0" applyFill="0" applyBorder="0" applyProtection="0">
      <alignment horizontal="left" vertical="center"/>
    </xf>
    <xf numFmtId="14" fontId="13" fillId="0" borderId="0" applyFont="0" applyFill="0" applyBorder="0" applyAlignment="0" applyProtection="0"/>
    <xf numFmtId="3" fontId="13" fillId="0" borderId="0" applyFont="0" applyFill="0" applyBorder="0" applyAlignment="0" applyProtection="0"/>
    <xf numFmtId="0" fontId="13" fillId="0" borderId="0"/>
  </cellStyleXfs>
  <cellXfs count="258">
    <xf numFmtId="0" fontId="0" fillId="0" borderId="0" xfId="0"/>
    <xf numFmtId="0" fontId="2" fillId="0" borderId="0" xfId="1" applyFont="1"/>
    <xf numFmtId="0" fontId="3" fillId="0" borderId="0" xfId="0" applyFont="1"/>
    <xf numFmtId="0" fontId="5" fillId="0" borderId="1" xfId="0" applyFont="1" applyBorder="1" applyAlignment="1">
      <alignment horizontal="center" vertical="center" wrapText="1"/>
    </xf>
    <xf numFmtId="0" fontId="6" fillId="2" borderId="3" xfId="0" applyFont="1" applyFill="1" applyBorder="1" applyAlignment="1">
      <alignment horizontal="left" vertical="center" wrapText="1"/>
    </xf>
    <xf numFmtId="0" fontId="6" fillId="2"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1" xfId="0" applyFont="1" applyFill="1" applyBorder="1" applyAlignment="1">
      <alignment horizontal="left" vertical="center" wrapText="1"/>
    </xf>
    <xf numFmtId="0" fontId="9" fillId="2" borderId="9" xfId="0" applyFont="1" applyFill="1" applyBorder="1" applyAlignment="1">
      <alignment vertical="center" wrapText="1"/>
    </xf>
    <xf numFmtId="0" fontId="7" fillId="3" borderId="1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8" fillId="3" borderId="1"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5" borderId="6"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1" xfId="0" applyFont="1" applyFill="1" applyBorder="1" applyAlignment="1">
      <alignment horizontal="left" vertical="center" wrapText="1"/>
    </xf>
    <xf numFmtId="0" fontId="6" fillId="2" borderId="2" xfId="0" applyFont="1" applyFill="1" applyBorder="1" applyAlignment="1">
      <alignment horizontal="left" vertical="center"/>
    </xf>
    <xf numFmtId="0" fontId="0" fillId="0" borderId="0" xfId="0" applyAlignment="1"/>
    <xf numFmtId="0" fontId="6" fillId="2" borderId="4"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7" fillId="3" borderId="1" xfId="0" applyFont="1" applyFill="1" applyBorder="1" applyAlignment="1">
      <alignment horizontal="left" vertical="center"/>
    </xf>
    <xf numFmtId="0" fontId="9" fillId="2" borderId="8" xfId="0" applyFont="1" applyFill="1" applyBorder="1" applyAlignment="1">
      <alignment vertical="center"/>
    </xf>
    <xf numFmtId="0" fontId="10" fillId="4" borderId="8" xfId="0" applyFont="1" applyFill="1" applyBorder="1" applyAlignment="1">
      <alignment vertical="center"/>
    </xf>
    <xf numFmtId="0" fontId="7" fillId="3" borderId="10" xfId="0" applyFont="1" applyFill="1" applyBorder="1" applyAlignment="1">
      <alignment horizontal="left" vertical="center"/>
    </xf>
    <xf numFmtId="0" fontId="6" fillId="2" borderId="11" xfId="0" applyFont="1" applyFill="1" applyBorder="1" applyAlignment="1">
      <alignment horizontal="left" vertical="center"/>
    </xf>
    <xf numFmtId="0" fontId="7" fillId="5" borderId="6" xfId="0" applyFont="1" applyFill="1" applyBorder="1" applyAlignment="1">
      <alignment horizontal="left" vertical="center"/>
    </xf>
    <xf numFmtId="0" fontId="7" fillId="5" borderId="7" xfId="0" applyFont="1" applyFill="1" applyBorder="1" applyAlignment="1">
      <alignment horizontal="left" vertical="center"/>
    </xf>
    <xf numFmtId="0" fontId="7" fillId="5" borderId="1" xfId="0" applyFont="1" applyFill="1" applyBorder="1" applyAlignment="1">
      <alignment horizontal="left" vertical="center"/>
    </xf>
    <xf numFmtId="0" fontId="7" fillId="5" borderId="10" xfId="0" applyFont="1" applyFill="1" applyBorder="1" applyAlignment="1">
      <alignment horizontal="left" vertical="center"/>
    </xf>
    <xf numFmtId="0" fontId="4" fillId="0" borderId="0" xfId="1" applyFont="1" applyAlignment="1">
      <alignment wrapText="1"/>
    </xf>
    <xf numFmtId="0" fontId="0" fillId="0" borderId="0" xfId="0" applyAlignment="1">
      <alignment wrapText="1"/>
    </xf>
    <xf numFmtId="0" fontId="0" fillId="0" borderId="0" xfId="0" applyFont="1" applyAlignment="1">
      <alignment wrapText="1"/>
    </xf>
    <xf numFmtId="0" fontId="11" fillId="4" borderId="9" xfId="0" applyFont="1" applyFill="1" applyBorder="1" applyAlignment="1">
      <alignment vertical="center" wrapText="1"/>
    </xf>
    <xf numFmtId="0" fontId="0" fillId="3" borderId="10" xfId="0" applyFont="1" applyFill="1" applyBorder="1" applyAlignment="1">
      <alignment horizontal="left" vertical="center" wrapText="1"/>
    </xf>
    <xf numFmtId="0" fontId="0" fillId="3" borderId="7" xfId="0" applyFont="1" applyFill="1" applyBorder="1" applyAlignment="1">
      <alignment horizontal="left" vertical="center" wrapText="1"/>
    </xf>
    <xf numFmtId="0" fontId="13" fillId="0" borderId="0" xfId="2">
      <alignment horizontal="left" vertical="center"/>
    </xf>
    <xf numFmtId="0" fontId="12" fillId="6" borderId="12" xfId="0" applyFont="1" applyFill="1" applyBorder="1" applyAlignment="1">
      <alignment horizontal="left"/>
    </xf>
    <xf numFmtId="14" fontId="13" fillId="0" borderId="0" xfId="3"/>
    <xf numFmtId="3" fontId="13" fillId="0" borderId="0" xfId="4"/>
    <xf numFmtId="0" fontId="12" fillId="6" borderId="13" xfId="0" applyFont="1" applyFill="1" applyBorder="1" applyAlignment="1">
      <alignment horizontal="left"/>
    </xf>
    <xf numFmtId="0" fontId="12" fillId="6" borderId="13" xfId="0" applyFont="1" applyFill="1" applyBorder="1" applyAlignment="1">
      <alignment horizontal="left" wrapText="1"/>
    </xf>
    <xf numFmtId="0" fontId="12" fillId="7" borderId="14" xfId="0" applyFont="1" applyFill="1" applyBorder="1" applyAlignment="1">
      <alignment horizontal="left" wrapText="1"/>
    </xf>
    <xf numFmtId="0" fontId="12" fillId="9" borderId="13" xfId="0" applyFont="1" applyFill="1" applyBorder="1" applyAlignment="1">
      <alignment horizontal="left" wrapText="1"/>
    </xf>
    <xf numFmtId="0" fontId="12" fillId="10" borderId="13" xfId="0" applyFont="1" applyFill="1" applyBorder="1" applyAlignment="1">
      <alignment horizontal="left" wrapText="1"/>
    </xf>
    <xf numFmtId="4" fontId="0" fillId="0" borderId="0" xfId="0" applyNumberFormat="1"/>
    <xf numFmtId="0" fontId="17" fillId="0" borderId="0" xfId="0" applyFont="1" applyAlignment="1">
      <alignment horizontal="center" vertical="top"/>
    </xf>
    <xf numFmtId="0" fontId="4" fillId="0" borderId="0" xfId="1" applyFont="1"/>
    <xf numFmtId="0" fontId="16" fillId="11" borderId="15" xfId="5" applyFont="1" applyFill="1" applyBorder="1"/>
    <xf numFmtId="0" fontId="12" fillId="6" borderId="14" xfId="0" applyFont="1" applyFill="1" applyBorder="1" applyAlignment="1">
      <alignment horizontal="left" wrapText="1"/>
    </xf>
    <xf numFmtId="0" fontId="12" fillId="6" borderId="16" xfId="0" applyFont="1" applyFill="1" applyBorder="1" applyAlignment="1">
      <alignment horizontal="left"/>
    </xf>
    <xf numFmtId="0" fontId="15" fillId="0" borderId="0" xfId="0" applyFont="1" applyBorder="1" applyAlignment="1">
      <alignment horizontal="left" vertical="center"/>
    </xf>
    <xf numFmtId="14" fontId="15" fillId="0" borderId="0" xfId="0" applyNumberFormat="1" applyFont="1" applyBorder="1"/>
    <xf numFmtId="0" fontId="17" fillId="6" borderId="13" xfId="0" applyFont="1" applyFill="1" applyBorder="1" applyAlignment="1">
      <alignment horizontal="right"/>
    </xf>
    <xf numFmtId="0" fontId="18" fillId="12" borderId="18" xfId="0" applyFont="1" applyFill="1" applyBorder="1" applyAlignment="1">
      <alignment horizontal="left" vertical="center"/>
    </xf>
    <xf numFmtId="14" fontId="18" fillId="0" borderId="17" xfId="0" applyNumberFormat="1" applyFont="1" applyBorder="1"/>
    <xf numFmtId="3" fontId="18" fillId="0" borderId="19" xfId="0" applyNumberFormat="1" applyFont="1" applyBorder="1"/>
    <xf numFmtId="3" fontId="18" fillId="0" borderId="18" xfId="0" applyNumberFormat="1" applyFont="1" applyBorder="1"/>
    <xf numFmtId="0" fontId="19" fillId="0" borderId="17" xfId="0" applyFont="1" applyBorder="1"/>
    <xf numFmtId="0" fontId="18" fillId="0" borderId="19" xfId="0" applyFont="1" applyBorder="1"/>
    <xf numFmtId="3" fontId="19" fillId="0" borderId="19" xfId="0" applyNumberFormat="1" applyFont="1" applyBorder="1"/>
    <xf numFmtId="3" fontId="19" fillId="0" borderId="18" xfId="0" applyNumberFormat="1" applyFont="1" applyBorder="1"/>
    <xf numFmtId="0" fontId="16" fillId="11" borderId="20" xfId="5" applyFont="1" applyFill="1" applyBorder="1"/>
    <xf numFmtId="0" fontId="0" fillId="11" borderId="18" xfId="0" applyFill="1" applyBorder="1"/>
    <xf numFmtId="2" fontId="0" fillId="0" borderId="0" xfId="0" applyNumberFormat="1"/>
    <xf numFmtId="3" fontId="13" fillId="0" borderId="0" xfId="4" applyAlignment="1">
      <alignment horizontal="right"/>
    </xf>
    <xf numFmtId="0" fontId="13" fillId="0" borderId="0" xfId="2" applyAlignment="1">
      <alignment horizontal="right" vertical="center"/>
    </xf>
    <xf numFmtId="0" fontId="0" fillId="0" borderId="0" xfId="0" applyAlignment="1">
      <alignment horizontal="right"/>
    </xf>
    <xf numFmtId="167" fontId="0" fillId="0" borderId="0" xfId="0" applyNumberFormat="1"/>
    <xf numFmtId="0" fontId="12" fillId="6" borderId="16" xfId="0" applyFont="1" applyFill="1" applyBorder="1" applyAlignment="1">
      <alignment horizontal="left" wrapText="1"/>
    </xf>
    <xf numFmtId="0" fontId="13" fillId="0" borderId="15" xfId="2" applyBorder="1">
      <alignment horizontal="left" vertical="center"/>
    </xf>
    <xf numFmtId="0" fontId="13" fillId="10" borderId="15" xfId="2" applyFill="1" applyBorder="1">
      <alignment horizontal="left" vertical="center"/>
    </xf>
    <xf numFmtId="0" fontId="12" fillId="10" borderId="15" xfId="0" applyFont="1" applyFill="1" applyBorder="1" applyAlignment="1">
      <alignment horizontal="left"/>
    </xf>
    <xf numFmtId="164" fontId="0" fillId="10" borderId="15" xfId="0" applyNumberFormat="1" applyFill="1" applyBorder="1"/>
    <xf numFmtId="14" fontId="13" fillId="10" borderId="15" xfId="3" applyFill="1" applyBorder="1"/>
    <xf numFmtId="0" fontId="13" fillId="9" borderId="15" xfId="2" applyFill="1" applyBorder="1">
      <alignment horizontal="left" vertical="center"/>
    </xf>
    <xf numFmtId="0" fontId="12" fillId="9" borderId="15" xfId="0" applyFont="1" applyFill="1" applyBorder="1" applyAlignment="1">
      <alignment horizontal="left"/>
    </xf>
    <xf numFmtId="164" fontId="0" fillId="9" borderId="15" xfId="0" applyNumberFormat="1" applyFill="1" applyBorder="1"/>
    <xf numFmtId="14" fontId="13" fillId="9" borderId="15" xfId="3" applyFill="1" applyBorder="1"/>
    <xf numFmtId="0" fontId="13" fillId="8" borderId="15" xfId="2" applyFill="1" applyBorder="1">
      <alignment horizontal="left" vertical="center"/>
    </xf>
    <xf numFmtId="0" fontId="12" fillId="8" borderId="15" xfId="0" applyFont="1" applyFill="1" applyBorder="1" applyAlignment="1">
      <alignment horizontal="left"/>
    </xf>
    <xf numFmtId="164" fontId="0" fillId="8" borderId="15" xfId="0" applyNumberFormat="1" applyFill="1" applyBorder="1"/>
    <xf numFmtId="14" fontId="13" fillId="8" borderId="15" xfId="3" applyFill="1" applyBorder="1"/>
    <xf numFmtId="0" fontId="13" fillId="13" borderId="15" xfId="2" applyFill="1" applyBorder="1">
      <alignment horizontal="left" vertical="center"/>
    </xf>
    <xf numFmtId="0" fontId="12" fillId="13" borderId="15" xfId="0" applyFont="1" applyFill="1" applyBorder="1" applyAlignment="1">
      <alignment horizontal="left"/>
    </xf>
    <xf numFmtId="164" fontId="0" fillId="13" borderId="15" xfId="0" applyNumberFormat="1" applyFill="1" applyBorder="1"/>
    <xf numFmtId="14" fontId="13" fillId="13" borderId="15" xfId="3" applyFill="1" applyBorder="1"/>
    <xf numFmtId="0" fontId="13" fillId="14" borderId="15" xfId="2" applyFill="1" applyBorder="1">
      <alignment horizontal="left" vertical="center"/>
    </xf>
    <xf numFmtId="0" fontId="12" fillId="14" borderId="15" xfId="0" applyFont="1" applyFill="1" applyBorder="1" applyAlignment="1">
      <alignment horizontal="left"/>
    </xf>
    <xf numFmtId="164" fontId="0" fillId="14" borderId="15" xfId="0" applyNumberFormat="1" applyFill="1" applyBorder="1"/>
    <xf numFmtId="14" fontId="13" fillId="14" borderId="15" xfId="3" applyFill="1" applyBorder="1"/>
    <xf numFmtId="0" fontId="13" fillId="15" borderId="15" xfId="2" applyFill="1" applyBorder="1">
      <alignment horizontal="left" vertical="center"/>
    </xf>
    <xf numFmtId="0" fontId="12" fillId="15" borderId="15" xfId="0" applyFont="1" applyFill="1" applyBorder="1" applyAlignment="1">
      <alignment horizontal="left"/>
    </xf>
    <xf numFmtId="164" fontId="0" fillId="15" borderId="15" xfId="0" applyNumberFormat="1" applyFill="1" applyBorder="1"/>
    <xf numFmtId="14" fontId="13" fillId="15" borderId="15" xfId="3" applyFill="1" applyBorder="1"/>
    <xf numFmtId="0" fontId="13" fillId="16" borderId="15" xfId="2" applyFill="1" applyBorder="1">
      <alignment horizontal="left" vertical="center"/>
    </xf>
    <xf numFmtId="3" fontId="0" fillId="0" borderId="0" xfId="0" applyNumberFormat="1"/>
    <xf numFmtId="0" fontId="13" fillId="0" borderId="0" xfId="0" applyFont="1" applyAlignment="1">
      <alignment horizontal="right"/>
    </xf>
    <xf numFmtId="0" fontId="20" fillId="0" borderId="0" xfId="0" applyFont="1" applyAlignment="1">
      <alignment horizontal="right"/>
    </xf>
    <xf numFmtId="0" fontId="12" fillId="6" borderId="17" xfId="0" applyFont="1" applyFill="1" applyBorder="1" applyAlignment="1">
      <alignment horizontal="left"/>
    </xf>
    <xf numFmtId="3" fontId="13" fillId="0" borderId="15" xfId="4" applyBorder="1"/>
    <xf numFmtId="165" fontId="0" fillId="0" borderId="15" xfId="0" applyNumberFormat="1" applyBorder="1"/>
    <xf numFmtId="0" fontId="13" fillId="0" borderId="15" xfId="2" applyFill="1" applyBorder="1">
      <alignment horizontal="left" vertical="center"/>
    </xf>
    <xf numFmtId="14" fontId="13" fillId="0" borderId="15" xfId="3" applyFill="1" applyBorder="1"/>
    <xf numFmtId="3" fontId="13" fillId="0" borderId="15" xfId="4" applyFill="1" applyBorder="1" applyAlignment="1">
      <alignment horizontal="right"/>
    </xf>
    <xf numFmtId="165" fontId="0" fillId="0" borderId="15" xfId="0" applyNumberFormat="1" applyFill="1" applyBorder="1" applyAlignment="1">
      <alignment horizontal="right"/>
    </xf>
    <xf numFmtId="165" fontId="13" fillId="0" borderId="15" xfId="2" applyNumberFormat="1" applyFill="1" applyBorder="1" applyAlignment="1">
      <alignment horizontal="right" vertical="center"/>
    </xf>
    <xf numFmtId="3" fontId="13" fillId="0" borderId="15" xfId="2" applyNumberFormat="1" applyFill="1" applyBorder="1" applyAlignment="1">
      <alignment horizontal="right" vertical="center"/>
    </xf>
    <xf numFmtId="3" fontId="13" fillId="0" borderId="15" xfId="4" applyNumberFormat="1" applyFill="1" applyBorder="1" applyAlignment="1">
      <alignment horizontal="right"/>
    </xf>
    <xf numFmtId="0" fontId="4" fillId="0" borderId="0" xfId="1" applyFont="1" applyFill="1"/>
    <xf numFmtId="165" fontId="13" fillId="0" borderId="15" xfId="2" applyNumberFormat="1" applyBorder="1">
      <alignment horizontal="left" vertical="center"/>
    </xf>
    <xf numFmtId="165" fontId="0" fillId="0" borderId="15" xfId="0" applyNumberFormat="1" applyBorder="1" applyAlignment="1">
      <alignment horizontal="right"/>
    </xf>
    <xf numFmtId="165" fontId="13" fillId="0" borderId="15" xfId="4" applyNumberFormat="1" applyBorder="1" applyAlignment="1">
      <alignment horizontal="right"/>
    </xf>
    <xf numFmtId="165" fontId="13" fillId="0" borderId="15" xfId="2" applyNumberFormat="1" applyBorder="1" applyAlignment="1">
      <alignment horizontal="right" vertical="center"/>
    </xf>
    <xf numFmtId="0" fontId="13" fillId="0" borderId="0" xfId="2" applyFill="1">
      <alignment horizontal="left" vertical="center"/>
    </xf>
    <xf numFmtId="0" fontId="12" fillId="6" borderId="21" xfId="0" applyFont="1" applyFill="1" applyBorder="1" applyAlignment="1">
      <alignment horizontal="left" wrapText="1"/>
    </xf>
    <xf numFmtId="0" fontId="12" fillId="6" borderId="21" xfId="0" applyFont="1" applyFill="1" applyBorder="1" applyAlignment="1">
      <alignment horizontal="right" wrapText="1"/>
    </xf>
    <xf numFmtId="4" fontId="13" fillId="0" borderId="15" xfId="4" applyNumberFormat="1" applyBorder="1"/>
    <xf numFmtId="3" fontId="13" fillId="0" borderId="15" xfId="4" applyBorder="1" applyAlignment="1">
      <alignment horizontal="right"/>
    </xf>
    <xf numFmtId="0" fontId="13" fillId="0" borderId="15" xfId="2" applyBorder="1" applyAlignment="1">
      <alignment horizontal="right" vertical="center"/>
    </xf>
    <xf numFmtId="0" fontId="0" fillId="0" borderId="0" xfId="2" applyFont="1" applyBorder="1">
      <alignment horizontal="left" vertical="center"/>
    </xf>
    <xf numFmtId="0" fontId="21" fillId="12" borderId="17" xfId="0" applyFont="1" applyFill="1" applyBorder="1" applyAlignment="1">
      <alignment horizontal="right"/>
    </xf>
    <xf numFmtId="0" fontId="15" fillId="0" borderId="24" xfId="0" applyFont="1" applyBorder="1" applyAlignment="1">
      <alignment horizontal="left" vertical="center"/>
    </xf>
    <xf numFmtId="3" fontId="15" fillId="0" borderId="24" xfId="0" applyNumberFormat="1" applyFont="1" applyBorder="1"/>
    <xf numFmtId="4" fontId="15" fillId="0" borderId="24" xfId="0" applyNumberFormat="1" applyFont="1" applyBorder="1"/>
    <xf numFmtId="3" fontId="15" fillId="0" borderId="24" xfId="0" applyNumberFormat="1" applyFont="1" applyBorder="1" applyAlignment="1">
      <alignment horizontal="right"/>
    </xf>
    <xf numFmtId="3" fontId="15" fillId="0" borderId="25" xfId="0" applyNumberFormat="1" applyFont="1" applyBorder="1"/>
    <xf numFmtId="0" fontId="12" fillId="6" borderId="22" xfId="0" applyFont="1" applyFill="1" applyBorder="1" applyAlignment="1">
      <alignment horizontal="left"/>
    </xf>
    <xf numFmtId="0" fontId="13" fillId="0" borderId="24" xfId="2" applyBorder="1">
      <alignment horizontal="left" vertical="center"/>
    </xf>
    <xf numFmtId="0" fontId="22" fillId="12" borderId="23" xfId="0" applyFont="1" applyFill="1" applyBorder="1" applyAlignment="1">
      <alignment horizontal="left" vertical="center"/>
    </xf>
    <xf numFmtId="0" fontId="21" fillId="0" borderId="17" xfId="0" applyFont="1" applyBorder="1"/>
    <xf numFmtId="3" fontId="9" fillId="0" borderId="19" xfId="0" applyNumberFormat="1" applyFont="1" applyBorder="1"/>
    <xf numFmtId="3" fontId="9" fillId="0" borderId="18" xfId="0" applyNumberFormat="1" applyFont="1" applyBorder="1"/>
    <xf numFmtId="4" fontId="9" fillId="0" borderId="19" xfId="0" applyNumberFormat="1" applyFont="1" applyBorder="1"/>
    <xf numFmtId="0" fontId="12" fillId="6" borderId="14" xfId="0" applyFont="1" applyFill="1" applyBorder="1" applyAlignment="1">
      <alignment horizontal="center" wrapText="1"/>
    </xf>
    <xf numFmtId="0" fontId="12" fillId="10" borderId="14" xfId="0" applyFont="1" applyFill="1" applyBorder="1" applyAlignment="1">
      <alignment horizontal="left" wrapText="1"/>
    </xf>
    <xf numFmtId="3" fontId="0" fillId="0" borderId="0" xfId="4" applyFont="1" applyBorder="1"/>
    <xf numFmtId="167" fontId="0" fillId="0" borderId="0" xfId="0" applyNumberFormat="1" applyBorder="1"/>
    <xf numFmtId="0" fontId="12" fillId="0" borderId="0" xfId="0" applyFont="1" applyFill="1" applyBorder="1" applyAlignment="1">
      <alignment horizontal="left"/>
    </xf>
    <xf numFmtId="0" fontId="17" fillId="12" borderId="17" xfId="0" applyFont="1" applyFill="1" applyBorder="1" applyAlignment="1">
      <alignment horizontal="right"/>
    </xf>
    <xf numFmtId="0" fontId="21" fillId="12" borderId="23" xfId="2" applyFont="1" applyFill="1" applyBorder="1">
      <alignment horizontal="left" vertical="center"/>
    </xf>
    <xf numFmtId="0" fontId="21" fillId="0" borderId="17" xfId="2" applyFont="1" applyBorder="1">
      <alignment horizontal="left" vertical="center"/>
    </xf>
    <xf numFmtId="3" fontId="9" fillId="0" borderId="19" xfId="4" applyFont="1" applyBorder="1"/>
    <xf numFmtId="3" fontId="9" fillId="0" borderId="18" xfId="4" applyFont="1" applyBorder="1"/>
    <xf numFmtId="4" fontId="9" fillId="0" borderId="19" xfId="4" applyNumberFormat="1" applyFont="1" applyBorder="1"/>
    <xf numFmtId="3" fontId="9" fillId="18" borderId="19" xfId="4" applyFont="1" applyFill="1" applyBorder="1"/>
    <xf numFmtId="0" fontId="21" fillId="12" borderId="18" xfId="0" applyFont="1" applyFill="1" applyBorder="1" applyAlignment="1">
      <alignment horizontal="left"/>
    </xf>
    <xf numFmtId="0" fontId="17" fillId="0" borderId="17" xfId="2" applyFont="1" applyFill="1" applyBorder="1">
      <alignment horizontal="left" vertical="center"/>
    </xf>
    <xf numFmtId="0" fontId="13" fillId="15" borderId="24" xfId="2" applyFill="1" applyBorder="1">
      <alignment horizontal="left" vertical="center"/>
    </xf>
    <xf numFmtId="0" fontId="12" fillId="15" borderId="24" xfId="0" applyFont="1" applyFill="1" applyBorder="1" applyAlignment="1">
      <alignment horizontal="left"/>
    </xf>
    <xf numFmtId="164" fontId="0" fillId="15" borderId="24" xfId="0" applyNumberFormat="1" applyFill="1" applyBorder="1"/>
    <xf numFmtId="14" fontId="13" fillId="15" borderId="24" xfId="3" applyFill="1" applyBorder="1"/>
    <xf numFmtId="164" fontId="0" fillId="16" borderId="15" xfId="0" applyNumberFormat="1" applyFill="1" applyBorder="1"/>
    <xf numFmtId="14" fontId="13" fillId="16" borderId="15" xfId="3" applyFill="1" applyBorder="1"/>
    <xf numFmtId="10" fontId="0" fillId="0" borderId="15" xfId="0" applyNumberFormat="1" applyBorder="1"/>
    <xf numFmtId="0" fontId="0" fillId="16" borderId="15" xfId="2" applyFont="1" applyFill="1" applyBorder="1">
      <alignment horizontal="left" vertical="center"/>
    </xf>
    <xf numFmtId="14" fontId="0" fillId="16" borderId="15" xfId="3" applyFont="1" applyFill="1" applyBorder="1"/>
    <xf numFmtId="0" fontId="12" fillId="8" borderId="21" xfId="0" applyFont="1" applyFill="1" applyBorder="1" applyAlignment="1">
      <alignment horizontal="left" wrapText="1"/>
    </xf>
    <xf numFmtId="0" fontId="12" fillId="9" borderId="21" xfId="0" applyFont="1" applyFill="1" applyBorder="1" applyAlignment="1">
      <alignment horizontal="left" wrapText="1"/>
    </xf>
    <xf numFmtId="0" fontId="12" fillId="10" borderId="21" xfId="0" applyFont="1" applyFill="1" applyBorder="1" applyAlignment="1">
      <alignment horizontal="left" wrapText="1"/>
    </xf>
    <xf numFmtId="166" fontId="12" fillId="10" borderId="21" xfId="0" applyNumberFormat="1" applyFont="1" applyFill="1" applyBorder="1" applyAlignment="1">
      <alignment horizontal="left" wrapText="1"/>
    </xf>
    <xf numFmtId="0" fontId="17" fillId="6" borderId="17" xfId="0" applyFont="1" applyFill="1" applyBorder="1" applyAlignment="1">
      <alignment horizontal="right"/>
    </xf>
    <xf numFmtId="0" fontId="24" fillId="12" borderId="18" xfId="0" applyFont="1" applyFill="1" applyBorder="1" applyAlignment="1">
      <alignment horizontal="left"/>
    </xf>
    <xf numFmtId="3" fontId="9" fillId="0" borderId="26" xfId="0" applyNumberFormat="1" applyFont="1" applyBorder="1"/>
    <xf numFmtId="0" fontId="9" fillId="0" borderId="29" xfId="0" applyFont="1" applyBorder="1"/>
    <xf numFmtId="165" fontId="9" fillId="0" borderId="30" xfId="0" applyNumberFormat="1" applyFont="1" applyBorder="1"/>
    <xf numFmtId="3" fontId="9" fillId="0" borderId="30" xfId="0" applyNumberFormat="1" applyFont="1" applyBorder="1"/>
    <xf numFmtId="165" fontId="9" fillId="0" borderId="31" xfId="0" applyNumberFormat="1" applyFont="1" applyBorder="1"/>
    <xf numFmtId="0" fontId="9" fillId="0" borderId="17" xfId="0" applyFont="1" applyBorder="1"/>
    <xf numFmtId="165" fontId="9" fillId="0" borderId="19" xfId="0" applyNumberFormat="1" applyFont="1" applyBorder="1"/>
    <xf numFmtId="165" fontId="9" fillId="0" borderId="18" xfId="0" applyNumberFormat="1" applyFont="1" applyBorder="1"/>
    <xf numFmtId="0" fontId="14" fillId="6" borderId="21" xfId="0" applyFont="1" applyFill="1" applyBorder="1" applyAlignment="1">
      <alignment horizontal="center" wrapText="1"/>
    </xf>
    <xf numFmtId="0" fontId="16" fillId="12" borderId="17" xfId="0" applyFont="1" applyFill="1" applyBorder="1" applyAlignment="1">
      <alignment horizontal="right"/>
    </xf>
    <xf numFmtId="165" fontId="9" fillId="0" borderId="0" xfId="0" applyNumberFormat="1" applyFont="1"/>
    <xf numFmtId="0" fontId="17" fillId="12" borderId="23" xfId="2" applyFont="1" applyFill="1" applyBorder="1">
      <alignment horizontal="left" vertical="center"/>
    </xf>
    <xf numFmtId="165" fontId="9" fillId="12" borderId="19" xfId="0" applyNumberFormat="1" applyFont="1" applyFill="1" applyBorder="1"/>
    <xf numFmtId="3" fontId="9" fillId="12" borderId="18" xfId="0" applyNumberFormat="1" applyFont="1" applyFill="1" applyBorder="1"/>
    <xf numFmtId="0" fontId="17" fillId="12" borderId="23" xfId="0" applyFont="1" applyFill="1" applyBorder="1" applyAlignment="1">
      <alignment horizontal="left"/>
    </xf>
    <xf numFmtId="0" fontId="9" fillId="12" borderId="17" xfId="0" applyFont="1" applyFill="1" applyBorder="1"/>
    <xf numFmtId="165" fontId="9" fillId="12" borderId="18" xfId="0" applyNumberFormat="1" applyFont="1" applyFill="1" applyBorder="1"/>
    <xf numFmtId="4" fontId="12" fillId="6" borderId="14" xfId="0" applyNumberFormat="1" applyFont="1" applyFill="1" applyBorder="1" applyAlignment="1">
      <alignment horizontal="left" wrapText="1"/>
    </xf>
    <xf numFmtId="4" fontId="0" fillId="0" borderId="0" xfId="0" applyNumberFormat="1" applyAlignment="1">
      <alignment horizontal="right"/>
    </xf>
    <xf numFmtId="4" fontId="13" fillId="0" borderId="0" xfId="2" applyNumberFormat="1" applyAlignment="1">
      <alignment horizontal="right" vertical="center"/>
    </xf>
    <xf numFmtId="0" fontId="16" fillId="12" borderId="13" xfId="0" applyFont="1" applyFill="1" applyBorder="1" applyAlignment="1">
      <alignment horizontal="right"/>
    </xf>
    <xf numFmtId="3" fontId="9" fillId="0" borderId="22" xfId="0" applyNumberFormat="1" applyFont="1" applyBorder="1"/>
    <xf numFmtId="3" fontId="9" fillId="0" borderId="23" xfId="0" applyNumberFormat="1" applyFont="1" applyBorder="1"/>
    <xf numFmtId="0" fontId="16" fillId="12" borderId="16" xfId="0" applyFont="1" applyFill="1" applyBorder="1" applyAlignment="1">
      <alignment horizontal="right"/>
    </xf>
    <xf numFmtId="3" fontId="9" fillId="0" borderId="17" xfId="0" applyNumberFormat="1" applyFont="1" applyBorder="1"/>
    <xf numFmtId="4" fontId="9" fillId="0" borderId="18" xfId="0" applyNumberFormat="1" applyFont="1" applyBorder="1"/>
    <xf numFmtId="165" fontId="0" fillId="0" borderId="0" xfId="0" applyNumberFormat="1" applyAlignment="1">
      <alignment horizontal="right"/>
    </xf>
    <xf numFmtId="165" fontId="13" fillId="0" borderId="0" xfId="2" applyNumberFormat="1" applyAlignment="1">
      <alignment horizontal="right" vertical="center"/>
    </xf>
    <xf numFmtId="0" fontId="21" fillId="12" borderId="18" xfId="0" applyFont="1" applyFill="1" applyBorder="1"/>
    <xf numFmtId="0" fontId="9" fillId="0" borderId="0" xfId="0" applyFont="1" applyAlignment="1">
      <alignment horizontal="right"/>
    </xf>
    <xf numFmtId="4" fontId="9" fillId="0" borderId="0" xfId="0" applyNumberFormat="1" applyFont="1"/>
    <xf numFmtId="0" fontId="12" fillId="12" borderId="13" xfId="0" applyFont="1" applyFill="1" applyBorder="1" applyAlignment="1">
      <alignment wrapText="1"/>
    </xf>
    <xf numFmtId="0" fontId="12" fillId="12" borderId="17" xfId="0" applyFont="1" applyFill="1" applyBorder="1" applyAlignment="1">
      <alignment horizontal="right"/>
    </xf>
    <xf numFmtId="0" fontId="12" fillId="0" borderId="32" xfId="0" applyFont="1" applyBorder="1" applyAlignment="1">
      <alignment horizontal="right"/>
    </xf>
    <xf numFmtId="168" fontId="0" fillId="0" borderId="33" xfId="0" applyNumberFormat="1" applyBorder="1"/>
    <xf numFmtId="168" fontId="0" fillId="12" borderId="27" xfId="0" applyNumberFormat="1" applyFill="1" applyBorder="1"/>
    <xf numFmtId="168" fontId="0" fillId="12" borderId="28" xfId="0" applyNumberFormat="1" applyFill="1" applyBorder="1"/>
    <xf numFmtId="0" fontId="0" fillId="0" borderId="0" xfId="0" applyFill="1" applyBorder="1"/>
    <xf numFmtId="0" fontId="13" fillId="0" borderId="32" xfId="2" applyFill="1" applyBorder="1">
      <alignment horizontal="left" vertical="center"/>
    </xf>
    <xf numFmtId="0" fontId="13" fillId="0" borderId="0" xfId="2" applyFill="1" applyBorder="1">
      <alignment horizontal="left" vertical="center"/>
    </xf>
    <xf numFmtId="0" fontId="13" fillId="0" borderId="34" xfId="2" applyFill="1" applyBorder="1">
      <alignment horizontal="left" vertical="center"/>
    </xf>
    <xf numFmtId="0" fontId="13" fillId="0" borderId="32" xfId="2" applyBorder="1">
      <alignment horizontal="left" vertical="center"/>
    </xf>
    <xf numFmtId="0" fontId="13" fillId="0" borderId="0" xfId="2" applyBorder="1">
      <alignment horizontal="left" vertical="center"/>
    </xf>
    <xf numFmtId="0" fontId="13" fillId="0" borderId="34" xfId="2" applyBorder="1">
      <alignment horizontal="left" vertical="center"/>
    </xf>
    <xf numFmtId="0" fontId="13" fillId="0" borderId="29" xfId="2" applyBorder="1">
      <alignment horizontal="left" vertical="center"/>
    </xf>
    <xf numFmtId="0" fontId="13" fillId="0" borderId="30" xfId="2" applyBorder="1">
      <alignment horizontal="left" vertical="center"/>
    </xf>
    <xf numFmtId="0" fontId="13" fillId="0" borderId="31" xfId="2" applyBorder="1">
      <alignment horizontal="left" vertical="center"/>
    </xf>
    <xf numFmtId="3" fontId="13" fillId="0" borderId="32" xfId="4" applyBorder="1"/>
    <xf numFmtId="165" fontId="0" fillId="0" borderId="0" xfId="0" applyNumberFormat="1" applyBorder="1"/>
    <xf numFmtId="0" fontId="13" fillId="17" borderId="0" xfId="2" applyFill="1" applyBorder="1">
      <alignment horizontal="left" vertical="center"/>
    </xf>
    <xf numFmtId="3" fontId="13" fillId="0" borderId="0" xfId="4" applyBorder="1"/>
    <xf numFmtId="165" fontId="0" fillId="0" borderId="34" xfId="0" applyNumberFormat="1" applyBorder="1"/>
    <xf numFmtId="0" fontId="13" fillId="17" borderId="32" xfId="2" applyFill="1" applyBorder="1">
      <alignment horizontal="left" vertical="center"/>
    </xf>
    <xf numFmtId="0" fontId="13" fillId="17" borderId="34" xfId="2" applyFill="1" applyBorder="1">
      <alignment horizontal="left" vertical="center"/>
    </xf>
    <xf numFmtId="3" fontId="13" fillId="17" borderId="32" xfId="4" applyFill="1" applyBorder="1"/>
    <xf numFmtId="165" fontId="0" fillId="17" borderId="0" xfId="0" applyNumberFormat="1" applyFill="1" applyBorder="1"/>
    <xf numFmtId="3" fontId="13" fillId="17" borderId="0" xfId="4" applyFill="1" applyBorder="1"/>
    <xf numFmtId="165" fontId="0" fillId="17" borderId="34" xfId="0" applyNumberFormat="1" applyFill="1" applyBorder="1"/>
    <xf numFmtId="165" fontId="13" fillId="17" borderId="0" xfId="0" applyNumberFormat="1" applyFont="1" applyFill="1" applyBorder="1"/>
    <xf numFmtId="3" fontId="13" fillId="0" borderId="29" xfId="4" applyBorder="1"/>
    <xf numFmtId="165" fontId="0" fillId="0" borderId="30" xfId="0" applyNumberFormat="1" applyBorder="1"/>
    <xf numFmtId="3" fontId="13" fillId="0" borderId="30" xfId="4" applyBorder="1"/>
    <xf numFmtId="165" fontId="0" fillId="0" borderId="31" xfId="0" applyNumberFormat="1" applyBorder="1"/>
    <xf numFmtId="1" fontId="9" fillId="0" borderId="0" xfId="0" applyNumberFormat="1" applyFont="1"/>
    <xf numFmtId="0" fontId="16" fillId="12" borderId="16" xfId="0" applyFont="1" applyFill="1" applyBorder="1" applyAlignment="1">
      <alignment wrapText="1"/>
    </xf>
    <xf numFmtId="0" fontId="16" fillId="6" borderId="16" xfId="0" applyFont="1" applyFill="1" applyBorder="1" applyAlignment="1">
      <alignment horizontal="left" wrapText="1"/>
    </xf>
    <xf numFmtId="0" fontId="16" fillId="0" borderId="16" xfId="0" applyFont="1" applyBorder="1" applyAlignment="1">
      <alignment horizontal="right"/>
    </xf>
    <xf numFmtId="168" fontId="0" fillId="0" borderId="26" xfId="0" applyNumberFormat="1" applyFont="1" applyBorder="1"/>
    <xf numFmtId="168" fontId="0" fillId="0" borderId="23" xfId="0" applyNumberFormat="1" applyFont="1" applyBorder="1"/>
    <xf numFmtId="168" fontId="0" fillId="12" borderId="17" xfId="0" applyNumberFormat="1" applyFont="1" applyFill="1" applyBorder="1"/>
    <xf numFmtId="168" fontId="0" fillId="12" borderId="19" xfId="0" applyNumberFormat="1" applyFont="1" applyFill="1" applyBorder="1"/>
    <xf numFmtId="168" fontId="0" fillId="12" borderId="18" xfId="0" applyNumberFormat="1" applyFont="1" applyFill="1" applyBorder="1"/>
    <xf numFmtId="0" fontId="16" fillId="0" borderId="21" xfId="0" applyFont="1" applyBorder="1" applyAlignment="1">
      <alignment horizontal="right"/>
    </xf>
    <xf numFmtId="168" fontId="0" fillId="0" borderId="0" xfId="0" applyNumberFormat="1" applyFont="1" applyBorder="1"/>
    <xf numFmtId="168" fontId="0" fillId="0" borderId="34" xfId="0" applyNumberFormat="1" applyFont="1" applyBorder="1"/>
    <xf numFmtId="0" fontId="16" fillId="0" borderId="0" xfId="0" applyFont="1" applyFill="1" applyBorder="1" applyAlignment="1">
      <alignment horizontal="right"/>
    </xf>
    <xf numFmtId="0" fontId="0" fillId="0" borderId="0" xfId="0" applyFont="1"/>
    <xf numFmtId="0" fontId="12" fillId="12" borderId="12" xfId="0" applyFont="1" applyFill="1" applyBorder="1" applyAlignment="1">
      <alignment horizontal="left"/>
    </xf>
    <xf numFmtId="3" fontId="13" fillId="0" borderId="0" xfId="4" applyFill="1"/>
    <xf numFmtId="4" fontId="0" fillId="0" borderId="0" xfId="0" applyNumberFormat="1" applyFill="1"/>
    <xf numFmtId="3" fontId="13" fillId="0" borderId="0" xfId="4" applyNumberFormat="1"/>
    <xf numFmtId="0" fontId="21" fillId="12" borderId="23" xfId="0" applyFont="1" applyFill="1" applyBorder="1" applyAlignment="1">
      <alignment horizontal="left"/>
    </xf>
    <xf numFmtId="3" fontId="9" fillId="0" borderId="0" xfId="0" applyNumberFormat="1" applyFont="1"/>
    <xf numFmtId="169" fontId="9" fillId="0" borderId="19" xfId="0" applyNumberFormat="1" applyFont="1" applyBorder="1"/>
    <xf numFmtId="169" fontId="9" fillId="0" borderId="18" xfId="0" applyNumberFormat="1" applyFont="1" applyBorder="1"/>
    <xf numFmtId="0" fontId="1" fillId="0" borderId="0" xfId="1" applyFill="1"/>
    <xf numFmtId="0" fontId="1" fillId="0" borderId="0" xfId="1"/>
  </cellXfs>
  <cellStyles count="6">
    <cellStyle name="Hyperlink" xfId="1" builtinId="8"/>
    <cellStyle name="Normal" xfId="0" builtinId="0"/>
    <cellStyle name="Normal 2 2 2" xfId="5" xr:uid="{6780CC80-46C7-4207-8B3D-4CBCFB71BFFC}"/>
    <cellStyle name="sInteger" xfId="4" xr:uid="{5F69F290-21B7-4877-A203-8500B159E6F3}"/>
    <cellStyle name="sShortDate" xfId="3" xr:uid="{7B0CB5CC-68DB-4F4A-B30D-36D69FA81140}"/>
    <cellStyle name="sText" xfId="2" xr:uid="{03FE7646-5A72-4D27-84DD-6289577DD776}"/>
  </cellStyles>
  <dxfs count="274">
    <dxf>
      <border diagonalUp="0" diagonalDown="0"/>
    </dxf>
    <dxf>
      <border diagonalUp="0" diagonalDown="0">
        <left style="medium">
          <color indexed="64"/>
        </left>
      </border>
    </dxf>
    <dxf>
      <border diagonalUp="0" diagonalDown="0"/>
    </dxf>
    <dxf>
      <border diagonalUp="0" diagonalDown="0">
        <left style="medium">
          <color indexed="64"/>
        </left>
      </border>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fill>
        <patternFill patternType="solid">
          <fgColor indexed="64"/>
          <bgColor theme="1"/>
        </patternFill>
      </fill>
      <border diagonalUp="0" diagonalDown="0">
        <left style="medium">
          <color indexed="64"/>
        </left>
      </border>
    </dxf>
    <dxf>
      <border diagonalUp="0" diagonalDown="0"/>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border diagonalUp="0" diagonalDown="0">
        <left style="medium">
          <color indexed="64"/>
        </left>
      </border>
    </dxf>
    <dxf>
      <border outline="0">
        <top style="medium">
          <color auto="1"/>
        </top>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9" tint="0.79998168889431442"/>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numFmt numFmtId="165" formatCode="&quot;$&quot;#,##0"/>
      <alignment horizontal="right" vertical="bottom" textRotation="0" wrapText="0" indent="0" justifyLastLine="0" shrinkToFit="0" readingOrder="0"/>
    </dxf>
    <dxf>
      <numFmt numFmtId="165" formatCode="&quot;$&quot;#,##0"/>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border outline="0">
        <top style="medium">
          <color auto="1"/>
        </top>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numFmt numFmtId="4" formatCode="#,##0.00"/>
      <alignment horizontal="right" textRotation="0" wrapText="0" indent="0" justifyLastLine="0" shrinkToFit="0" readingOrder="0"/>
    </dxf>
    <dxf>
      <numFmt numFmtId="4" formatCode="#,##0.00"/>
      <alignment horizontal="right" textRotation="0" wrapText="0" indent="0" justifyLastLine="0" shrinkToFit="0" readingOrder="0"/>
    </dxf>
    <dxf>
      <alignment horizontal="right" textRotation="0" wrapText="0" indent="0" justifyLastLine="0" shrinkToFit="0" readingOrder="0"/>
    </dxf>
    <dxf>
      <numFmt numFmtId="4" formatCode="#,##0.00"/>
      <alignment horizontal="right" textRotation="0" wrapText="0" indent="0" justifyLastLine="0" shrinkToFit="0" readingOrder="0"/>
    </dxf>
    <dxf>
      <numFmt numFmtId="4" formatCode="#,##0.00"/>
      <alignment horizontal="right" textRotation="0" wrapText="0" indent="0" justifyLastLine="0" shrinkToFit="0" readingOrder="0"/>
    </dxf>
    <dxf>
      <alignment horizontal="right" textRotation="0" wrapText="0" indent="0" justifyLastLine="0" shrinkToFit="0" readingOrder="0"/>
    </dxf>
    <dxf>
      <numFmt numFmtId="4" formatCode="#,##0.00"/>
      <alignment horizontal="right" textRotation="0" wrapText="0" indent="0" justifyLastLine="0" shrinkToFit="0" readingOrder="0"/>
    </dxf>
    <dxf>
      <numFmt numFmtId="4" formatCode="#,##0.00"/>
      <alignment horizontal="right" textRotation="0" wrapText="0" indent="0" justifyLastLine="0" shrinkToFit="0" readingOrder="0"/>
    </dxf>
    <dxf>
      <alignment horizontal="right" textRotation="0" wrapText="0" indent="0" justifyLastLine="0" shrinkToFit="0" readingOrder="0"/>
    </dxf>
    <dxf>
      <numFmt numFmtId="4" formatCode="#,##0.00"/>
      <alignment horizontal="right" textRotation="0" wrapText="0" indent="0" justifyLastLine="0" shrinkToFit="0" readingOrder="0"/>
    </dxf>
    <dxf>
      <numFmt numFmtId="4" formatCode="#,##0.00"/>
      <alignment horizontal="right" textRotation="0" wrapText="0" indent="0" justifyLastLine="0" shrinkToFit="0" readingOrder="0"/>
    </dxf>
    <dxf>
      <alignment horizontal="right" textRotation="0" wrapText="0" indent="0" justifyLastLine="0" shrinkToFit="0" readingOrder="0"/>
    </dxf>
    <dxf>
      <numFmt numFmtId="4" formatCode="#,##0.00"/>
      <alignment horizontal="right" textRotation="0" wrapText="0" indent="0" justifyLastLine="0" shrinkToFit="0" readingOrder="0"/>
    </dxf>
    <dxf>
      <numFmt numFmtId="4" formatCode="#,##0.00"/>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border outline="0">
        <top style="medium">
          <color auto="1"/>
        </top>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border diagonalUp="0" diagonalDown="0">
        <left style="thin">
          <color auto="1"/>
        </left>
        <right style="thin">
          <color auto="1"/>
        </right>
        <top style="thin">
          <color auto="1"/>
        </top>
        <bottom style="thin">
          <color auto="1"/>
        </bottom>
        <vertical/>
        <horizontal/>
      </border>
    </dxf>
    <dxf>
      <numFmt numFmtId="165" formatCode="&quot;$&quot;#,##0"/>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border outline="0">
        <top style="medium">
          <color auto="1"/>
        </top>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numFmt numFmtId="165" formatCode="&quot;$&quot;#,##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border outline="0">
        <top style="medium">
          <color auto="1"/>
        </top>
      </border>
    </dxf>
    <dxf>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border diagonalUp="0" diagonalDown="0">
        <left style="thin">
          <color auto="1"/>
        </left>
        <right style="thin">
          <color auto="1"/>
        </right>
        <top style="thin">
          <color auto="1"/>
        </top>
        <bottom style="thin">
          <color auto="1"/>
        </bottom>
        <vertical/>
        <horizontal/>
      </border>
    </dxf>
    <dxf>
      <numFmt numFmtId="165" formatCode="&quot;$&quot;#,##0"/>
      <border diagonalUp="0" diagonalDown="0">
        <left style="thin">
          <color auto="1"/>
        </left>
        <right style="thin">
          <color auto="1"/>
        </right>
        <top style="thin">
          <color auto="1"/>
        </top>
        <bottom style="thin">
          <color auto="1"/>
        </bottom>
        <vertical/>
        <horizontal/>
      </border>
    </dxf>
    <dxf>
      <numFmt numFmtId="165" formatCode="&quot;$&quot;#,##0"/>
      <border diagonalUp="0" diagonalDown="0">
        <left style="thin">
          <color auto="1"/>
        </left>
        <right style="thin">
          <color auto="1"/>
        </right>
        <top style="thin">
          <color auto="1"/>
        </top>
        <bottom style="thin">
          <color auto="1"/>
        </bottom>
        <vertical/>
        <horizontal/>
      </border>
    </dxf>
    <dxf>
      <numFmt numFmtId="165" formatCode="&quot;$&quot;#,##0"/>
      <border diagonalUp="0" diagonalDown="0">
        <left style="thin">
          <color auto="1"/>
        </left>
        <right style="thin">
          <color auto="1"/>
        </right>
        <top style="thin">
          <color auto="1"/>
        </top>
        <bottom style="thin">
          <color auto="1"/>
        </bottom>
        <vertical/>
        <horizontal/>
      </border>
    </dxf>
    <dxf>
      <numFmt numFmtId="165" formatCode="&quot;$&quot;#,##0"/>
      <border diagonalUp="0" diagonalDown="0">
        <left style="thin">
          <color auto="1"/>
        </left>
        <right style="thin">
          <color auto="1"/>
        </right>
        <top style="thin">
          <color auto="1"/>
        </top>
        <bottom style="thin">
          <color auto="1"/>
        </bottom>
        <vertical/>
        <horizontal/>
      </border>
    </dxf>
    <dxf>
      <numFmt numFmtId="165" formatCode="&quot;$&quot;#,##0"/>
      <border diagonalUp="0" diagonalDown="0">
        <left style="thin">
          <color auto="1"/>
        </left>
        <right style="thin">
          <color auto="1"/>
        </right>
        <top style="thin">
          <color auto="1"/>
        </top>
        <bottom style="thin">
          <color auto="1"/>
        </bottom>
        <vertical/>
        <horizontal/>
      </border>
    </dxf>
    <dxf>
      <numFmt numFmtId="165" formatCode="&quot;$&quot;#,##0"/>
      <border diagonalUp="0" diagonalDown="0">
        <left style="thin">
          <color auto="1"/>
        </left>
        <right style="thin">
          <color auto="1"/>
        </right>
        <top style="thin">
          <color auto="1"/>
        </top>
        <bottom style="thin">
          <color auto="1"/>
        </bottom>
        <vertical/>
        <horizontal/>
      </border>
    </dxf>
    <dxf>
      <numFmt numFmtId="165" formatCode="&quot;$&quot;#,##0"/>
      <border diagonalUp="0" diagonalDown="0">
        <left style="thin">
          <color auto="1"/>
        </left>
        <right style="thin">
          <color auto="1"/>
        </right>
        <top style="thin">
          <color auto="1"/>
        </top>
        <bottom style="thin">
          <color auto="1"/>
        </bottom>
        <vertical/>
        <horizontal/>
      </border>
    </dxf>
    <dxf>
      <numFmt numFmtId="165" formatCode="&quot;$&quot;#,##0"/>
      <border diagonalUp="0" diagonalDown="0">
        <left style="thin">
          <color auto="1"/>
        </left>
        <right style="thin">
          <color auto="1"/>
        </right>
        <top style="thin">
          <color auto="1"/>
        </top>
        <bottom style="thin">
          <color auto="1"/>
        </bottom>
        <vertical/>
        <horizontal/>
      </border>
    </dxf>
    <dxf>
      <numFmt numFmtId="165" formatCode="&quot;$&quot;#,##0"/>
      <border diagonalUp="0" diagonalDown="0">
        <left style="thin">
          <color auto="1"/>
        </left>
        <right style="thin">
          <color auto="1"/>
        </right>
        <top style="thin">
          <color auto="1"/>
        </top>
        <bottom style="thin">
          <color auto="1"/>
        </bottom>
        <vertical/>
        <horizontal/>
      </border>
    </dxf>
    <dxf>
      <numFmt numFmtId="165" formatCode="&quot;$&quot;#,##0"/>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border outline="0">
        <top style="medium">
          <color auto="1"/>
        </top>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fill>
        <patternFill patternType="none">
          <fgColor indexed="64"/>
          <bgColor indexed="65"/>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fill>
        <patternFill patternType="none">
          <fgColor indexed="64"/>
          <bgColor indexed="65"/>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fill>
        <patternFill patternType="none">
          <fgColor indexed="64"/>
          <bgColor indexed="65"/>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fill>
        <patternFill patternType="none">
          <fgColor indexed="64"/>
          <bgColor indexed="65"/>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fill>
        <patternFill patternType="none">
          <fgColor indexed="64"/>
          <bgColor indexed="65"/>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fill>
        <patternFill patternType="none">
          <fgColor indexed="64"/>
          <bgColor indexed="65"/>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border outline="0">
        <top style="medium">
          <color auto="1"/>
        </top>
      </border>
    </dxf>
    <dxf>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9" tint="0.79998168889431442"/>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fill>
        <patternFill patternType="solid">
          <fgColor indexed="64"/>
          <bgColor theme="2" tint="-0.499984740745262"/>
        </patternFill>
      </fill>
      <border diagonalUp="0" diagonalDown="0">
        <left style="thin">
          <color auto="1"/>
        </left>
        <right style="thin">
          <color auto="1"/>
        </right>
        <top style="thin">
          <color auto="1"/>
        </top>
        <bottom style="thin">
          <color auto="1"/>
        </bottom>
        <vertical/>
        <horizontal/>
      </border>
    </dxf>
    <dxf>
      <fill>
        <patternFill patternType="solid">
          <fgColor indexed="64"/>
          <bgColor theme="4" tint="0.79998168889431442"/>
        </patternFill>
      </fill>
      <border diagonalUp="0" diagonalDown="0">
        <left style="thin">
          <color auto="1"/>
        </left>
        <right style="thin">
          <color auto="1"/>
        </right>
        <top style="thin">
          <color auto="1"/>
        </top>
        <bottom style="thin">
          <color auto="1"/>
        </bottom>
        <vertical/>
        <horizontal/>
      </border>
    </dxf>
    <dxf>
      <fill>
        <patternFill patternType="solid">
          <fgColor indexed="64"/>
          <bgColor theme="2" tint="-0.499984740745262"/>
        </patternFill>
      </fill>
      <border diagonalUp="0" diagonalDown="0">
        <left style="thin">
          <color auto="1"/>
        </left>
        <right style="thin">
          <color auto="1"/>
        </right>
        <top style="thin">
          <color auto="1"/>
        </top>
        <bottom style="thin">
          <color auto="1"/>
        </bottom>
        <vertical/>
        <horizontal/>
      </border>
    </dxf>
    <dxf>
      <numFmt numFmtId="164" formatCode="#,##0.0000"/>
      <fill>
        <patternFill patternType="solid">
          <fgColor indexed="64"/>
          <bgColor theme="4" tint="0.79998168889431442"/>
        </patternFill>
      </fill>
      <border diagonalUp="0" diagonalDown="0">
        <left style="thin">
          <color auto="1"/>
        </left>
        <right style="thin">
          <color auto="1"/>
        </right>
        <top style="thin">
          <color auto="1"/>
        </top>
        <bottom style="thin">
          <color auto="1"/>
        </bottom>
        <vertical/>
        <horizontal/>
      </border>
    </dxf>
    <dxf>
      <fill>
        <patternFill patternType="solid">
          <fgColor indexed="64"/>
          <bgColor theme="2" tint="-0.499984740745262"/>
        </patternFill>
      </fill>
      <border diagonalUp="0" diagonalDown="0">
        <left style="thin">
          <color auto="1"/>
        </left>
        <right style="thin">
          <color auto="1"/>
        </right>
        <top style="thin">
          <color auto="1"/>
        </top>
        <bottom style="thin">
          <color auto="1"/>
        </bottom>
        <vertical/>
        <horizontal/>
      </border>
    </dxf>
    <dxf>
      <numFmt numFmtId="164" formatCode="#,##0.0000"/>
      <fill>
        <patternFill patternType="solid">
          <fgColor indexed="64"/>
          <bgColor theme="4" tint="0.79998168889431442"/>
        </patternFill>
      </fill>
      <border diagonalUp="0" diagonalDown="0">
        <left style="thin">
          <color auto="1"/>
        </left>
        <right style="thin">
          <color auto="1"/>
        </right>
        <top style="thin">
          <color auto="1"/>
        </top>
        <bottom style="thin">
          <color auto="1"/>
        </bottom>
        <vertical/>
        <horizontal/>
      </border>
    </dxf>
    <dxf>
      <fill>
        <patternFill patternType="solid">
          <fgColor indexed="64"/>
          <bgColor theme="2" tint="-0.499984740745262"/>
        </patternFill>
      </fill>
      <border diagonalUp="0" diagonalDown="0">
        <left style="thin">
          <color auto="1"/>
        </left>
        <right style="thin">
          <color auto="1"/>
        </right>
        <top style="thin">
          <color auto="1"/>
        </top>
        <bottom style="thin">
          <color auto="1"/>
        </bottom>
        <vertical/>
        <horizontal/>
      </border>
    </dxf>
    <dxf>
      <fill>
        <patternFill patternType="solid">
          <fgColor indexed="64"/>
          <bgColor theme="4" tint="0.79998168889431442"/>
        </patternFill>
      </fill>
      <border diagonalUp="0" diagonalDown="0">
        <left style="thin">
          <color auto="1"/>
        </left>
        <right style="thin">
          <color auto="1"/>
        </right>
        <top style="thin">
          <color auto="1"/>
        </top>
        <bottom style="thin">
          <color auto="1"/>
        </bottom>
        <vertical/>
        <horizontal/>
      </border>
    </dxf>
    <dxf>
      <fill>
        <patternFill patternType="solid">
          <fgColor indexed="64"/>
          <bgColor theme="4" tint="0.79998168889431442"/>
        </patternFill>
      </fill>
      <border diagonalUp="0" diagonalDown="0">
        <left style="thin">
          <color auto="1"/>
        </left>
        <right style="thin">
          <color auto="1"/>
        </right>
        <top style="thin">
          <color auto="1"/>
        </top>
        <bottom style="thin">
          <color auto="1"/>
        </bottom>
        <vertical/>
        <horizontal/>
      </border>
    </dxf>
    <dxf>
      <numFmt numFmtId="164" formatCode="#,##0.0000"/>
      <fill>
        <patternFill patternType="solid">
          <fgColor indexed="64"/>
          <bgColor theme="4" tint="0.79998168889431442"/>
        </patternFill>
      </fill>
      <border diagonalUp="0" diagonalDown="0">
        <left style="thin">
          <color auto="1"/>
        </left>
        <right style="thin">
          <color auto="1"/>
        </right>
        <top style="thin">
          <color auto="1"/>
        </top>
        <bottom style="thin">
          <color auto="1"/>
        </bottom>
        <vertical/>
        <horizontal/>
      </border>
    </dxf>
    <dxf>
      <fill>
        <patternFill patternType="solid">
          <fgColor indexed="64"/>
          <bgColor theme="4" tint="0.79998168889431442"/>
        </patternFill>
      </fill>
      <border diagonalUp="0" diagonalDown="0">
        <left style="thin">
          <color auto="1"/>
        </left>
        <right style="thin">
          <color auto="1"/>
        </right>
        <top style="thin">
          <color auto="1"/>
        </top>
        <bottom style="thin">
          <color auto="1"/>
        </bottom>
        <vertical/>
        <horizontal/>
      </border>
    </dxf>
    <dxf>
      <numFmt numFmtId="164" formatCode="#,##0.0000"/>
      <fill>
        <patternFill patternType="solid">
          <fgColor indexed="64"/>
          <bgColor theme="4" tint="0.79998168889431442"/>
        </patternFill>
      </fill>
      <border diagonalUp="0" diagonalDown="0">
        <left style="thin">
          <color auto="1"/>
        </left>
        <right style="thin">
          <color auto="1"/>
        </right>
        <top style="thin">
          <color auto="1"/>
        </top>
        <bottom style="thin">
          <color auto="1"/>
        </bottom>
        <vertical/>
        <horizontal/>
      </border>
    </dxf>
    <dxf>
      <fill>
        <patternFill patternType="solid">
          <fgColor indexed="64"/>
          <bgColor theme="4" tint="0.79998168889431442"/>
        </patternFill>
      </fill>
      <border diagonalUp="0" diagonalDown="0">
        <left style="thin">
          <color auto="1"/>
        </left>
        <right style="thin">
          <color auto="1"/>
        </right>
        <top style="thin">
          <color auto="1"/>
        </top>
        <bottom style="thin">
          <color auto="1"/>
        </bottom>
        <vertical/>
        <horizontal/>
      </border>
    </dxf>
    <dxf>
      <fill>
        <patternFill patternType="solid">
          <fgColor indexed="64"/>
          <bgColor theme="4" tint="0.79998168889431442"/>
        </patternFill>
      </fill>
      <border diagonalUp="0" diagonalDown="0">
        <left style="thin">
          <color auto="1"/>
        </left>
        <right style="thin">
          <color auto="1"/>
        </right>
        <top style="thin">
          <color auto="1"/>
        </top>
        <bottom style="thin">
          <color auto="1"/>
        </bottom>
        <vertical/>
        <horizontal/>
      </border>
    </dxf>
    <dxf>
      <fill>
        <patternFill patternType="solid">
          <fgColor indexed="64"/>
          <bgColor theme="4" tint="0.79998168889431442"/>
        </patternFill>
      </fill>
      <border diagonalUp="0" diagonalDown="0">
        <left style="thin">
          <color auto="1"/>
        </left>
        <right style="thin">
          <color auto="1"/>
        </right>
        <top style="thin">
          <color auto="1"/>
        </top>
        <bottom style="thin">
          <color auto="1"/>
        </bottom>
        <vertical/>
        <horizontal/>
      </border>
    </dxf>
    <dxf>
      <numFmt numFmtId="164" formatCode="#,##0.0000"/>
      <fill>
        <patternFill patternType="solid">
          <fgColor indexed="64"/>
          <bgColor theme="4" tint="0.79998168889431442"/>
        </patternFill>
      </fill>
      <border diagonalUp="0" diagonalDown="0">
        <left style="thin">
          <color auto="1"/>
        </left>
        <right style="thin">
          <color auto="1"/>
        </right>
        <top style="thin">
          <color auto="1"/>
        </top>
        <bottom style="thin">
          <color auto="1"/>
        </bottom>
        <vertical/>
        <horizontal/>
      </border>
    </dxf>
    <dxf>
      <fill>
        <patternFill patternType="solid">
          <fgColor indexed="64"/>
          <bgColor theme="4" tint="0.79998168889431442"/>
        </patternFill>
      </fill>
      <border diagonalUp="0" diagonalDown="0">
        <left style="thin">
          <color auto="1"/>
        </left>
        <right style="thin">
          <color auto="1"/>
        </right>
        <top style="thin">
          <color auto="1"/>
        </top>
        <bottom style="thin">
          <color auto="1"/>
        </bottom>
        <vertical/>
        <horizontal/>
      </border>
    </dxf>
    <dxf>
      <numFmt numFmtId="164" formatCode="#,##0.0000"/>
      <fill>
        <patternFill patternType="solid">
          <fgColor indexed="64"/>
          <bgColor theme="4" tint="0.79998168889431442"/>
        </patternFill>
      </fill>
      <border diagonalUp="0" diagonalDown="0">
        <left style="thin">
          <color auto="1"/>
        </left>
        <right style="thin">
          <color auto="1"/>
        </right>
        <top style="thin">
          <color auto="1"/>
        </top>
        <bottom style="thin">
          <color auto="1"/>
        </bottom>
        <vertical/>
        <horizontal/>
      </border>
    </dxf>
    <dxf>
      <fill>
        <patternFill patternType="solid">
          <fgColor indexed="64"/>
          <bgColor theme="4" tint="0.79998168889431442"/>
        </patternFill>
      </fill>
      <border diagonalUp="0" diagonalDown="0">
        <left style="thin">
          <color auto="1"/>
        </left>
        <right style="thin">
          <color auto="1"/>
        </right>
        <top style="thin">
          <color auto="1"/>
        </top>
        <bottom style="thin">
          <color auto="1"/>
        </bottom>
        <vertical/>
        <horizontal/>
      </border>
    </dxf>
    <dxf>
      <fill>
        <patternFill patternType="solid">
          <fgColor indexed="64"/>
          <bgColor theme="4" tint="0.79998168889431442"/>
        </patternFill>
      </fill>
      <border diagonalUp="0" diagonalDown="0">
        <left style="thin">
          <color auto="1"/>
        </left>
        <right style="thin">
          <color auto="1"/>
        </right>
        <top style="thin">
          <color auto="1"/>
        </top>
        <bottom style="thin">
          <color auto="1"/>
        </bottom>
        <vertical/>
        <horizontal/>
      </border>
    </dxf>
    <dxf>
      <fill>
        <patternFill patternType="solid">
          <fgColor indexed="64"/>
          <bgColor theme="4" tint="0.79998168889431442"/>
        </patternFill>
      </fill>
      <border diagonalUp="0" diagonalDown="0">
        <left style="thin">
          <color auto="1"/>
        </left>
        <right style="thin">
          <color auto="1"/>
        </right>
        <top style="thin">
          <color auto="1"/>
        </top>
        <bottom style="thin">
          <color auto="1"/>
        </bottom>
        <vertical/>
        <horizontal/>
      </border>
    </dxf>
    <dxf>
      <fill>
        <patternFill patternType="solid">
          <fgColor indexed="64"/>
          <bgColor theme="4" tint="0.79998168889431442"/>
        </patternFill>
      </fill>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Arial"/>
        <family val="2"/>
        <scheme val="none"/>
      </font>
      <fill>
        <patternFill patternType="solid">
          <fgColor indexed="64"/>
          <bgColor theme="4" tint="0.79998168889431442"/>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4" tint="0.79998168889431442"/>
        </patternFill>
      </fill>
      <border diagonalUp="0" diagonalDown="0">
        <left style="thin">
          <color auto="1"/>
        </left>
        <right style="thin">
          <color auto="1"/>
        </right>
        <top style="thin">
          <color auto="1"/>
        </top>
        <bottom style="thin">
          <color auto="1"/>
        </bottom>
        <vertical/>
        <horizontal/>
      </border>
    </dxf>
    <dxf>
      <border outline="0">
        <top style="medium">
          <color auto="1"/>
        </top>
        <bottom style="thin">
          <color auto="1"/>
        </bottom>
      </border>
    </dxf>
    <dxf>
      <fill>
        <patternFill patternType="solid">
          <fgColor indexed="64"/>
          <bgColor theme="2" tint="-0.499984740745262"/>
        </patternFill>
      </fill>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border outline="0">
        <top style="medium">
          <color auto="1"/>
        </top>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numFmt numFmtId="167" formatCode="0.0"/>
    </dxf>
    <dxf>
      <numFmt numFmtId="167" formatCode="0.0"/>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border outline="0">
        <top style="medium">
          <color auto="1"/>
        </top>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FFFF00"/>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Calibri"/>
        <family val="2"/>
        <scheme val="minor"/>
      </font>
      <numFmt numFmtId="3" formatCode="#,##0"/>
      <border diagonalUp="0" diagonalDown="0" outline="0">
        <left style="thin">
          <color auto="1"/>
        </left>
        <right style="thin">
          <color auto="1"/>
        </right>
        <top style="thin">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border diagonalUp="0" diagonalDown="0" outline="0">
        <left style="thin">
          <color auto="1"/>
        </left>
        <right style="thin">
          <color auto="1"/>
        </right>
        <top style="thin">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border diagonalUp="0" diagonalDown="0" outline="0">
        <left style="thin">
          <color auto="1"/>
        </left>
        <right style="thin">
          <color auto="1"/>
        </right>
        <top style="thin">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style="thin">
          <color auto="1"/>
        </left>
        <right style="thin">
          <color auto="1"/>
        </right>
        <top style="thin">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border diagonalUp="0" diagonalDown="0" outline="0">
        <left style="thin">
          <color auto="1"/>
        </left>
        <right style="thin">
          <color auto="1"/>
        </right>
        <top style="thin">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4" formatCode="#,##0.00"/>
      <border diagonalUp="0" diagonalDown="0" outline="0">
        <left style="thin">
          <color auto="1"/>
        </left>
        <right style="thin">
          <color auto="1"/>
        </right>
        <top style="thin">
          <color auto="1"/>
        </top>
        <bottom/>
      </border>
    </dxf>
    <dxf>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4" formatCode="#,##0.00"/>
      <border diagonalUp="0" diagonalDown="0" outline="0">
        <left style="thin">
          <color auto="1"/>
        </left>
        <right style="thin">
          <color auto="1"/>
        </right>
        <top style="thin">
          <color auto="1"/>
        </top>
        <bottom/>
      </border>
    </dxf>
    <dxf>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border diagonalUp="0" diagonalDown="0" outline="0">
        <left style="thin">
          <color auto="1"/>
        </left>
        <right style="thin">
          <color auto="1"/>
        </right>
        <top style="thin">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border diagonalUp="0" diagonalDown="0" outline="0">
        <left style="thin">
          <color auto="1"/>
        </left>
        <right style="thin">
          <color auto="1"/>
        </right>
        <top style="thin">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border diagonalUp="0" diagonalDown="0" outline="0">
        <left style="thin">
          <color auto="1"/>
        </left>
        <right style="thin">
          <color auto="1"/>
        </right>
        <top style="thin">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border diagonalUp="0" diagonalDown="0" outline="0">
        <left style="thin">
          <color auto="1"/>
        </left>
        <right style="thin">
          <color auto="1"/>
        </right>
        <top style="thin">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4" formatCode="#,##0.00"/>
      <border diagonalUp="0" diagonalDown="0" outline="0">
        <left style="thin">
          <color auto="1"/>
        </left>
        <right style="thin">
          <color auto="1"/>
        </right>
        <top style="thin">
          <color auto="1"/>
        </top>
        <bottom/>
      </border>
    </dxf>
    <dxf>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border diagonalUp="0" diagonalDown="0" outline="0">
        <left style="thin">
          <color auto="1"/>
        </left>
        <right style="thin">
          <color auto="1"/>
        </right>
        <top style="thin">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4" formatCode="#,##0.00"/>
      <border diagonalUp="0" diagonalDown="0" outline="0">
        <left style="thin">
          <color auto="1"/>
        </left>
        <right style="thin">
          <color auto="1"/>
        </right>
        <top style="thin">
          <color auto="1"/>
        </top>
        <bottom/>
      </border>
    </dxf>
    <dxf>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border diagonalUp="0" diagonalDown="0" outline="0">
        <left style="thin">
          <color auto="1"/>
        </left>
        <right style="thin">
          <color auto="1"/>
        </right>
        <top style="thin">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border diagonalUp="0" diagonalDown="0" outline="0">
        <left style="thin">
          <color auto="1"/>
        </left>
        <right style="thin">
          <color auto="1"/>
        </right>
        <top style="thin">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border diagonalUp="0" diagonalDown="0" outline="0">
        <left style="thin">
          <color auto="1"/>
        </left>
        <right style="thin">
          <color auto="1"/>
        </right>
        <top style="thin">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border diagonalUp="0" diagonalDown="0" outline="0">
        <left style="thin">
          <color auto="1"/>
        </left>
        <right style="thin">
          <color auto="1"/>
        </right>
        <top style="thin">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border diagonalUp="0" diagonalDown="0" outline="0">
        <left style="thin">
          <color auto="1"/>
        </left>
        <right style="thin">
          <color auto="1"/>
        </right>
        <top style="thin">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border diagonalUp="0" diagonalDown="0" outline="0">
        <left style="thin">
          <color auto="1"/>
        </left>
        <right style="thin">
          <color auto="1"/>
        </right>
        <top style="thin">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auto="1"/>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4" formatCode="#,##0.00"/>
      <border diagonalUp="0" diagonalDown="0" outline="0">
        <left style="thin">
          <color auto="1"/>
        </left>
        <right style="thin">
          <color auto="1"/>
        </right>
        <top style="thin">
          <color auto="1"/>
        </top>
        <bottom/>
      </border>
    </dxf>
    <dxf>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4" formatCode="#,##0.00"/>
      <border diagonalUp="0" diagonalDown="0" outline="0">
        <left style="thin">
          <color auto="1"/>
        </left>
        <right style="thin">
          <color auto="1"/>
        </right>
        <top style="thin">
          <color auto="1"/>
        </top>
        <bottom/>
      </border>
    </dxf>
    <dxf>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4" formatCode="#,##0.00"/>
      <border diagonalUp="0" diagonalDown="0" outline="0">
        <left style="thin">
          <color auto="1"/>
        </left>
        <right style="thin">
          <color auto="1"/>
        </right>
        <top style="thin">
          <color auto="1"/>
        </top>
        <bottom/>
      </border>
    </dxf>
    <dxf>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4" formatCode="#,##0.00"/>
      <border diagonalUp="0" diagonalDown="0" outline="0">
        <left style="thin">
          <color auto="1"/>
        </left>
        <right style="thin">
          <color auto="1"/>
        </right>
        <top style="thin">
          <color auto="1"/>
        </top>
        <bottom/>
      </border>
    </dxf>
    <dxf>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border diagonalUp="0" diagonalDown="0" outline="0">
        <left style="thin">
          <color auto="1"/>
        </left>
        <right style="thin">
          <color auto="1"/>
        </right>
        <top style="thin">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border diagonalUp="0" diagonalDown="0" outline="0">
        <left style="thin">
          <color auto="1"/>
        </left>
        <right style="thin">
          <color auto="1"/>
        </right>
        <top style="thin">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border diagonalUp="0" diagonalDown="0" outline="0">
        <left style="thin">
          <color auto="1"/>
        </left>
        <right style="thin">
          <color auto="1"/>
        </right>
        <top style="thin">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border diagonalUp="0" diagonalDown="0" outline="0">
        <left/>
        <right style="thin">
          <color auto="1"/>
        </right>
        <top style="thin">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border diagonalUp="0" diagonalDown="0" outline="0">
        <left/>
        <right style="medium">
          <color auto="1"/>
        </right>
        <top style="medium">
          <color auto="1"/>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family val="2"/>
        <scheme val="none"/>
      </font>
      <fill>
        <patternFill patternType="solid">
          <fgColor indexed="64"/>
          <bgColor theme="0" tint="-4.9989318521683403E-2"/>
        </patternFill>
      </fill>
      <alignment horizontal="right" vertical="bottom" textRotation="0" wrapText="0" indent="0" justifyLastLine="0" shrinkToFit="0" readingOrder="0"/>
      <border diagonalUp="0" diagonalDown="0" outline="0">
        <left style="medium">
          <color indexed="64"/>
        </left>
        <right/>
        <top style="medium">
          <color indexed="64"/>
        </top>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right/>
        <top/>
        <bottom/>
      </border>
    </dxf>
    <dxf>
      <border outline="0">
        <top style="medium">
          <color auto="1"/>
        </top>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fill>
        <patternFill patternType="none">
          <fgColor indexed="64"/>
          <bgColor indexed="65"/>
        </patternFill>
      </fill>
    </dxf>
    <dxf>
      <numFmt numFmtId="2" formatCode="0.00"/>
    </dxf>
    <dxf>
      <numFmt numFmtId="4" formatCode="#,##0.00"/>
      <fill>
        <patternFill patternType="none">
          <fgColor indexed="64"/>
          <bgColor indexed="65"/>
        </patternFill>
      </fill>
    </dxf>
    <dxf>
      <numFmt numFmtId="4" formatCode="#,##0.00"/>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fill>
        <patternFill patternType="none">
          <fgColor indexed="64"/>
          <bgColor indexed="65"/>
        </patternFill>
      </fill>
    </dxf>
    <dxf>
      <border outline="0">
        <top style="medium">
          <color auto="1"/>
        </top>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4"/>
        <color theme="1"/>
        <name val="Calibri"/>
        <family val="2"/>
        <scheme val="minor"/>
      </font>
      <numFmt numFmtId="3" formatCode="#,##0"/>
      <border diagonalUp="0" diagonalDown="0" outline="0">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Calibri"/>
        <family val="2"/>
        <scheme val="minor"/>
      </font>
      <numFmt numFmtId="3" formatCode="#,##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scheme val="minor"/>
      </font>
      <numFmt numFmtId="3" formatCode="#,##0"/>
      <border diagonalUp="0" diagonalDown="0" outline="0">
        <left/>
        <right/>
        <top style="medium">
          <color indexed="64"/>
        </top>
        <bottom style="medium">
          <color indexed="64"/>
        </bottom>
      </border>
    </dxf>
    <dxf>
      <alignment horizontal="right"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scheme val="minor"/>
      </font>
      <numFmt numFmtId="3" formatCode="#,##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scheme val="minor"/>
      </font>
      <numFmt numFmtId="3" formatCode="#,##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scheme val="minor"/>
      </font>
      <numFmt numFmtId="3" formatCode="#,##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scheme val="minor"/>
      </font>
      <numFmt numFmtId="3" formatCode="#,##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scheme val="minor"/>
      </font>
      <numFmt numFmtId="19" formatCode="m/d/yyyy"/>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1"/>
        <color theme="1"/>
        <name val="Calibri"/>
        <family val="2"/>
        <scheme val="minor"/>
      </font>
      <numFmt numFmtId="19" formatCode="m/d/yyyy"/>
      <border diagonalUp="0" diagonalDown="0" outline="0">
        <left/>
        <right/>
        <top/>
        <bottom/>
      </border>
    </dxf>
    <dxf>
      <font>
        <b val="0"/>
        <i val="0"/>
        <strike val="0"/>
        <condense val="0"/>
        <extend val="0"/>
        <outline val="0"/>
        <shadow val="0"/>
        <u val="none"/>
        <vertAlign val="baseline"/>
        <sz val="14"/>
        <color theme="1"/>
        <name val="Calibri"/>
        <family val="2"/>
        <scheme val="minor"/>
      </font>
      <fill>
        <patternFill patternType="solid">
          <fgColor indexed="64"/>
          <bgColor theme="0" tint="-4.9989318521683403E-2"/>
        </patternFill>
      </fill>
      <alignment horizontal="left" vertical="center" textRotation="0" wrapText="0" indent="0" justifyLastLine="0" shrinkToFit="0" readingOrder="0"/>
      <border diagonalUp="0" diagonalDown="0" outline="0">
        <left/>
        <right style="medium">
          <color indexed="64"/>
        </right>
        <top style="medium">
          <color indexed="64"/>
        </top>
        <bottom style="medium">
          <color indexed="64"/>
        </bottom>
      </border>
    </dxf>
    <dxf>
      <font>
        <b/>
        <i val="0"/>
        <strike val="0"/>
        <condense val="0"/>
        <extend val="0"/>
        <outline val="0"/>
        <shadow val="0"/>
        <u val="none"/>
        <vertAlign val="baseline"/>
        <sz val="14"/>
        <color auto="1"/>
        <name val="Arial"/>
        <family val="2"/>
        <scheme val="none"/>
      </font>
      <fill>
        <patternFill patternType="solid">
          <fgColor indexed="64"/>
          <bgColor rgb="FFEEEEEE"/>
        </patternFill>
      </fill>
      <alignment horizontal="right" vertical="bottom" textRotation="0" wrapText="0" indent="0" justifyLastLine="0" shrinkToFit="0" readingOrder="0"/>
      <border diagonalUp="0" diagonalDown="0" outline="0">
        <left style="medium">
          <color auto="1"/>
        </left>
        <right style="medium">
          <color auto="1"/>
        </right>
        <top style="medium">
          <color auto="1"/>
        </top>
        <bottom style="medium">
          <color auto="1"/>
        </bottom>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right/>
        <top/>
        <bottom/>
      </border>
    </dxf>
    <dxf>
      <border outline="0">
        <top style="medium">
          <color auto="1"/>
        </top>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1" indent="0" justifyLastLine="0" shrinkToFit="0" readingOrder="0"/>
      <border diagonalUp="0" diagonalDown="0" outline="0">
        <left style="medium">
          <color indexed="64"/>
        </left>
        <right style="medium">
          <color indexed="64"/>
        </right>
        <top/>
        <bottom/>
      </border>
    </dxf>
  </dxfs>
  <tableStyles count="1" defaultTableStyle="TableStyleMedium2" defaultPivotStyle="PivotStyleLight16">
    <tableStyle name="Table Style 1" pivot="0" count="0" xr9:uid="{775A8DFC-9C12-4B09-8B7A-BBF18C8F470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590550</xdr:colOff>
      <xdr:row>5</xdr:row>
      <xdr:rowOff>144780</xdr:rowOff>
    </xdr:to>
    <xdr:sp macro="" textlink="">
      <xdr:nvSpPr>
        <xdr:cNvPr id="2" name="TextBox 1">
          <a:extLst>
            <a:ext uri="{FF2B5EF4-FFF2-40B4-BE49-F238E27FC236}">
              <a16:creationId xmlns:a16="http://schemas.microsoft.com/office/drawing/2014/main" id="{B472A34B-0789-411B-8F51-6277ACB7F4B4}"/>
            </a:ext>
          </a:extLst>
        </xdr:cNvPr>
        <xdr:cNvSpPr txBox="1"/>
      </xdr:nvSpPr>
      <xdr:spPr>
        <a:xfrm>
          <a:off x="0" y="0"/>
          <a:ext cx="7896225" cy="95440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a:t>Michigan Public</a:t>
          </a:r>
          <a:r>
            <a:rPr lang="en-US" sz="1800" baseline="0"/>
            <a:t> Library Statistics 2019</a:t>
          </a:r>
        </a:p>
        <a:p>
          <a:pPr algn="ctr"/>
          <a:endParaRPr lang="en-US" sz="1800" baseline="0"/>
        </a:p>
        <a:p>
          <a:pPr algn="ctr"/>
          <a:r>
            <a:rPr lang="en-US" sz="1800" baseline="0"/>
            <a:t>Table of Contents</a:t>
          </a:r>
          <a:endParaRPr 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101600</xdr:rowOff>
    </xdr:from>
    <xdr:to>
      <xdr:col>1</xdr:col>
      <xdr:colOff>8648700</xdr:colOff>
      <xdr:row>21</xdr:row>
      <xdr:rowOff>40640</xdr:rowOff>
    </xdr:to>
    <xdr:sp macro="" textlink="">
      <xdr:nvSpPr>
        <xdr:cNvPr id="2" name="TextBox 1">
          <a:extLst>
            <a:ext uri="{FF2B5EF4-FFF2-40B4-BE49-F238E27FC236}">
              <a16:creationId xmlns:a16="http://schemas.microsoft.com/office/drawing/2014/main" id="{F0A4A60A-D1BD-4EA8-BD58-184DCEAAB6D2}"/>
            </a:ext>
          </a:extLst>
        </xdr:cNvPr>
        <xdr:cNvSpPr txBox="1"/>
      </xdr:nvSpPr>
      <xdr:spPr>
        <a:xfrm>
          <a:off x="0" y="501650"/>
          <a:ext cx="12334875" cy="3015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An Introduction</a:t>
          </a:r>
          <a:r>
            <a:rPr lang="en-US" sz="1100" baseline="0">
              <a:solidFill>
                <a:schemeClr val="dk1"/>
              </a:solidFill>
              <a:effectLst/>
              <a:latin typeface="Arial" panose="020B0604020202020204" pitchFamily="34" charset="0"/>
              <a:ea typeface="+mn-ea"/>
              <a:cs typeface="Arial" panose="020B0604020202020204" pitchFamily="34" charset="0"/>
            </a:rPr>
            <a:t> to the FY2019-2020 Annual Report Statistics</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The 2019 Michigan Public Libraries Statistics comprises compiled data Excel spreadsheets. Data was collected as part of the 2019/2020 Annual Report/State Aid Application. Library systems were asked to report data that includes their main and branch libraries. </a:t>
          </a:r>
          <a:r>
            <a:rPr lang="en-US" sz="1100" b="1" u="sng">
              <a:solidFill>
                <a:schemeClr val="dk1"/>
              </a:solidFill>
              <a:effectLst/>
              <a:latin typeface="Arial" panose="020B0604020202020204" pitchFamily="34" charset="0"/>
              <a:ea typeface="+mn-ea"/>
              <a:cs typeface="Arial" panose="020B0604020202020204" pitchFamily="34" charset="0"/>
            </a:rPr>
            <a:t>The reporting year for the public libraries is the most recent fiscal year completed by each library prior to October 1, 2019</a:t>
          </a:r>
          <a:r>
            <a:rPr lang="en-US" sz="1100">
              <a:solidFill>
                <a:schemeClr val="dk1"/>
              </a:solidFill>
              <a:effectLst/>
              <a:latin typeface="Arial" panose="020B0604020202020204" pitchFamily="34" charset="0"/>
              <a:ea typeface="+mn-ea"/>
              <a:cs typeface="Arial" panose="020B0604020202020204" pitchFamily="34" charset="0"/>
            </a:rPr>
            <a:t>. The Report form was accessed by libraries via the Internet, at: </a:t>
          </a:r>
          <a:r>
            <a:rPr lang="en-US" sz="1100" b="0" i="0">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https://mi.countingopinions.com</a:t>
          </a:r>
          <a:r>
            <a:rPr lang="en-US" sz="1100" b="0" i="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and submitted electronically. The collection cycle commenced on October 1, 2019 and concluded on February 1, 2020.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Definitions for public library data elements are based on the Public Library Survey Cooperative (PLSC) of the Institute of Museum and Library Services. By using this national system and its definitions of terms, Michigan’s data is comparable with that of the other 49 states and the District of Columbia. The </a:t>
          </a:r>
        </a:p>
        <a:p>
          <a:r>
            <a:rPr lang="en-US" sz="1100">
              <a:solidFill>
                <a:schemeClr val="dk1"/>
              </a:solidFill>
              <a:effectLst/>
              <a:latin typeface="Arial" panose="020B0604020202020204" pitchFamily="34" charset="0"/>
              <a:ea typeface="+mn-ea"/>
              <a:cs typeface="Arial" panose="020B0604020202020204" pitchFamily="34" charset="0"/>
            </a:rPr>
            <a:t>national data for Fiscal Year 2018 is now available and can be downloaded from the Web at </a:t>
          </a:r>
          <a:r>
            <a:rPr lang="en-US"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http://www.imls.gov</a:t>
          </a:r>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Public library data is presented by class size, which is determined by population. The calculated total for “Population of Library Service Area” exceeds the state’s total population because more than one public library may count the same population. For example, a district library may share part of another </a:t>
          </a:r>
        </a:p>
        <a:p>
          <a:r>
            <a:rPr lang="en-US" sz="1100">
              <a:solidFill>
                <a:schemeClr val="dk1"/>
              </a:solidFill>
              <a:effectLst/>
              <a:latin typeface="Arial" panose="020B0604020202020204" pitchFamily="34" charset="0"/>
              <a:ea typeface="+mn-ea"/>
              <a:cs typeface="Arial" panose="020B0604020202020204" pitchFamily="34" charset="0"/>
            </a:rPr>
            <a:t>library’s service area by virtue of having a participating municipality, such as a school district, with geographic boundaries extending into the adjoining library’s service area. </a:t>
          </a:r>
        </a:p>
        <a:p>
          <a:endParaRPr lang="en-US" sz="1100"/>
        </a:p>
        <a:p>
          <a:r>
            <a:rPr lang="en-US" sz="1100" b="0"/>
            <a:t>390  of 396 Michigan</a:t>
          </a:r>
          <a:r>
            <a:rPr lang="en-US" sz="1100" b="0" baseline="0"/>
            <a:t> public libraries reported data for this period.  </a:t>
          </a:r>
          <a:r>
            <a:rPr lang="en-US" sz="1100" b="0"/>
            <a:t>Michigan</a:t>
          </a:r>
          <a:r>
            <a:rPr lang="en-US" sz="1100" b="0" baseline="0"/>
            <a:t> Public Libraries not included in this data set:  </a:t>
          </a:r>
          <a:r>
            <a:rPr lang="en-US" sz="1100" b="0" i="0">
              <a:solidFill>
                <a:schemeClr val="dk1"/>
              </a:solidFill>
              <a:effectLst/>
              <a:latin typeface="+mn-lt"/>
              <a:ea typeface="+mn-ea"/>
              <a:cs typeface="+mn-cs"/>
            </a:rPr>
            <a:t>Amasa Community Library, </a:t>
          </a:r>
          <a:r>
            <a:rPr lang="en-US" sz="1100" b="0" baseline="0"/>
            <a:t>Burlington Township Library, Falmouth Area Library, </a:t>
          </a:r>
          <a:r>
            <a:rPr lang="en-US" sz="1100" b="0" i="0" u="none" strike="noStrike">
              <a:solidFill>
                <a:schemeClr val="dk1"/>
              </a:solidFill>
              <a:effectLst/>
              <a:latin typeface="+mn-lt"/>
              <a:ea typeface="+mn-ea"/>
              <a:cs typeface="+mn-cs"/>
            </a:rPr>
            <a:t>Marinesco Township Library, </a:t>
          </a:r>
          <a:r>
            <a:rPr lang="en-US" sz="1100" b="0" i="0">
              <a:solidFill>
                <a:schemeClr val="dk1"/>
              </a:solidFill>
              <a:effectLst/>
              <a:latin typeface="+mn-lt"/>
              <a:ea typeface="+mn-ea"/>
              <a:cs typeface="+mn-cs"/>
            </a:rPr>
            <a:t>Royal</a:t>
          </a:r>
          <a:r>
            <a:rPr lang="en-US" sz="1100" b="0" i="0" baseline="0">
              <a:solidFill>
                <a:schemeClr val="dk1"/>
              </a:solidFill>
              <a:effectLst/>
              <a:latin typeface="+mn-lt"/>
              <a:ea typeface="+mn-ea"/>
              <a:cs typeface="+mn-cs"/>
            </a:rPr>
            <a:t> Oak Township Library, &amp; </a:t>
          </a:r>
          <a:r>
            <a:rPr lang="en-US" sz="1100" b="0" i="0" u="none" strike="noStrike">
              <a:solidFill>
                <a:schemeClr val="dk1"/>
              </a:solidFill>
              <a:effectLst/>
              <a:latin typeface="+mn-lt"/>
              <a:ea typeface="+mn-ea"/>
              <a:cs typeface="+mn-cs"/>
            </a:rPr>
            <a:t>Somerset Township Library. </a:t>
          </a:r>
          <a:endParaRPr lang="en-US" sz="1100" b="0"/>
        </a:p>
      </xdr:txBody>
    </xdr:sp>
    <xdr:clientData/>
  </xdr:twoCellAnchor>
  <xdr:twoCellAnchor editAs="oneCell">
    <xdr:from>
      <xdr:col>0</xdr:col>
      <xdr:colOff>0</xdr:colOff>
      <xdr:row>22</xdr:row>
      <xdr:rowOff>0</xdr:rowOff>
    </xdr:from>
    <xdr:to>
      <xdr:col>0</xdr:col>
      <xdr:colOff>289560</xdr:colOff>
      <xdr:row>22</xdr:row>
      <xdr:rowOff>76200</xdr:rowOff>
    </xdr:to>
    <xdr:pic>
      <xdr:nvPicPr>
        <xdr:cNvPr id="3" name="Picture 2" descr="arrow">
          <a:extLst>
            <a:ext uri="{FF2B5EF4-FFF2-40B4-BE49-F238E27FC236}">
              <a16:creationId xmlns:a16="http://schemas.microsoft.com/office/drawing/2014/main" id="{004F578A-009A-4448-B48C-BA78CE327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52850"/>
          <a:ext cx="28956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A9F33B-BAA3-47EB-85A0-9B66A8080468}" name="Table1" displayName="Table1" ref="A3:M394" totalsRowCount="1" headerRowDxfId="273" headerRowBorderDxfId="272" tableBorderDxfId="271" dataCellStyle="sInteger">
  <autoFilter ref="A3:M393" xr:uid="{82A85021-8DD4-4BD9-8D66-E2233D9494EE}"/>
  <sortState xmlns:xlrd2="http://schemas.microsoft.com/office/spreadsheetml/2017/richdata2" ref="A4:M393">
    <sortCondition ref="C3:C393"/>
  </sortState>
  <tableColumns count="13">
    <tableColumn id="1" xr3:uid="{35C48F17-B313-4A8E-8F01-2CCD98987E86}" name="FSCS" totalsRowDxfId="270" dataCellStyle="sText"/>
    <tableColumn id="2" xr3:uid="{E895BB9B-8197-4100-8575-D232547D47FE}" name="Location" totalsRowLabel="Total Libraries Reporting (N)" dataDxfId="269" totalsRowDxfId="268"/>
    <tableColumn id="3" xr3:uid="{D5377A87-3980-4326-8347-C22685C2ADBE}" name="Library Class" totalsRowFunction="count" totalsRowDxfId="267" dataCellStyle="sText"/>
    <tableColumn id="4" xr3:uid="{70A3E8C1-99C5-4694-BC7B-D6D0E74E798C}" name="Report Start Period" totalsRowDxfId="266" dataCellStyle="sShortDate"/>
    <tableColumn id="5" xr3:uid="{C6E01685-D147-4950-AF97-C2025E7EB409}" name="Report End Period" totalsRowLabel="TOTAL" totalsRowDxfId="265" dataCellStyle="sShortDate"/>
    <tableColumn id="6" xr3:uid="{BBB8B911-0502-45D1-BF10-8D8F08EB1EF8}" name="Number of Central Libraries" totalsRowFunction="sum" totalsRowDxfId="264" dataCellStyle="sInteger"/>
    <tableColumn id="7" xr3:uid="{820D4A60-7627-4A41-81E9-AA24016EADB6}" name="Number of Branch Libraries" totalsRowFunction="sum" totalsRowDxfId="263" dataCellStyle="sInteger"/>
    <tableColumn id="8" xr3:uid="{C5B57BF9-2BD1-4FF7-8B8E-ED18542D1845}" name="Number of Bookmobiles" totalsRowFunction="sum" totalsRowDxfId="262" dataCellStyle="sInteger"/>
    <tableColumn id="9" xr3:uid="{E7C1C92F-8D1D-4B73-A082-0CED5E28A7A4}" name="Total Number of Outlets" totalsRowFunction="sum" totalsRowDxfId="261" dataCellStyle="sInteger"/>
    <tableColumn id="10" xr3:uid="{A5C5A22C-DF75-4EAB-8AD4-038D9CB734A6}" name="Central Library(ies) Square Feet" totalsRowFunction="sum" totalsRowDxfId="260" dataCellStyle="sInteger"/>
    <tableColumn id="11" xr3:uid="{E6C7972E-34E1-4035-AC4F-2F47678FF6F7}" name="Branch(es) Square Feet" totalsRowFunction="sum" dataDxfId="259" totalsRowDxfId="258" dataCellStyle="sInteger"/>
    <tableColumn id="12" xr3:uid="{9E7B37BE-1134-4FF2-9142-C8FB95D473E5}" name="Total Square Feet" totalsRowFunction="sum" totalsRowDxfId="257" dataCellStyle="sInteger"/>
    <tableColumn id="13" xr3:uid="{5966F934-D947-4F3D-8EB5-7066F15D768F}" name="Total Annual Public Service Hours" totalsRowFunction="sum" totalsRowDxfId="256" dataCellStyle="sInteger"/>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EA2EB27-5AC2-4E1F-BCCF-8DA3DF985295}" name="Table16" displayName="Table16" ref="A3:Q393" totalsRowShown="0" headerRowDxfId="255" headerRowBorderDxfId="254" tableBorderDxfId="253">
  <autoFilter ref="A3:Q393" xr:uid="{2AF1A6DE-2EBB-48F3-BBF3-3BDB7BB4F31F}"/>
  <sortState xmlns:xlrd2="http://schemas.microsoft.com/office/spreadsheetml/2017/richdata2" ref="A4:Q393">
    <sortCondition ref="C4:C393"/>
    <sortCondition ref="B4:B393"/>
  </sortState>
  <tableColumns count="17">
    <tableColumn id="1" xr3:uid="{3D1F5014-92A3-4DCF-A979-EEE7D12BCE71}" name="FSCS" dataDxfId="252" dataCellStyle="sText"/>
    <tableColumn id="2" xr3:uid="{68FE7EC5-AF5A-4847-B70D-758AA7D3E057}" name="Location" dataDxfId="251"/>
    <tableColumn id="3" xr3:uid="{72CB595E-C891-4CD3-8E00-33BDFABF5747}" name="Library Class" dataDxfId="250" dataCellStyle="sText"/>
    <tableColumn id="4" xr3:uid="{76BECF8F-FD78-4956-A48F-87860723ED55}" name="Total Population Served" dataDxfId="249" dataCellStyle="sInteger"/>
    <tableColumn id="5" xr3:uid="{702C51C4-6325-4B67-8FD9-B2AB6746BB8D}" name="Number of Print Materials" dataDxfId="248" dataCellStyle="sInteger"/>
    <tableColumn id="6" xr3:uid="{7510E548-C72D-4483-A5BC-EFDB3A0F0BC5}" name="Audio (Physical Units)" dataDxfId="247" dataCellStyle="sInteger"/>
    <tableColumn id="7" xr3:uid="{C55815E3-2E58-439F-85BE-ACD99B82837F}" name="Video (Physical Units)" dataDxfId="246" dataCellStyle="sInteger"/>
    <tableColumn id="8" xr3:uid="{B533284C-EBCC-4D92-8035-BCE8854243B7}" name="Subscriptions (Non-electronic)" dataDxfId="245" dataCellStyle="sInteger"/>
    <tableColumn id="9" xr3:uid="{8ECA88F2-6C04-419F-9C46-59D1FD66B0C1}" name="Total Electronic Collections" dataDxfId="244" dataCellStyle="sInteger"/>
    <tableColumn id="10" xr3:uid="{14709DF6-445E-4801-A65B-833D45D8AB50}" name="Electronic Books (E-Books)" dataDxfId="243" dataCellStyle="sInteger"/>
    <tableColumn id="11" xr3:uid="{EBD0C252-204D-4E0A-B5A2-5111A143195D}" name="Audio (Downloadable Units)" dataDxfId="242" dataCellStyle="sInteger"/>
    <tableColumn id="12" xr3:uid="{F1CD128E-71F2-45FA-8D22-0B33991D4335}" name="Video (Downloadable Units)" dataDxfId="241" dataCellStyle="sInteger"/>
    <tableColumn id="13" xr3:uid="{26D086CD-6948-43D9-AAA1-618085DD82BC}" name="Total eContent" dataDxfId="240" dataCellStyle="sInteger"/>
    <tableColumn id="14" xr3:uid="{EB721CBC-111E-437A-980A-27B258F76295}" name="Total Collection (Physical / Electronic Units)" dataDxfId="239"/>
    <tableColumn id="15" xr3:uid="{F57C7F38-A34B-4DBA-8F00-31263EEFDEEF}" name="eMaterials Per Capita" dataDxfId="238"/>
    <tableColumn id="16" xr3:uid="{52B9FE47-97DC-4239-BDA4-97A4958EB81F}" name="Physical Materials Per Capita (subcriptions not included)" dataDxfId="237">
      <calculatedColumnFormula>(E4+F4+G4)/D4</calculatedColumnFormula>
    </tableColumn>
    <tableColumn id="17" xr3:uid="{43DF5BBE-24F3-4212-83E5-3C624F091B1E}" name="Total Materials Per Capita" dataDxfId="236" dataCellStyle="sInteger"/>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AC743D-9F86-4AFD-8C11-4B21A4CF2910}" name="Table2" displayName="Table2" ref="A3:AG394" totalsRowCount="1" headerRowDxfId="235" headerRowBorderDxfId="234" tableBorderDxfId="233" dataCellStyle="sInteger">
  <autoFilter ref="A3:AG393" xr:uid="{7B351668-2E10-4F06-9D13-5AADF9338624}"/>
  <tableColumns count="33">
    <tableColumn id="1" xr3:uid="{A44CD600-4192-465A-B443-332246E661DF}" name="FSCS" totalsRowDxfId="232" dataCellStyle="sText"/>
    <tableColumn id="2" xr3:uid="{D93D21BA-36C3-4DC8-A4B3-7310898C6BA2}" name="Location" totalsRowLabel="Total Libraries Reporting (N)" dataDxfId="231" totalsRowDxfId="230"/>
    <tableColumn id="3" xr3:uid="{5BAD3EFB-C689-46E6-9D2C-68CBD641F77E}" name="Library Class" totalsRowFunction="count" dataDxfId="229" totalsRowDxfId="228" dataCellStyle="sText"/>
    <tableColumn id="4" xr3:uid="{8344E775-1A7C-4868-9F74-E44E977AC140}" name="Circulation of Children's Materials" dataDxfId="227" totalsRowDxfId="226" dataCellStyle="sInteger"/>
    <tableColumn id="5" xr3:uid="{95223080-FBAB-4044-BD2D-E7DC9B68599D}" name="Circulation of Non-Children's Materials" dataDxfId="225" totalsRowDxfId="224" dataCellStyle="sInteger"/>
    <tableColumn id="6" xr3:uid="{59706AF6-8BF7-4D1C-B9B6-28EF79C19A05}" name="Circulation of Electronic Materials" dataDxfId="223" totalsRowDxfId="222" dataCellStyle="sInteger"/>
    <tableColumn id="7" xr3:uid="{D2B7D618-7B3B-4974-A5DB-C6CD9ECAE466}" name="Total Circulation" dataDxfId="221" totalsRowDxfId="220" dataCellStyle="sInteger"/>
    <tableColumn id="8" xr3:uid="{1071FBD1-F103-47A1-AE40-65446DD9FBE7}" name="Children's Circ Per Capita" dataDxfId="219" totalsRowDxfId="218" dataCellStyle="sInteger">
      <calculatedColumnFormula>D4/AG4</calculatedColumnFormula>
    </tableColumn>
    <tableColumn id="9" xr3:uid="{BFDA3FF5-207F-417C-B056-8A29EF023CE4}" name="eMaterials Circ Per Capita" dataDxfId="217" totalsRowDxfId="216" dataCellStyle="sInteger">
      <calculatedColumnFormula>F4/AG4</calculatedColumnFormula>
    </tableColumn>
    <tableColumn id="10" xr3:uid="{2C98DDF9-7F83-4F88-A956-B810EB855084}" name="Total Circulation Per Capita" dataDxfId="215" totalsRowDxfId="214" dataCellStyle="sInteger">
      <calculatedColumnFormula>G4/AG4</calculatedColumnFormula>
    </tableColumn>
    <tableColumn id="11" xr3:uid="{A6781512-36CB-4396-9D86-6FF57E5516E7}" name="Circulation Per Cardholder" dataDxfId="213" totalsRowDxfId="212" dataCellStyle="sInteger">
      <calculatedColumnFormula>G4/AF4</calculatedColumnFormula>
    </tableColumn>
    <tableColumn id="12" xr3:uid="{9E0DB0DB-F231-4E45-AE2B-9B3BB34A1777}" name="Electronic Collection (Dbase) Use" dataDxfId="211" totalsRowDxfId="210" dataCellStyle="sInteger"/>
    <tableColumn id="13" xr3:uid="{BB122B09-9639-44A9-94FB-51E3AA454A23}" name="Total Electronic Content Use" dataDxfId="209" totalsRowDxfId="208" dataCellStyle="sInteger"/>
    <tableColumn id="14" xr3:uid="{E5112A77-08E8-44BF-940A-7A4533BC2947}" name="Total Physical Circulation" dataDxfId="207" totalsRowDxfId="206" dataCellStyle="sInteger"/>
    <tableColumn id="15" xr3:uid="{F2C8FF6B-B275-4AB7-BDDB-8040016A4156}" name="Total Collection Use" dataDxfId="205" totalsRowDxfId="204" dataCellStyle="sInteger"/>
    <tableColumn id="16" xr3:uid="{96F20D15-C35E-4E31-BF94-3230F450BDCB}" name="Total Collection use per capita" dataDxfId="203" totalsRowDxfId="202" dataCellStyle="sInteger">
      <calculatedColumnFormula>O4/AG4</calculatedColumnFormula>
    </tableColumn>
    <tableColumn id="17" xr3:uid="{CDEED536-87F7-42FC-A0EC-8B6B68496F01}" name="Physical Materials Total Available" dataDxfId="201" totalsRowDxfId="200" dataCellStyle="sInteger"/>
    <tableColumn id="18" xr3:uid="{37F832BA-B272-4131-A916-BAE646140E99}" name="eMaterials Total Available" dataDxfId="199" totalsRowDxfId="198" dataCellStyle="sInteger"/>
    <tableColumn id="19" xr3:uid="{6CC61DE7-B1F9-4FD8-A3C8-9CEECF197C6A}" name="eMaterials Available Per Capita" dataDxfId="197" totalsRowDxfId="196" dataCellStyle="sInteger">
      <calculatedColumnFormula>R4/AG4</calculatedColumnFormula>
    </tableColumn>
    <tableColumn id="20" xr3:uid="{56729607-76D5-4E45-97B1-C35A2957307E}" name="Reference Transactions" dataDxfId="195" totalsRowDxfId="194" dataCellStyle="sInteger"/>
    <tableColumn id="21" xr3:uid="{ECB4AE92-CE83-45FC-805C-3DA5D444E4E1}" name="Reference Transactions Per Capita" dataDxfId="193" totalsRowDxfId="192" dataCellStyle="sInteger">
      <calculatedColumnFormula>T4/AG4</calculatedColumnFormula>
    </tableColumn>
    <tableColumn id="22" xr3:uid="{0F323CE6-D572-47D5-8C2D-26F943AC2274}" name="Number of items loaned to other libraries" dataDxfId="191" totalsRowDxfId="190" dataCellStyle="sInteger"/>
    <tableColumn id="23" xr3:uid="{EAEDF7A7-4136-4917-B03A-60262FABFD98}" name="Number of items borrowed from other libraries" dataDxfId="189" totalsRowDxfId="188" dataCellStyle="sInteger"/>
    <tableColumn id="24" xr3:uid="{02966D1D-604F-4313-8A42-639A280ECAAD}" name="Physical Library Visits" dataDxfId="187" totalsRowDxfId="186" dataCellStyle="sInteger"/>
    <tableColumn id="25" xr3:uid="{6A833541-2DB7-4ACA-9BE7-CD72E7AE2AC5}" name="Virtual Visits to the Library's Website" dataDxfId="185" totalsRowDxfId="184" dataCellStyle="sInteger"/>
    <tableColumn id="26" xr3:uid="{5D369DD6-DD5E-4A0C-859D-3A86BC3C3B64}" name="Physical Visits Per Capita" dataDxfId="183" totalsRowDxfId="182" dataCellStyle="sInteger">
      <calculatedColumnFormula>X4/AG4</calculatedColumnFormula>
    </tableColumn>
    <tableColumn id="27" xr3:uid="{C99FB658-D25A-4AD2-9E08-BE3097F4AF69}" name="Physical Visits Per Cardholder" dataDxfId="181" totalsRowDxfId="180" dataCellStyle="sInteger">
      <calculatedColumnFormula>X4/AF4</calculatedColumnFormula>
    </tableColumn>
    <tableColumn id="28" xr3:uid="{A937394E-A526-4D1D-A62E-4C2A73046EFE}" name="Uses (Sessions) of Public Internet Computers Per Year" dataDxfId="179" totalsRowDxfId="178" dataCellStyle="sInteger"/>
    <tableColumn id="29" xr3:uid="{1CAA3972-72B8-4E24-8FE8-481415271E6B}" name="Do you provide Wireless Internet Access to Patrons?" dataDxfId="177" totalsRowDxfId="176" dataCellStyle="sText"/>
    <tableColumn id="30" xr3:uid="{42032AF5-B857-4C3D-BED1-9906D37BD36B}" name="Uses of Wireless Logins Per Year" dataDxfId="175" totalsRowDxfId="174" dataCellStyle="sInteger"/>
    <tableColumn id="31" xr3:uid="{BCD2D9CB-AF3B-4707-A183-CDBEF41B1E51}" name="Total Collection (Physical / Electronic Units)" dataDxfId="173" totalsRowDxfId="172" dataCellStyle="sInteger"/>
    <tableColumn id="32" xr3:uid="{32253DD4-4EF1-498F-A212-F0B8EB4A7816}" name="Number of active registered borrowers" dataDxfId="171" totalsRowDxfId="170" dataCellStyle="sInteger"/>
    <tableColumn id="33" xr3:uid="{6F3A9B2C-5937-4768-9C72-5AD9B9654473}" name="Total Population Served" dataDxfId="169" totalsRowDxfId="168" dataCellStyle="sInteger"/>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CBECC46-B3FB-4937-8F1E-27CED4B6FCD4}" name="Table3" displayName="Table3" ref="A3:AD396" totalsRowShown="0" headerRowDxfId="167" headerRowBorderDxfId="166" tableBorderDxfId="165" dataCellStyle="sInteger">
  <autoFilter ref="A3:AD396" xr:uid="{2E043F52-C1A3-460C-8F31-3C74E160FEF5}"/>
  <tableColumns count="30">
    <tableColumn id="1" xr3:uid="{925324F8-D0DB-4D1A-A5AE-3EF0B535F18C}" name="FSCS" dataCellStyle="sText"/>
    <tableColumn id="2" xr3:uid="{0384E665-7294-4AEB-B591-5317C674CD98}" name="Location" dataDxfId="164"/>
    <tableColumn id="3" xr3:uid="{97688281-50F7-48FA-A1D2-B86E70919299}" name="Library Class" dataCellStyle="sText"/>
    <tableColumn id="4" xr3:uid="{74D748FA-0D1E-45FE-95B6-23AB9A054C63}" name="Children's Events (Non Summer Reading)" dataCellStyle="sInteger"/>
    <tableColumn id="5" xr3:uid="{86396019-E2F3-4203-95FE-EB59E80914E7}" name="Children's Events Attendance (Non Summer Reading)" dataCellStyle="sInteger"/>
    <tableColumn id="6" xr3:uid="{9B8D7A44-4508-49E2-B796-FA362E11F626}" name="Teen Events (Non Summer Reading)" dataCellStyle="sInteger"/>
    <tableColumn id="7" xr3:uid="{233507BE-AEF0-4999-BA29-55A9ED5673F3}" name="Teen  Events Attendance(Non Summer Reading)" dataCellStyle="sInteger"/>
    <tableColumn id="8" xr3:uid="{AEC323DD-5C58-4732-B225-BB9BE09919BA}" name="Summer Reading Events Children Programs" dataCellStyle="sInteger"/>
    <tableColumn id="9" xr3:uid="{9C048DBF-4966-4546-A3F6-85628B8A80FA}" name="Summer Reading Events Children Attendance" dataCellStyle="sInteger"/>
    <tableColumn id="10" xr3:uid="{A044CC58-F999-4497-A6F4-7F8533388D5F}" name="Summer Reading Events Teens Programs" dataCellStyle="sInteger"/>
    <tableColumn id="11" xr3:uid="{536781DF-DBB0-415D-8FB1-8EADA2FA07F6}" name="Summer Reading Events Teens Attendance" dataCellStyle="sInteger"/>
    <tableColumn id="12" xr3:uid="{17EF17F9-1933-4231-81F2-511A37CB70E3}" name="How Many Children Signed Up For This Program" dataCellStyle="sInteger"/>
    <tableColumn id="13" xr3:uid="{2C1FA514-59D8-495F-85F6-7E2AB60010E6}" name="How Many Teens Signed Up For This Program?" dataCellStyle="sInteger"/>
    <tableColumn id="14" xr3:uid="{1F3356AE-B14A-454D-82EE-58090739188D}" name="Total Summer Reading Program Participation" dataCellStyle="sInteger"/>
    <tableColumn id="15" xr3:uid="{E3D11251-AF8F-40C7-8DFC-E5204A633AB8}" name="Total Children's Programs" dataCellStyle="sInteger"/>
    <tableColumn id="16" xr3:uid="{F00EC718-6486-496D-81AD-B86B460B9A08}" name="Total Children's Program Attendance" dataCellStyle="sInteger"/>
    <tableColumn id="17" xr3:uid="{D91ACB42-B788-4701-B031-8789F9646AE0}" name="Do any of your programs focus on early literacy for ages 0-5?" dataCellStyle="sText"/>
    <tableColumn id="18" xr3:uid="{630CC046-5178-4A94-BB85-F72B335D36FE}" name=" Early Literacy Programs (Subset of Children's programming)" dataCellStyle="sInteger"/>
    <tableColumn id="19" xr3:uid="{38BCEB6C-57E7-4040-9CB7-C13592219EAF}" name=" Early Literacy Program Attendance (Subset of Children's programming)" dataCellStyle="sInteger"/>
    <tableColumn id="20" xr3:uid="{4882E904-8AF7-4E3E-BD87-F965023EC51F}" name="Total Teen Programs" dataCellStyle="sInteger"/>
    <tableColumn id="21" xr3:uid="{A5C2546C-532C-4DB5-918A-A07B9491BDDB}" name="Total Teen Program Attendance" dataCellStyle="sInteger"/>
    <tableColumn id="22" xr3:uid="{E40CC768-4669-4E98-A176-1A95CE7AE4FE}" name="Adult Programs" dataCellStyle="sInteger"/>
    <tableColumn id="23" xr3:uid="{2223A8FE-0C4C-4A21-A132-49708F11C6E6}" name="Adult Program Attendance" dataCellStyle="sInteger"/>
    <tableColumn id="24" xr3:uid="{4ED880EB-FFD6-46C6-B663-65366FB2C634}" name="General Programs" dataCellStyle="sInteger"/>
    <tableColumn id="25" xr3:uid="{EC0C9768-1155-4719-A3C4-0779E8FE41E1}" name="General Program Attendance" dataCellStyle="sInteger"/>
    <tableColumn id="26" xr3:uid="{F005F8F8-5BA3-4623-AED4-70C183AB483D}" name="Total Events" dataCellStyle="sInteger"/>
    <tableColumn id="27" xr3:uid="{664F04E1-14AE-4543-8444-30A3C402672F}" name="Total Attendance" dataCellStyle="sInteger"/>
    <tableColumn id="28" xr3:uid="{1FCAE45A-F961-47B3-970C-03C6C921192C}" name="Attend per program" dataDxfId="163">
      <calculatedColumnFormula>AA4/Z4</calculatedColumnFormula>
    </tableColumn>
    <tableColumn id="29" xr3:uid="{2803BCBE-8644-4235-85E5-2FDADC0B81AD}" name="Attend per capita" dataDxfId="162">
      <calculatedColumnFormula>AA4/AD4</calculatedColumnFormula>
    </tableColumn>
    <tableColumn id="30" xr3:uid="{AF70D41D-97B8-43F1-898E-618331C13239}" name="Total Population Served" dataCellStyle="sInteger"/>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DD9EB3F-01DE-4118-BD9C-A9EEB12EC397}" name="Table4" displayName="Table4" ref="A3:N393" totalsRowShown="0" headerRowDxfId="161" tableBorderDxfId="160" dataCellStyle="sText">
  <autoFilter ref="A3:N393" xr:uid="{350A0920-651A-491F-B7C9-362C5DB54166}"/>
  <tableColumns count="14">
    <tableColumn id="1" xr3:uid="{BB34876D-902C-49BE-BAC9-55BFF43A973A}" name="FSCS" dataCellStyle="sText"/>
    <tableColumn id="2" xr3:uid="{18B6CED4-4443-4325-B0D6-E3AF5DD37B46}" name="Location" dataDxfId="159"/>
    <tableColumn id="3" xr3:uid="{9FAE4C79-4453-4174-B50B-CD097F6D87BA}" name="Library Class" dataDxfId="158" dataCellStyle="sText"/>
    <tableColumn id="4" xr3:uid="{5DE8ADA6-2716-40DD-B81F-A8261345716D}" name="Total number of computers that the library provides for use by staff only" dataDxfId="157" dataCellStyle="sInteger"/>
    <tableColumn id="5" xr3:uid="{2EFEB5AC-21EE-40FA-9F8C-5ED9DC197A77}" name="Total number of computers that the library provides for public use" dataDxfId="156" dataCellStyle="sInteger"/>
    <tableColumn id="6" xr3:uid="{A69FB992-8C74-4727-9A8D-62A410271DDB}" name="Is your library circulation system automated?" dataDxfId="155" dataCellStyle="sText"/>
    <tableColumn id="7" xr3:uid="{5A449D68-8854-4677-B27C-C22CA111B23E}" name="Circulation System Vendor Name" dataDxfId="154" dataCellStyle="sText"/>
    <tableColumn id="8" xr3:uid="{75995FE8-9FDB-452F-B73D-B5EF52747E79}" name="Is your card catalog automated?" dataDxfId="153" dataCellStyle="sText"/>
    <tableColumn id="9" xr3:uid="{CA6E5A2C-31ED-41C1-9511-5342E3F47A49}" name="Card Catalog Vendor Name" dataDxfId="152" dataCellStyle="sText"/>
    <tableColumn id="10" xr3:uid="{E58A6B58-519E-44E0-A76E-163D8302E96A}" name="Patron Initiated ILL" dataDxfId="151" dataCellStyle="sText"/>
    <tableColumn id="11" xr3:uid="{927E7B89-580D-4485-9DEC-DA5B916E200B}" name="Do you offer a Remote Catalog?" dataDxfId="150" dataCellStyle="sText"/>
    <tableColumn id="12" xr3:uid="{74E6F387-45D6-405B-9F19-4A7634E809DD}" name="Do you provide Self Checkout?" dataDxfId="149" dataCellStyle="sText"/>
    <tableColumn id="13" xr3:uid="{7DA50196-72C7-496F-9BA0-1D1CB8A99407}" name="Is your Circulation System Shared?" dataDxfId="148" dataCellStyle="sText"/>
    <tableColumn id="14" xr3:uid="{3E223655-DD41-4E5E-8C91-03FEC6976F0D}" name="Do you provide Wireless Internet Access to Patrons?" dataDxfId="147" dataCellStyle="sText"/>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465AD46-E3FB-406A-A848-FB680A8D23DA}" name="Table5" displayName="Table5" ref="A3:X393" totalsRowShown="0" headerRowDxfId="146" dataDxfId="145" tableBorderDxfId="144" dataCellStyle="sText">
  <autoFilter ref="A3:X393" xr:uid="{82D9D698-9291-43B3-89FC-8D017DDECD29}"/>
  <sortState xmlns:xlrd2="http://schemas.microsoft.com/office/spreadsheetml/2017/richdata2" ref="A4:X393">
    <sortCondition ref="C4:C393"/>
    <sortCondition ref="B4:B393"/>
  </sortState>
  <tableColumns count="24">
    <tableColumn id="1" xr3:uid="{1CAA49B3-3C6A-4848-A33B-E149D87114EA}" name="FSCS" dataDxfId="143" dataCellStyle="sText"/>
    <tableColumn id="2" xr3:uid="{81BCA266-F6A4-406E-80FE-8447402969FF}" name="Location" dataDxfId="142"/>
    <tableColumn id="3" xr3:uid="{261C361D-4BF6-4ADB-8068-049BD7438C63}" name="Library Class" dataDxfId="141" dataCellStyle="sText"/>
    <tableColumn id="4" xr3:uid="{CD4099C6-F6D1-4DDA-ADCA-1495CDA32B5B}" name="County" dataDxfId="140" dataCellStyle="sText"/>
    <tableColumn id="5" xr3:uid="{7CB079DA-0E59-41E2-8B03-D019F7F5BADE}" name="Township" dataDxfId="139" dataCellStyle="sText"/>
    <tableColumn id="6" xr3:uid="{325FEB6B-D4E8-461D-B6E0-4A5277484AB6}" name="Type" dataDxfId="138" dataCellStyle="sText"/>
    <tableColumn id="7" xr3:uid="{37C3A221-BD44-4EE4-9824-B0665B86DF53}" name="Millage Rate" dataDxfId="137"/>
    <tableColumn id="8" xr3:uid="{9CA199CB-B795-42B3-BCF5-743C26E441BE}" name="Millage Authorization Date" dataDxfId="136" dataCellStyle="sShortDate"/>
    <tableColumn id="9" xr3:uid="{4A3CF64A-87B7-414A-AC43-8CA2DD1C8977}" name="Millage Rate Levied" dataDxfId="135"/>
    <tableColumn id="10" xr3:uid="{98BADFFA-ABEA-4017-95E9-BD5355830CAE}" name="Millage Expiration Date" dataDxfId="134" dataCellStyle="sShortDate"/>
    <tableColumn id="11" xr3:uid="{FCEAFBD8-CD8C-45C9-B2E3-12348673E9E6}" name="Millage Voted in Perpetuity" dataDxfId="133" dataCellStyle="sText"/>
    <tableColumn id="12" xr3:uid="{CCFAF016-100A-4816-B21D-B26537811FB5}" name="Millage is for Operating, Debt, or Both?" dataDxfId="132" dataCellStyle="sText"/>
    <tableColumn id="13" xr3:uid="{404869D9-CDA5-4C20-9A97-7DFECC92E4F5}" name="Millage Rate (2)" dataDxfId="131"/>
    <tableColumn id="14" xr3:uid="{D0DCC9A0-A94F-491D-8ECB-249AF3D915E6}" name="Millage Authorization Date (2)" dataDxfId="130" dataCellStyle="sShortDate"/>
    <tableColumn id="15" xr3:uid="{82839154-D2F3-467C-9E04-1ECF12E255D0}" name="Millage Rate Levied (2)" dataDxfId="129"/>
    <tableColumn id="16" xr3:uid="{4ECF23DF-AD4C-48C8-BA08-A19E8876FAAD}" name="Millage Expiration Date (2)" dataDxfId="128" dataCellStyle="sShortDate"/>
    <tableColumn id="17" xr3:uid="{A01911F0-30A4-4948-9992-00B9FE8DA798}" name="Millage Voted in Perpetuity (2)" dataDxfId="127" dataCellStyle="sText"/>
    <tableColumn id="18" xr3:uid="{DC27D61B-F623-43A6-AEA8-6A23817ABFB3}" name="Millage is for Operating, Debt, or Both? (2)" dataDxfId="126" dataCellStyle="sText"/>
    <tableColumn id="19" xr3:uid="{740023FE-A0D5-4811-B6CE-8F35C8E1C425}" name="Millage Rate (3)" dataDxfId="125"/>
    <tableColumn id="20" xr3:uid="{142887CC-F785-4E31-AD1F-E931B430EB0F}" name="Millage Authorization Date (3)" dataDxfId="124" dataCellStyle="sText"/>
    <tableColumn id="21" xr3:uid="{123C2830-9E01-4002-8A23-D8E23510FB52}" name="Millage Rate Levied (3)" dataDxfId="123"/>
    <tableColumn id="22" xr3:uid="{82F9E698-8748-418B-BC67-C92850296F48}" name="Millage Expiration Date (3)" dataDxfId="122" dataCellStyle="sText"/>
    <tableColumn id="23" xr3:uid="{9F4894B2-EC30-4FAA-A739-DDD26CD82EC9}" name="Millage Voted in Perpetuity (3)" dataDxfId="121" dataCellStyle="sText"/>
    <tableColumn id="24" xr3:uid="{099D1141-1057-42FF-A73A-8BEFE91BE101}" name="Millage is for Operating, Debt, or Both? (3)" dataDxfId="120" dataCellStyle="sText"/>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788CDEA-A91A-477F-9157-5BF71E7F478B}" name="Table6" displayName="Table6" ref="A3:AB393" totalsRowShown="0" headerRowDxfId="119" dataDxfId="118" tableBorderDxfId="117">
  <autoFilter ref="A3:AB393" xr:uid="{A81BBB99-4D10-4933-AE13-CB8C98852B5B}"/>
  <tableColumns count="28">
    <tableColumn id="1" xr3:uid="{7CE09499-6DFE-4574-A006-DE2CA4548F60}" name="FSCS" dataCellStyle="sText"/>
    <tableColumn id="2" xr3:uid="{47B436DD-A7CB-46B4-ACCF-C9B9C0B5816B}" name="Location" dataDxfId="116"/>
    <tableColumn id="3" xr3:uid="{7F19E89B-2FE6-4562-9343-A0665C40E29E}" name="Library Class" dataDxfId="115" dataCellStyle="sText"/>
    <tableColumn id="4" xr3:uid="{C5B6A05F-3E51-40A4-85B6-F006A92B7A3B}" name="County" dataDxfId="114" dataCellStyle="sText"/>
    <tableColumn id="5" xr3:uid="{38AD23F7-15BF-4ECF-8054-03F62C6F6008}" name="Report Start Period" dataDxfId="113" dataCellStyle="sShortDate"/>
    <tableColumn id="6" xr3:uid="{CBB5C81D-7DAC-424C-8210-FCAB35B90C7B}" name="Report End Period" dataDxfId="112" dataCellStyle="sShortDate"/>
    <tableColumn id="7" xr3:uid="{68D21E20-D1E7-44A1-8F9D-8BA7E339670B}" name="Total Population Served" dataDxfId="111" dataCellStyle="sInteger"/>
    <tableColumn id="8" xr3:uid="{E451D434-A003-41D0-9F6A-71AC380DF8CC}" name="Subtotal Legal Service Area Population Served" dataDxfId="110" dataCellStyle="sInteger"/>
    <tableColumn id="9" xr3:uid="{EAD2ED7C-B599-4103-BA9E-9D88851DBD0F}" name="Subtotal Local Penal Fine Revenues" dataDxfId="109"/>
    <tableColumn id="10" xr3:uid="{6A5E9491-8462-4352-A551-731BFA2E23BB}" name="Subtotal Income From Voted Millage" dataDxfId="108"/>
    <tableColumn id="11" xr3:uid="{FAB1FE75-9BAB-4D2E-92A2-42520AFABF34}" name="Subtotal Appropriated Tax Income" dataDxfId="107"/>
    <tableColumn id="12" xr3:uid="{C79067A2-45CF-4DA2-B9F3-0B21F3BC0A4A}" name="Subtotal Other Local Government Income" dataDxfId="106"/>
    <tableColumn id="13" xr3:uid="{F387DA17-EFE1-4FE4-A2BB-C294C834690C}" name="Subtotal Total Local Government Income" dataDxfId="105"/>
    <tableColumn id="14" xr3:uid="{53709D14-A4C7-4555-B7DB-8745ADB37032}" name="Subtotal Other Local Operating Income" dataDxfId="104"/>
    <tableColumn id="15" xr3:uid="{BD53A6E5-1D00-455D-90AF-EDC2FA84191B}" name="Contracted Municipality Population Served" dataDxfId="103" dataCellStyle="sText"/>
    <tableColumn id="16" xr3:uid="{14EC1EE4-3A54-4D94-ADC5-308BE56C0319}" name="CM Penal Fine Revenues" dataDxfId="102" dataCellStyle="sText"/>
    <tableColumn id="17" xr3:uid="{2A9516E3-FC43-4B79-8072-341E7F7C4C58}" name="CM Income From Voted Millage" dataDxfId="101" dataCellStyle="sText"/>
    <tableColumn id="18" xr3:uid="{14B9E56D-6DE3-4971-AD6E-A9BB2F9DB879}" name="CM Appropriated Tax Income" dataDxfId="100" dataCellStyle="sText"/>
    <tableColumn id="19" xr3:uid="{7C09F810-AEB2-4973-9F53-2077628CC8DD}" name="Contract Fee Income" dataDxfId="99" dataCellStyle="sText"/>
    <tableColumn id="20" xr3:uid="{B7DEF57C-0B57-450D-830C-6FB7F0000975}" name="CM Total Local Government Income" dataDxfId="98" dataCellStyle="sText"/>
    <tableColumn id="21" xr3:uid="{A453AFF8-3666-40AE-BC68-8F5484F515B3}" name="Other Local Operating Income" dataDxfId="97" dataCellStyle="sText"/>
    <tableColumn id="22" xr3:uid="{9643E998-93C1-406F-B968-1260B846328A}" name="Total Local Government Income" dataDxfId="96"/>
    <tableColumn id="23" xr3:uid="{99E88CC5-1EF0-4857-8821-7008CDE517D6}" name="Total Other Local Operating Income" dataDxfId="95"/>
    <tableColumn id="24" xr3:uid="{3E4D7394-7C4B-423E-93CB-A08CDBC40C28}" name="Total Local Operating Income" dataDxfId="94"/>
    <tableColumn id="25" xr3:uid="{EF535261-87C1-41C8-B93A-361E7E06F8E9}" name="State Government Operating Income" dataDxfId="93"/>
    <tableColumn id="26" xr3:uid="{08267A8D-7317-4C73-92B4-20DC197162C5}" name="Federal Government Operating Income" dataDxfId="92"/>
    <tableColumn id="27" xr3:uid="{3E956292-2399-48DD-932A-BE35C2842F80}" name="Total Operating Income" dataDxfId="91"/>
    <tableColumn id="28" xr3:uid="{6DDBF75D-1A4F-4733-8A61-7B0BE3BF61B4}" name="Total Operating Income Per Capita" dataDxfId="90">
      <calculatedColumnFormula>AA4/G4</calculatedColumnFormula>
    </tableColumn>
  </tableColumns>
  <tableStyleInfo name="TableStyleLight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58E8C4A-B72A-466B-83DA-1732D6652C01}" name="Table7" displayName="Table7" ref="A3:N393" totalsRowShown="0" headerRowDxfId="89" tableBorderDxfId="88">
  <autoFilter ref="A3:N393" xr:uid="{6F528E93-654E-4C9F-BB0E-7A74C7D5A060}"/>
  <tableColumns count="14">
    <tableColumn id="1" xr3:uid="{CE7D0BC3-77DE-4CAE-8E41-9A9BDCEC7B8D}" name="FSCS" dataCellStyle="sText"/>
    <tableColumn id="2" xr3:uid="{B02260E4-D63E-4221-A935-68684735938B}" name="Location" dataDxfId="87"/>
    <tableColumn id="3" xr3:uid="{22160408-CA12-44AD-904B-BF57481FFE86}" name="Library Class" dataDxfId="86" dataCellStyle="sText"/>
    <tableColumn id="4" xr3:uid="{4290116A-115C-40A1-8D0D-E9BFFD4CE671}" name="Print Materials Expenditure" dataDxfId="85"/>
    <tableColumn id="5" xr3:uid="{2540694D-910E-4E5B-AEE3-4A71DD9ACF0A}" name="Other Materials Expenditure" dataDxfId="84"/>
    <tableColumn id="6" xr3:uid="{0F0E708C-7BB9-431A-BAD9-C79FF8FD7D08}" name="Electronic Materials Expenditure" dataDxfId="83"/>
    <tableColumn id="7" xr3:uid="{16F6546B-8FF8-40FA-AD68-E074FC04DAF3}" name="Total Collection Expenditures" dataDxfId="82"/>
    <tableColumn id="8" xr3:uid="{88B35268-D2DD-4886-AC6A-44FA5A731C1E}" name="Salaries and Wages" dataDxfId="81"/>
    <tableColumn id="9" xr3:uid="{451D53E6-5458-4835-A183-9B917B6573D7}" name="Employee Benefits" dataDxfId="80"/>
    <tableColumn id="10" xr3:uid="{010FA0FE-E48C-4F74-9900-680A36F7361A}" name="Total Staff Expenditures" dataDxfId="79"/>
    <tableColumn id="11" xr3:uid="{3AB1800C-B2EF-4DE4-A68F-B5F85FC857C7}" name="Other Operating Expenditures" dataDxfId="78"/>
    <tableColumn id="12" xr3:uid="{92F757E6-5F76-4D23-9A08-96CB6B55A02C}" name="Total Operating Expenditures" dataDxfId="77"/>
    <tableColumn id="13" xr3:uid="{557486E4-6E1E-4D67-9727-52C7A35B69BD}" name="Total Operating Expenditures Per Capita" dataDxfId="76">
      <calculatedColumnFormula>L4/N4</calculatedColumnFormula>
    </tableColumn>
    <tableColumn id="14" xr3:uid="{D50E5D85-4D90-4508-ABED-A76AA8F914D9}" name="Total Population Served" dataDxfId="75" dataCellStyle="sInteger"/>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1D25584-782B-477A-8F22-AA93A54D1E0E}" name="Table8" displayName="Table8" ref="A3:N393" totalsRowShown="0" headerRowDxfId="74" dataDxfId="73" tableBorderDxfId="72">
  <autoFilter ref="A3:N393" xr:uid="{EB3D8DC1-8CBE-407B-ACB4-B2D16D3A5345}"/>
  <tableColumns count="14">
    <tableColumn id="1" xr3:uid="{D8145BCA-2D2D-46BD-91D7-AC5E7ACBBC8A}" name="FSCS" dataCellStyle="sText"/>
    <tableColumn id="2" xr3:uid="{C2541424-416D-49F4-A7C7-6F858C3C7E47}" name="Location" dataDxfId="71"/>
    <tableColumn id="3" xr3:uid="{541C164F-6FB0-451C-A76C-FFBBB6DBBD56}" name="Library Class" dataDxfId="70" dataCellStyle="sText"/>
    <tableColumn id="4" xr3:uid="{638ADAFB-4F2B-4E21-85F1-851C4991D158}" name="Federal Capital Income" dataDxfId="69"/>
    <tableColumn id="5" xr3:uid="{3908BE59-C6B8-4901-AF11-FC99B95139D7}" name="State Capital Income" dataDxfId="68"/>
    <tableColumn id="6" xr3:uid="{93162D12-80CF-44E0-B96A-DE5AC96F59AD}" name="Local Capital Icome" dataDxfId="67"/>
    <tableColumn id="7" xr3:uid="{03FDE77A-8B3D-4A6C-87AA-82BA607BD34D}" name="Private Capital Income" dataDxfId="66"/>
    <tableColumn id="8" xr3:uid="{CCDC9504-6770-4C5C-9959-9CABAEB4CF99}" name="Total Capital Income" dataDxfId="65"/>
    <tableColumn id="9" xr3:uid="{D49DAB96-14EE-405D-9A80-D0B8A36E14C1}" name="Total Population Served" dataDxfId="64" dataCellStyle="sInteger"/>
    <tableColumn id="10" xr3:uid="{98C25ACE-F73E-406A-819A-10A3971CFAC8}" name="Capital Expenditures for Electronic Access" dataDxfId="63"/>
    <tableColumn id="11" xr3:uid="{F39CCCE9-F4BD-4D62-A9E4-FFDE4FD8CF3D}" name="Furnishings and Equipment Expenditures" dataDxfId="62"/>
    <tableColumn id="12" xr3:uid="{D4E4E1D8-C94B-49E0-B963-2D9E42FDD1B8}" name="Building Expenditures" dataDxfId="61"/>
    <tableColumn id="13" xr3:uid="{721434DA-458D-4F3A-B6D3-ED80C93827A3}" name="Other Capital Expenditures" dataDxfId="60"/>
    <tableColumn id="14" xr3:uid="{6168C911-9283-41DA-A895-4F70972CDBFF}" name="Total Capital Expenditures" dataDxfId="59"/>
  </tableColumns>
  <tableStyleInfo name="TableStyleLight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EF7D821-1018-440A-97C6-D08AB413E75F}" name="Table9" displayName="Table9" ref="A3:K393" totalsRowShown="0" headerRowDxfId="58" tableBorderDxfId="57" dataCellStyle="sText">
  <autoFilter ref="A3:K393" xr:uid="{438E5353-403D-4127-B412-E9879C199178}"/>
  <tableColumns count="11">
    <tableColumn id="1" xr3:uid="{93155F9F-94BA-4AF4-97D8-011FF21BA9FD}" name="FSCS" dataCellStyle="sText"/>
    <tableColumn id="2" xr3:uid="{267D0745-13A8-468A-A857-3041D422A188}" name="Location" dataDxfId="56"/>
    <tableColumn id="3" xr3:uid="{FD1DB23B-ED5B-4185-8D77-7F4D29BA3480}" name="Library Class" dataDxfId="55" dataCellStyle="sText"/>
    <tableColumn id="4" xr3:uid="{58737725-FED1-4BBB-9961-8416ABF7A498}" name="Total Population Served" dataDxfId="54" dataCellStyle="sInteger"/>
    <tableColumn id="5" xr3:uid="{D271EFED-F608-4BF1-91E1-D9D43A80BDEB}" name="City" dataDxfId="53" dataCellStyle="sText"/>
    <tableColumn id="6" xr3:uid="{7D96D9A9-58C3-4084-B703-E54E111A9117}" name="County" dataDxfId="52" dataCellStyle="sText"/>
    <tableColumn id="7" xr3:uid="{E8EB2E61-767D-4F94-8D03-59C170DC4613}" name="Cooperative" dataDxfId="51" dataCellStyle="sText"/>
    <tableColumn id="8" xr3:uid="{A284E812-ED47-458F-AC95-5A7F7C5A9F9D}" name="Non-Resident Fee" dataDxfId="50" dataCellStyle="sText"/>
    <tableColumn id="9" xr3:uid="{F076518C-CC38-4600-9D9C-3F365D6FFA5D}" name="NR Fee Annual or One Time" dataDxfId="49" dataCellStyle="sText"/>
    <tableColumn id="10" xr3:uid="{81B1879A-AC4E-4A99-A7C2-1CF7461CCA6E}" name="Fee schedule or non-resident rate (Example: $35/family;$25/individual)" dataDxfId="48" dataCellStyle="sText"/>
    <tableColumn id="11" xr3:uid="{F8952568-3BE8-4D63-9AB3-52E9678C4D66}" name="Full Library Service for Contracted Municipalities" dataDxfId="47" dataCellStyle="sText"/>
  </tableColumns>
  <tableStyleInfo name="TableStyleLight1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32231B-9111-4E22-8C93-72637C0B6355}" name="Table10" displayName="Table10" ref="A3:S393" totalsRowShown="0" headerRowDxfId="46" headerRowBorderDxfId="45" tableBorderDxfId="44">
  <autoFilter ref="A3:S393" xr:uid="{0868BCAC-F6E0-46FC-8B12-2ACA7A55B68E}"/>
  <sortState xmlns:xlrd2="http://schemas.microsoft.com/office/spreadsheetml/2017/richdata2" ref="A4:S393">
    <sortCondition ref="F4"/>
  </sortState>
  <tableColumns count="19">
    <tableColumn id="1" xr3:uid="{E5EA3970-DDC6-43EA-A80E-6BAC4F1C29FA}" name="FSCS" dataCellStyle="sText"/>
    <tableColumn id="2" xr3:uid="{85A591C0-F230-4B4F-89AE-288AF894EB1A}" name="Location" dataDxfId="43"/>
    <tableColumn id="3" xr3:uid="{FB89BA07-871B-4481-A733-FD1C46320EB6}" name="Library Class" dataCellStyle="sText"/>
    <tableColumn id="4" xr3:uid="{84956AED-D46D-45BB-B6DA-8C912A9B69D0}" name="Total Population Served" dataDxfId="42" dataCellStyle="sInteger"/>
    <tableColumn id="5" xr3:uid="{7A8A1E5E-7952-4A54-8B12-4356CED21FA5}" name="Number of ALA-MLS Librarians" dataDxfId="41" dataCellStyle="sInteger"/>
    <tableColumn id="6" xr3:uid="{94F0B888-CA65-4515-B20A-4073D0554F65}" name="Total Hours per Week worked by ALA-MLS Librarians" dataDxfId="40"/>
    <tableColumn id="7" xr3:uid="{18EAC1CB-C760-443C-AAF7-CE8B0C85C28A}" name="ALA-MLS FTE (40 Hours/wk)" dataDxfId="39"/>
    <tableColumn id="8" xr3:uid="{B654DF14-84E2-447A-B78E-E9B9DC71342B}" name="Number of Other Librarians" dataDxfId="38" dataCellStyle="sInteger"/>
    <tableColumn id="9" xr3:uid="{824F3116-C1F0-4C2B-B60C-93F3925CBF84}" name="Total Hours per Week worked by Other Librarians" dataDxfId="37"/>
    <tableColumn id="10" xr3:uid="{30EB29F7-D180-454A-93DB-F40DF03C4E6F}" name="Other Librarians FTE (40 Hours/wk)" dataDxfId="36"/>
    <tableColumn id="11" xr3:uid="{3D24A256-D434-4EBA-84F8-D22F14FED092}" name="Number of Total Librarians" dataDxfId="35" dataCellStyle="sInteger"/>
    <tableColumn id="12" xr3:uid="{E92DFF15-0BA4-46CA-BF02-84352AC9819C}" name="Total Hours per Week worked by Total Librarians" dataDxfId="34"/>
    <tableColumn id="13" xr3:uid="{A3EF3DDD-72D0-4413-929E-118AEA7651A1}" name="Total Librarians FTE (40 Hours/wk)" dataDxfId="33"/>
    <tableColumn id="14" xr3:uid="{1799B225-382F-4C85-8FB7-DCAC18737187}" name="Number of All Other Paid Staff" dataDxfId="32" dataCellStyle="sInteger"/>
    <tableColumn id="15" xr3:uid="{0C09FB4A-9BD1-4CEF-B107-82F0438A709B}" name="Total Hours per Week worked by All Other Paid Staff" dataDxfId="31"/>
    <tableColumn id="16" xr3:uid="{7100F10F-0B40-47EB-8660-2EBBAC1757A8}" name="All Other Paid Staff FTE (40 Hours/wk)" dataDxfId="30"/>
    <tableColumn id="17" xr3:uid="{8EF6687D-157E-4E7A-8F8B-E6E79A979870}" name="Number of Total Paid Employees" dataDxfId="29" dataCellStyle="sInteger"/>
    <tableColumn id="18" xr3:uid="{E5D9D9AF-9FA0-4C85-BD1C-CFAA109E2212}" name="Total Hours per Week worked by Total Paid Employees" dataDxfId="28"/>
    <tableColumn id="19" xr3:uid="{8476BADB-53BC-4B4D-808F-3D852DAFC55A}" name="Total Paid Employees FTE (40 Hours/wk)" dataDxfId="27"/>
  </tableColumns>
  <tableStyleInfo name="TableStyleLight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875D5A1-5FA9-435F-940C-4191C1AFC04B}" name="Table11" displayName="Table11" ref="A3:S393" totalsRowShown="0" headerRowDxfId="26" headerRowBorderDxfId="25" tableBorderDxfId="24" dataCellStyle="sText">
  <autoFilter ref="A3:S393" xr:uid="{63E4ABE7-30FD-46A2-9A46-565B320A1862}"/>
  <sortState xmlns:xlrd2="http://schemas.microsoft.com/office/spreadsheetml/2017/richdata2" ref="A4:S393">
    <sortCondition ref="C3:C393"/>
  </sortState>
  <tableColumns count="19">
    <tableColumn id="1" xr3:uid="{5B0878E9-6FEE-4913-A3FF-13328862FFCE}" name="FSCS" dataCellStyle="sText"/>
    <tableColumn id="2" xr3:uid="{2E505EC0-D134-4458-93BE-BB2341FBB77A}" name="Location" dataDxfId="23"/>
    <tableColumn id="3" xr3:uid="{40CEE737-B786-46D3-B879-994D0D8BB40F}" name="Library Class" dataCellStyle="sText"/>
    <tableColumn id="4" xr3:uid="{CAA643F0-1254-4D96-8C15-9D2F3CEEB89B}" name="Director's Certification Level (I, II, III, or IV)" dataCellStyle="sText"/>
    <tableColumn id="5" xr3:uid="{D1E23372-F2ED-4B54-958C-2B65E68C967E}" name="Director Minimum Salary" dataDxfId="22"/>
    <tableColumn id="6" xr3:uid="{5FF98D10-CE39-4E43-956F-17CBA947B8EC}" name="Director Maximum Salary" dataDxfId="21"/>
    <tableColumn id="7" xr3:uid="{2FF878C1-5C93-4810-83CD-A3EAE9B911B7}" name="Director Average Hrs/Wk" dataCellStyle="sInteger"/>
    <tableColumn id="8" xr3:uid="{11C7AE97-F956-4858-B85B-642C19870D76}" name="Health Insurance" dataCellStyle="sText"/>
    <tableColumn id="9" xr3:uid="{AEF99CB0-55FD-42A3-BFC3-3DEF26D5703A}" name="Dental Insurance" dataCellStyle="sText"/>
    <tableColumn id="10" xr3:uid="{7427BD35-0F1D-4B74-88E5-B5AD632B0A7A}" name="Vision Insurance" dataCellStyle="sText"/>
    <tableColumn id="11" xr3:uid="{7E3F3185-08C3-4580-9E06-0CFB772A20CB}" name="Life Insurance" dataCellStyle="sText"/>
    <tableColumn id="12" xr3:uid="{6484EABA-E20F-4B4D-9D38-CDEF87CB2DDC}" name="Pension" dataCellStyle="sText"/>
    <tableColumn id="13" xr3:uid="{69C87C7C-8D68-4D5A-A3F7-0E14C0967351}" name="Paid Sick Leave" dataCellStyle="sText"/>
    <tableColumn id="14" xr3:uid="{C3AD7AC8-5D2B-4B1E-BDC0-3AADE81EB62F}" name="Paid Vacation" dataCellStyle="sText"/>
    <tableColumn id="15" xr3:uid="{C1DB882B-42CC-4FE6-971D-CF582261F9A1}" name="Paid Personal Days" dataCellStyle="sText"/>
    <tableColumn id="16" xr3:uid="{FEB61FB5-86FD-4B4D-BA57-9A61A65C9B43}" name="Paid Holidays" dataCellStyle="sText"/>
    <tableColumn id="17" xr3:uid="{2536E96F-7CBB-41E4-98FE-7E7EEF89F5EA}" name="Deferred Compensation" dataCellStyle="sText"/>
    <tableColumn id="18" xr3:uid="{2915A045-FAA9-45D7-9614-A30074B874EB}" name="Disability" dataCellStyle="sText"/>
    <tableColumn id="19" xr3:uid="{C863862F-130F-4717-AE0B-8ACB66CEF20C}" name="Longevity" dataCellStyle="sText"/>
  </tableColumns>
  <tableStyleInfo name="TableStyleLight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430BEA4-A6B9-4ADF-A271-30F2ACE3B4FF}" name="Table12" displayName="Table12" ref="A3:AS393" totalsRowShown="0" headerRowDxfId="20" headerRowBorderDxfId="19" tableBorderDxfId="18" dataCellStyle="sText">
  <autoFilter ref="A3:AS393" xr:uid="{617F3665-5C30-4D35-9751-57E1E64E4FB1}"/>
  <tableColumns count="45">
    <tableColumn id="1" xr3:uid="{C9BF8701-8A19-42E1-B113-09CBA1B92DDA}" name="FSCS" dataDxfId="17" dataCellStyle="sText"/>
    <tableColumn id="2" xr3:uid="{0E43DFE3-D3BC-4E0E-AF85-61581B0260E7}" name="Location" dataDxfId="16"/>
    <tableColumn id="3" xr3:uid="{49262F0D-6200-4A12-8E3A-6836E9ECC4FA}" name="Library Class" dataDxfId="15" dataCellStyle="sText"/>
    <tableColumn id="4" xr3:uid="{7218C192-2FD5-40DF-8B60-AA7ECCB4EBEB}" name="Assistant Director Average Hrs/Wk" dataDxfId="14" dataCellStyle="sInteger"/>
    <tableColumn id="5" xr3:uid="{3FF23C82-4DD6-4C04-B68D-D88766FF9BCC}" name="Assistant Director Minimum Salary"/>
    <tableColumn id="6" xr3:uid="{65ECB2BD-FCEB-4B58-AC27-1F73C753946C}" name="Assistant Director Maximum Salary"/>
    <tableColumn id="7" xr3:uid="{1AE2CB92-AAD7-4DD4-8278-938A9E991A30}" name="Department/Branch Head Average Hrs/Wk" dataCellStyle="sInteger"/>
    <tableColumn id="8" xr3:uid="{2743DDBD-6EA3-47EB-9C01-675A3D98D4ED}" name="Department/Branch Head Minimum Salary" dataDxfId="13"/>
    <tableColumn id="9" xr3:uid="{6F52272F-B72B-46B1-9E5D-A2CFC17C9742}" name="Department/Branch Head Maximum Salary" dataDxfId="12"/>
    <tableColumn id="10" xr3:uid="{69153D3A-0E20-434E-BC93-3CB1B2AC1812}" name="Senior Level Librarian Average Hrs/Wk" dataCellStyle="sInteger"/>
    <tableColumn id="11" xr3:uid="{FBB105D8-C2D2-45B1-AB2D-DABDC82C83FC}" name="Senior Level Librarian Minimum Salary" dataDxfId="11"/>
    <tableColumn id="12" xr3:uid="{A4A1FC43-49C1-400A-90E3-0D4BD633E617}" name="Senior Level Librarian Maximum Salary" dataDxfId="10"/>
    <tableColumn id="13" xr3:uid="{DB3E1646-0359-4B25-A1BE-5E1008B8975B}" name="Entry Level Librarian Average Hrs/Wk" dataCellStyle="sInteger"/>
    <tableColumn id="14" xr3:uid="{34BB28BA-6762-47E3-BDC8-2E2BCC1177F3}" name="Entry Level Librarian Minimum Salary" dataDxfId="9"/>
    <tableColumn id="15" xr3:uid="{36E7CA72-37AA-4908-9A33-DC56CADAB863}" name="Entry Level Librarian Maximum Salary" dataDxfId="8"/>
    <tableColumn id="16" xr3:uid="{207AF1F2-62B8-477D-9AFC-B8FE85BADA89}" name="Computer/Technology Specialist Average Hrs/Wk" dataCellStyle="sInteger"/>
    <tableColumn id="17" xr3:uid="{B4D185E7-D617-45D9-B5AC-AE64FBA357A5}" name="Computer/Technology Specialist Minimum Salary" dataDxfId="7"/>
    <tableColumn id="18" xr3:uid="{8763D263-6C57-47E7-91BA-6266FD03EA32}" name="Computer/Technology Specialist Maximum Salary" dataDxfId="6"/>
    <tableColumn id="19" xr3:uid="{0C33F3BD-4EAC-4889-A5E1-10599D7FE351}" name="Library Clerk Average Hrs/Wk" dataCellStyle="sInteger"/>
    <tableColumn id="20" xr3:uid="{6B2D707D-6806-471E-AC32-378D7779CFE8}" name="Library Clerk Minimum Salary" dataDxfId="5"/>
    <tableColumn id="21" xr3:uid="{67EDD704-EAF7-4B9E-A2F8-3DA00DFEF9C6}" name="Library Clerk Maximum Salary" dataDxfId="4"/>
    <tableColumn id="22" xr3:uid="{AF88F6F1-8117-49A1-A18E-5550CB4219FF}" name="Full Time Employee Health Insurance" dataDxfId="3" dataCellStyle="sText"/>
    <tableColumn id="23" xr3:uid="{3E2456EB-8101-4161-86AB-3D6A881DE82B}" name="Full Time Employee Dental Insurance" dataCellStyle="sText"/>
    <tableColumn id="24" xr3:uid="{292C03FE-1B52-4C6C-89B5-DDF8249C9422}" name="Full Time Employee Life Insurance" dataCellStyle="sText"/>
    <tableColumn id="25" xr3:uid="{400E5D07-62E3-4384-9345-BCF56C25D43C}" name="Full Time Employee Pension" dataCellStyle="sText"/>
    <tableColumn id="26" xr3:uid="{7F020EE2-C43A-4B09-BB76-54DEE9BBFAEB}" name="Full Time Employee Vision Insurance" dataCellStyle="sText"/>
    <tableColumn id="27" xr3:uid="{AA22E63C-62AA-4E99-A5EF-84AA53064014}" name="Full Time Employee Paid Sick Leave" dataCellStyle="sText"/>
    <tableColumn id="28" xr3:uid="{8EE8D4A3-9425-43D1-B336-D5606369F998}" name="Full Time EmployeePaid Vacation" dataCellStyle="sText"/>
    <tableColumn id="29" xr3:uid="{55A5BA95-068B-45F9-BC09-9BAEF6037B82}" name="Full Time EmployeePaid Holidays" dataCellStyle="sText"/>
    <tableColumn id="30" xr3:uid="{A136687A-A016-46E3-B920-6012C422CCEC}" name="Full Time Employee Deferred Compensation" dataCellStyle="sText"/>
    <tableColumn id="31" xr3:uid="{CC824E8F-F63C-4BF8-915F-0B59C5E8BEB0}" name="Full Time Employee Disability" dataCellStyle="sText"/>
    <tableColumn id="32" xr3:uid="{20E6B12C-C1AB-4BC0-8D99-7F7A86E50C06}" name="Full Time Employee Paid Personal Days" dataCellStyle="sText"/>
    <tableColumn id="33" xr3:uid="{0277B6F9-E17D-4427-9AD6-35BDAFEE785E}" name="Full Time Employee Longevity" dataDxfId="2" dataCellStyle="sText"/>
    <tableColumn id="34" xr3:uid="{2436D9EB-D631-4024-80B3-4150861211A8}" name="Part Time Employee Health Insurance" dataDxfId="1" dataCellStyle="sText"/>
    <tableColumn id="35" xr3:uid="{43C8A18E-2448-46B9-BE91-4BB847469A49}" name="Part Time Employee Dental Insurance" dataCellStyle="sText"/>
    <tableColumn id="36" xr3:uid="{1F6D1BFA-C867-40D7-825A-912E28E47DE7}" name="Part Time Employee Life Insurance" dataCellStyle="sText"/>
    <tableColumn id="37" xr3:uid="{F1CDFF3C-79A7-4287-B6BD-63FDA1F3ACA6}" name="Part Time Employee Pension" dataCellStyle="sText"/>
    <tableColumn id="38" xr3:uid="{90E60EBA-908E-48C8-BE86-37A109E30F16}" name="Part Time Employee Vision Insurance" dataCellStyle="sText"/>
    <tableColumn id="39" xr3:uid="{8E17D84F-BCA1-46E7-B092-655D7B995BC5}" name="Part Time Employee Paid Sick Leave" dataCellStyle="sText"/>
    <tableColumn id="40" xr3:uid="{99AC9831-5096-4E39-9173-34FB19378574}" name="Part Time Employee Paid Vacation" dataCellStyle="sText"/>
    <tableColumn id="41" xr3:uid="{BB9A0EB3-4DBC-450A-9C68-9D54BD006228}" name="Part Time Employee Paid Holidays" dataCellStyle="sText"/>
    <tableColumn id="42" xr3:uid="{9A5E8E27-18B6-467D-823F-DCA22F7512F9}" name="Part Time Employee Deferred Compensation" dataCellStyle="sText"/>
    <tableColumn id="43" xr3:uid="{856AE141-B485-41E0-8B89-A9E0E9D769E7}" name="Part Time Employee Disability" dataCellStyle="sText"/>
    <tableColumn id="44" xr3:uid="{F35B7E19-3D7E-4A9C-A70D-47BA4D2FE5C3}" name="Part Time Employee Paid Personal Days" dataCellStyle="sText"/>
    <tableColumn id="45" xr3:uid="{6E9640D4-D055-4720-8614-DE14B9A991C2}" name="Part Time Employee Longevity" dataDxfId="0" dataCellStyle="sText"/>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F28D-15DC-4034-98F9-807F470D83BE}">
  <dimension ref="B9:D22"/>
  <sheetViews>
    <sheetView tabSelected="1" workbookViewId="0">
      <selection activeCell="C8" sqref="C8"/>
    </sheetView>
  </sheetViews>
  <sheetFormatPr defaultRowHeight="15" x14ac:dyDescent="0.25"/>
  <cols>
    <col min="2" max="2" width="30.140625" bestFit="1" customWidth="1"/>
  </cols>
  <sheetData>
    <row r="9" spans="2:4" x14ac:dyDescent="0.25">
      <c r="B9" s="256" t="s">
        <v>0</v>
      </c>
    </row>
    <row r="10" spans="2:4" x14ac:dyDescent="0.25">
      <c r="B10" s="257" t="s">
        <v>1</v>
      </c>
      <c r="C10" s="2"/>
      <c r="D10" s="2"/>
    </row>
    <row r="11" spans="2:4" x14ac:dyDescent="0.25">
      <c r="B11" s="257" t="s">
        <v>2</v>
      </c>
      <c r="C11" s="2"/>
      <c r="D11" s="2"/>
    </row>
    <row r="12" spans="2:4" x14ac:dyDescent="0.25">
      <c r="B12" s="257" t="s">
        <v>3</v>
      </c>
      <c r="C12" s="2"/>
      <c r="D12" s="2"/>
    </row>
    <row r="13" spans="2:4" x14ac:dyDescent="0.25">
      <c r="B13" s="257" t="s">
        <v>4</v>
      </c>
      <c r="C13" s="2"/>
      <c r="D13" s="2"/>
    </row>
    <row r="14" spans="2:4" x14ac:dyDescent="0.25">
      <c r="B14" s="257" t="s">
        <v>5</v>
      </c>
      <c r="C14" s="2"/>
      <c r="D14" s="2"/>
    </row>
    <row r="15" spans="2:4" x14ac:dyDescent="0.25">
      <c r="B15" s="257" t="s">
        <v>6</v>
      </c>
      <c r="C15" s="2"/>
      <c r="D15" s="2"/>
    </row>
    <row r="16" spans="2:4" x14ac:dyDescent="0.25">
      <c r="B16" s="257" t="s">
        <v>7</v>
      </c>
      <c r="C16" s="2"/>
      <c r="D16" s="2"/>
    </row>
    <row r="17" spans="2:4" x14ac:dyDescent="0.25">
      <c r="B17" s="257" t="s">
        <v>8</v>
      </c>
      <c r="C17" s="2"/>
      <c r="D17" s="2"/>
    </row>
    <row r="18" spans="2:4" x14ac:dyDescent="0.25">
      <c r="B18" s="257" t="s">
        <v>9</v>
      </c>
      <c r="C18" s="2"/>
      <c r="D18" s="2"/>
    </row>
    <row r="19" spans="2:4" x14ac:dyDescent="0.25">
      <c r="B19" s="257" t="s">
        <v>10</v>
      </c>
      <c r="C19" s="2"/>
      <c r="D19" s="2"/>
    </row>
    <row r="20" spans="2:4" x14ac:dyDescent="0.25">
      <c r="B20" s="257" t="s">
        <v>11</v>
      </c>
      <c r="C20" s="2"/>
      <c r="D20" s="2"/>
    </row>
    <row r="21" spans="2:4" x14ac:dyDescent="0.25">
      <c r="B21" s="257" t="s">
        <v>3484</v>
      </c>
      <c r="C21" s="1"/>
      <c r="D21" s="2"/>
    </row>
    <row r="22" spans="2:4" x14ac:dyDescent="0.25">
      <c r="B22" s="257" t="s">
        <v>3485</v>
      </c>
      <c r="C22" s="2"/>
      <c r="D22" s="2"/>
    </row>
  </sheetData>
  <hyperlinks>
    <hyperlink ref="B12" location="Services!A1" display="Services" xr:uid="{2508BF27-956E-463D-A007-073FB21FCDBE}"/>
    <hyperlink ref="B13" location="Programs!A1" display="Programs" xr:uid="{F469FDF7-CB74-4143-90EC-8D41234447C3}"/>
    <hyperlink ref="B15" location="Millages!A1" display="Millages" xr:uid="{D1D871E2-5402-4ABE-B31D-AE9A22E5F799}"/>
    <hyperlink ref="B20" location="Staffing!A1" display="Staffing" xr:uid="{DBC9C7BF-1647-4C04-A1C2-B315FAE3A353}"/>
    <hyperlink ref="B22" location="'Other Employee Salary'!A1" display="Other Employee Salary &amp; Benefits" xr:uid="{B8644896-1AAC-4FFB-B3B1-8F2DB83F95DD}"/>
    <hyperlink ref="B21" location="'Director''s Salary'!A1" display="Directors Salary &amp; Benefits" xr:uid="{5BFA9E03-6615-4234-8DBE-C5FAA1DD5847}"/>
    <hyperlink ref="B19" location="'Nonresident Fees'!A1" display="Nonresident Fees" xr:uid="{34114094-B095-4C5E-8974-9A136C2BD0FE}"/>
    <hyperlink ref="B18" location="'Capital Income &amp; Expenditure'!A1" display="Capital Income and Expenditure" xr:uid="{FA2391F9-489F-4862-ACA1-778815E81F73}"/>
    <hyperlink ref="B17" location="'Operating Expenditure'!A1" display="Operating Expenditures" xr:uid="{F19EE5C6-0500-476E-8165-788E1508527F}"/>
    <hyperlink ref="B16" location="'Operating Income'!A1" display="Operating Income" xr:uid="{F2BE9766-C774-4268-8023-A0AD0B08F81B}"/>
    <hyperlink ref="B14" location="Technology!A1" display="Technology" xr:uid="{B2EC4A70-BC03-4BB2-90AF-2D37AF861960}"/>
    <hyperlink ref="B11" location="Collections!A1" display="Collections" xr:uid="{71442E56-2BE9-4FB5-B2F0-6C3A0A480EAD}"/>
    <hyperlink ref="B10" location="'Outlets, Hours and SqFt'!A1" display="Outlets, Hours, SqFt" xr:uid="{9DC788A8-41BD-4A21-99EF-28A562E7F088}"/>
    <hyperlink ref="B21:C21" location="'Director''s Salary'!A1" display="Directors Salary" xr:uid="{42E435CA-4283-4009-A46C-73AACFA65797}"/>
    <hyperlink ref="B9" location="'Summary and Definitions'!A1" display="Summary and Definitions" xr:uid="{78AF5BB2-DEAC-4418-BDB4-90BA2FBB6CB5}"/>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12B1-944E-44F8-A719-9665D476854A}">
  <sheetPr>
    <tabColor theme="3" tint="0.59999389629810485"/>
  </sheetPr>
  <dimension ref="A1:B910"/>
  <sheetViews>
    <sheetView zoomScale="75" zoomScaleNormal="75" workbookViewId="0"/>
  </sheetViews>
  <sheetFormatPr defaultRowHeight="15" x14ac:dyDescent="0.25"/>
  <cols>
    <col min="1" max="1" width="91" bestFit="1" customWidth="1"/>
    <col min="2" max="2" width="101.140625" style="40" customWidth="1"/>
  </cols>
  <sheetData>
    <row r="1" spans="2:2" ht="18.75" x14ac:dyDescent="0.3">
      <c r="B1" s="38" t="s">
        <v>13</v>
      </c>
    </row>
    <row r="22" spans="1:2" ht="15.75" thickBot="1" x14ac:dyDescent="0.3"/>
    <row r="23" spans="1:2" ht="15.75" thickBot="1" x14ac:dyDescent="0.3">
      <c r="A23" s="3" t="s">
        <v>14</v>
      </c>
      <c r="B23" s="3" t="s">
        <v>15</v>
      </c>
    </row>
    <row r="24" spans="1:2" s="25" customFormat="1" ht="15.75" thickBot="1" x14ac:dyDescent="0.3">
      <c r="A24" s="24" t="s">
        <v>16</v>
      </c>
      <c r="B24" s="4"/>
    </row>
    <row r="25" spans="1:2" s="25" customFormat="1" ht="15.75" thickBot="1" x14ac:dyDescent="0.3">
      <c r="A25" s="26" t="s">
        <v>17</v>
      </c>
      <c r="B25" s="5"/>
    </row>
    <row r="26" spans="1:2" s="25" customFormat="1" x14ac:dyDescent="0.25">
      <c r="A26" s="27" t="s">
        <v>18</v>
      </c>
      <c r="B26" s="7"/>
    </row>
    <row r="27" spans="1:2" s="25" customFormat="1" ht="51.75" thickBot="1" x14ac:dyDescent="0.3">
      <c r="A27" s="28"/>
      <c r="B27" s="8" t="s">
        <v>3475</v>
      </c>
    </row>
    <row r="28" spans="1:2" s="25" customFormat="1" x14ac:dyDescent="0.25">
      <c r="A28" s="27" t="s">
        <v>19</v>
      </c>
      <c r="B28" s="7"/>
    </row>
    <row r="29" spans="1:2" s="25" customFormat="1" ht="51.75" thickBot="1" x14ac:dyDescent="0.3">
      <c r="A29" s="28"/>
      <c r="B29" s="8" t="s">
        <v>3475</v>
      </c>
    </row>
    <row r="30" spans="1:2" s="25" customFormat="1" ht="15.75" thickBot="1" x14ac:dyDescent="0.3">
      <c r="A30" s="29" t="s">
        <v>20</v>
      </c>
      <c r="B30" s="9"/>
    </row>
    <row r="31" spans="1:2" s="25" customFormat="1" ht="15.75" thickBot="1" x14ac:dyDescent="0.3">
      <c r="A31" s="29" t="s">
        <v>21</v>
      </c>
      <c r="B31" s="9" t="s">
        <v>22</v>
      </c>
    </row>
    <row r="32" spans="1:2" s="25" customFormat="1" x14ac:dyDescent="0.25">
      <c r="A32" s="27" t="s">
        <v>23</v>
      </c>
      <c r="B32" s="6"/>
    </row>
    <row r="33" spans="1:2" s="25" customFormat="1" ht="15.75" thickBot="1" x14ac:dyDescent="0.3">
      <c r="A33" s="28"/>
      <c r="B33" s="8"/>
    </row>
    <row r="34" spans="1:2" s="25" customFormat="1" ht="25.5" x14ac:dyDescent="0.25">
      <c r="A34" s="27" t="s">
        <v>24</v>
      </c>
      <c r="B34" s="6" t="s">
        <v>25</v>
      </c>
    </row>
    <row r="35" spans="1:2" s="25" customFormat="1" ht="15.75" thickBot="1" x14ac:dyDescent="0.3">
      <c r="A35" s="28"/>
      <c r="B35" s="8"/>
    </row>
    <row r="36" spans="1:2" s="25" customFormat="1" x14ac:dyDescent="0.25">
      <c r="A36" s="27" t="s">
        <v>26</v>
      </c>
      <c r="B36" s="6" t="s">
        <v>27</v>
      </c>
    </row>
    <row r="37" spans="1:2" s="25" customFormat="1" ht="15.75" thickBot="1" x14ac:dyDescent="0.3">
      <c r="A37" s="28"/>
      <c r="B37" s="8"/>
    </row>
    <row r="38" spans="1:2" s="25" customFormat="1" x14ac:dyDescent="0.25">
      <c r="A38" s="27" t="s">
        <v>28</v>
      </c>
      <c r="B38" s="6" t="s">
        <v>29</v>
      </c>
    </row>
    <row r="39" spans="1:2" s="25" customFormat="1" ht="15.75" thickBot="1" x14ac:dyDescent="0.3">
      <c r="A39" s="28"/>
      <c r="B39" s="8"/>
    </row>
    <row r="40" spans="1:2" s="25" customFormat="1" ht="25.5" x14ac:dyDescent="0.25">
      <c r="A40" s="27" t="s">
        <v>30</v>
      </c>
      <c r="B40" s="6" t="s">
        <v>31</v>
      </c>
    </row>
    <row r="41" spans="1:2" s="25" customFormat="1" ht="15.75" thickBot="1" x14ac:dyDescent="0.3">
      <c r="A41" s="28"/>
      <c r="B41" s="8"/>
    </row>
    <row r="42" spans="1:2" s="25" customFormat="1" x14ac:dyDescent="0.25">
      <c r="A42" s="27" t="s">
        <v>32</v>
      </c>
      <c r="B42" s="6" t="s">
        <v>33</v>
      </c>
    </row>
    <row r="43" spans="1:2" s="25" customFormat="1" ht="15.75" thickBot="1" x14ac:dyDescent="0.3">
      <c r="A43" s="28"/>
      <c r="B43" s="8"/>
    </row>
    <row r="44" spans="1:2" s="25" customFormat="1" x14ac:dyDescent="0.25">
      <c r="A44" s="27" t="s">
        <v>34</v>
      </c>
      <c r="B44" s="6" t="s">
        <v>35</v>
      </c>
    </row>
    <row r="45" spans="1:2" s="25" customFormat="1" ht="15.75" thickBot="1" x14ac:dyDescent="0.3">
      <c r="A45" s="28"/>
      <c r="B45" s="8"/>
    </row>
    <row r="46" spans="1:2" s="25" customFormat="1" x14ac:dyDescent="0.25">
      <c r="A46" s="27" t="s">
        <v>36</v>
      </c>
      <c r="B46" s="6" t="s">
        <v>37</v>
      </c>
    </row>
    <row r="47" spans="1:2" s="25" customFormat="1" ht="15.75" thickBot="1" x14ac:dyDescent="0.3">
      <c r="A47" s="28"/>
      <c r="B47" s="8"/>
    </row>
    <row r="48" spans="1:2" s="25" customFormat="1" x14ac:dyDescent="0.25">
      <c r="A48" s="27" t="s">
        <v>38</v>
      </c>
      <c r="B48" s="6" t="s">
        <v>39</v>
      </c>
    </row>
    <row r="49" spans="1:2" s="25" customFormat="1" ht="15.75" thickBot="1" x14ac:dyDescent="0.3">
      <c r="A49" s="28"/>
      <c r="B49" s="8"/>
    </row>
    <row r="50" spans="1:2" s="25" customFormat="1" ht="25.5" x14ac:dyDescent="0.25">
      <c r="A50" s="27" t="s">
        <v>40</v>
      </c>
      <c r="B50" s="6" t="s">
        <v>41</v>
      </c>
    </row>
    <row r="51" spans="1:2" s="25" customFormat="1" ht="15.75" thickBot="1" x14ac:dyDescent="0.3">
      <c r="A51" s="28"/>
      <c r="B51" s="8"/>
    </row>
    <row r="52" spans="1:2" s="25" customFormat="1" x14ac:dyDescent="0.25">
      <c r="A52" s="27" t="s">
        <v>42</v>
      </c>
      <c r="B52" s="6" t="s">
        <v>43</v>
      </c>
    </row>
    <row r="53" spans="1:2" s="25" customFormat="1" ht="15.75" thickBot="1" x14ac:dyDescent="0.3">
      <c r="A53" s="28"/>
      <c r="B53" s="8"/>
    </row>
    <row r="54" spans="1:2" s="25" customFormat="1" x14ac:dyDescent="0.25">
      <c r="A54" s="27" t="s">
        <v>44</v>
      </c>
      <c r="B54" s="6" t="s">
        <v>45</v>
      </c>
    </row>
    <row r="55" spans="1:2" s="25" customFormat="1" ht="15.75" thickBot="1" x14ac:dyDescent="0.3">
      <c r="A55" s="28"/>
      <c r="B55" s="8"/>
    </row>
    <row r="56" spans="1:2" s="25" customFormat="1" ht="25.5" x14ac:dyDescent="0.25">
      <c r="A56" s="27" t="s">
        <v>46</v>
      </c>
      <c r="B56" s="6" t="s">
        <v>47</v>
      </c>
    </row>
    <row r="57" spans="1:2" s="25" customFormat="1" ht="15.75" thickBot="1" x14ac:dyDescent="0.3">
      <c r="A57" s="28"/>
      <c r="B57" s="8"/>
    </row>
    <row r="58" spans="1:2" s="25" customFormat="1" x14ac:dyDescent="0.25">
      <c r="A58" s="27" t="s">
        <v>48</v>
      </c>
      <c r="B58" s="6" t="s">
        <v>49</v>
      </c>
    </row>
    <row r="59" spans="1:2" s="25" customFormat="1" ht="15.75" thickBot="1" x14ac:dyDescent="0.3">
      <c r="A59" s="28"/>
      <c r="B59" s="8"/>
    </row>
    <row r="60" spans="1:2" s="25" customFormat="1" x14ac:dyDescent="0.25">
      <c r="A60" s="27" t="s">
        <v>50</v>
      </c>
      <c r="B60" s="7" t="s">
        <v>51</v>
      </c>
    </row>
    <row r="61" spans="1:2" s="25" customFormat="1" ht="15.75" thickBot="1" x14ac:dyDescent="0.3">
      <c r="A61" s="28"/>
      <c r="B61" s="8" t="s">
        <v>52</v>
      </c>
    </row>
    <row r="62" spans="1:2" s="25" customFormat="1" ht="25.5" x14ac:dyDescent="0.25">
      <c r="A62" s="27" t="s">
        <v>53</v>
      </c>
      <c r="B62" s="6" t="s">
        <v>54</v>
      </c>
    </row>
    <row r="63" spans="1:2" s="25" customFormat="1" ht="15.75" thickBot="1" x14ac:dyDescent="0.3">
      <c r="A63" s="28"/>
      <c r="B63" s="8"/>
    </row>
    <row r="64" spans="1:2" s="25" customFormat="1" x14ac:dyDescent="0.25">
      <c r="A64" s="27" t="s">
        <v>55</v>
      </c>
      <c r="B64" s="7" t="s">
        <v>56</v>
      </c>
    </row>
    <row r="65" spans="1:2" s="25" customFormat="1" ht="15.75" thickBot="1" x14ac:dyDescent="0.3">
      <c r="A65" s="28"/>
      <c r="B65" s="8" t="s">
        <v>57</v>
      </c>
    </row>
    <row r="66" spans="1:2" s="25" customFormat="1" x14ac:dyDescent="0.25">
      <c r="A66" s="27" t="s">
        <v>58</v>
      </c>
      <c r="B66" s="6"/>
    </row>
    <row r="67" spans="1:2" s="25" customFormat="1" ht="15.75" thickBot="1" x14ac:dyDescent="0.3">
      <c r="A67" s="28"/>
      <c r="B67" s="8"/>
    </row>
    <row r="68" spans="1:2" s="25" customFormat="1" ht="128.25" thickBot="1" x14ac:dyDescent="0.3">
      <c r="A68" s="29" t="s">
        <v>59</v>
      </c>
      <c r="B68" s="9" t="s">
        <v>60</v>
      </c>
    </row>
    <row r="69" spans="1:2" s="25" customFormat="1" x14ac:dyDescent="0.25">
      <c r="A69" s="27" t="s">
        <v>61</v>
      </c>
      <c r="B69" s="6" t="s">
        <v>62</v>
      </c>
    </row>
    <row r="70" spans="1:2" s="25" customFormat="1" ht="15.75" thickBot="1" x14ac:dyDescent="0.3">
      <c r="A70" s="28"/>
      <c r="B70" s="8"/>
    </row>
    <row r="71" spans="1:2" s="25" customFormat="1" x14ac:dyDescent="0.25">
      <c r="A71" s="27" t="s">
        <v>63</v>
      </c>
      <c r="B71" s="6" t="s">
        <v>64</v>
      </c>
    </row>
    <row r="72" spans="1:2" s="25" customFormat="1" ht="15.75" thickBot="1" x14ac:dyDescent="0.3">
      <c r="A72" s="28"/>
      <c r="B72" s="8"/>
    </row>
    <row r="73" spans="1:2" s="25" customFormat="1" ht="15.75" thickBot="1" x14ac:dyDescent="0.3">
      <c r="A73" s="29" t="s">
        <v>65</v>
      </c>
      <c r="B73" s="9"/>
    </row>
    <row r="74" spans="1:2" s="25" customFormat="1" ht="25.5" x14ac:dyDescent="0.25">
      <c r="A74" s="27" t="s">
        <v>66</v>
      </c>
      <c r="B74" s="6" t="s">
        <v>67</v>
      </c>
    </row>
    <row r="75" spans="1:2" s="25" customFormat="1" ht="15.75" thickBot="1" x14ac:dyDescent="0.3">
      <c r="A75" s="28"/>
      <c r="B75" s="8"/>
    </row>
    <row r="76" spans="1:2" s="25" customFormat="1" ht="16.5" thickBot="1" x14ac:dyDescent="0.3">
      <c r="A76" s="30" t="s">
        <v>68</v>
      </c>
      <c r="B76" s="10"/>
    </row>
    <row r="77" spans="1:2" s="25" customFormat="1" ht="17.25" thickBot="1" x14ac:dyDescent="0.3">
      <c r="A77" s="31" t="s">
        <v>69</v>
      </c>
      <c r="B77" s="41"/>
    </row>
    <row r="78" spans="1:2" s="25" customFormat="1" ht="15.75" thickBot="1" x14ac:dyDescent="0.3">
      <c r="A78" s="29" t="s">
        <v>70</v>
      </c>
      <c r="B78" s="9"/>
    </row>
    <row r="79" spans="1:2" s="25" customFormat="1" ht="15.75" thickBot="1" x14ac:dyDescent="0.3">
      <c r="A79" s="29" t="s">
        <v>71</v>
      </c>
      <c r="B79" s="9"/>
    </row>
    <row r="80" spans="1:2" s="25" customFormat="1" ht="15.75" thickBot="1" x14ac:dyDescent="0.3">
      <c r="A80" s="29" t="s">
        <v>72</v>
      </c>
      <c r="B80" s="9"/>
    </row>
    <row r="81" spans="1:2" s="25" customFormat="1" ht="15.75" thickBot="1" x14ac:dyDescent="0.3">
      <c r="A81" s="29" t="s">
        <v>73</v>
      </c>
      <c r="B81" s="9"/>
    </row>
    <row r="82" spans="1:2" s="25" customFormat="1" ht="15.75" thickBot="1" x14ac:dyDescent="0.3">
      <c r="A82" s="29" t="s">
        <v>74</v>
      </c>
      <c r="B82" s="9"/>
    </row>
    <row r="83" spans="1:2" s="25" customFormat="1" ht="15.75" thickBot="1" x14ac:dyDescent="0.3">
      <c r="A83" s="29" t="s">
        <v>75</v>
      </c>
      <c r="B83" s="9"/>
    </row>
    <row r="84" spans="1:2" s="25" customFormat="1" ht="25.5" x14ac:dyDescent="0.25">
      <c r="A84" s="27" t="s">
        <v>76</v>
      </c>
      <c r="B84" s="6" t="s">
        <v>77</v>
      </c>
    </row>
    <row r="85" spans="1:2" s="25" customFormat="1" x14ac:dyDescent="0.25">
      <c r="A85" s="32"/>
      <c r="B85" s="42"/>
    </row>
    <row r="86" spans="1:2" s="25" customFormat="1" ht="63.75" x14ac:dyDescent="0.25">
      <c r="A86" s="32"/>
      <c r="B86" s="11" t="s">
        <v>78</v>
      </c>
    </row>
    <row r="87" spans="1:2" s="25" customFormat="1" ht="15.75" thickBot="1" x14ac:dyDescent="0.3">
      <c r="A87" s="28"/>
      <c r="B87" s="43"/>
    </row>
    <row r="88" spans="1:2" s="25" customFormat="1" ht="15.75" thickBot="1" x14ac:dyDescent="0.3">
      <c r="A88" s="33" t="s">
        <v>79</v>
      </c>
      <c r="B88" s="12"/>
    </row>
    <row r="89" spans="1:2" s="25" customFormat="1" ht="16.5" thickBot="1" x14ac:dyDescent="0.3">
      <c r="A89" s="30" t="s">
        <v>80</v>
      </c>
      <c r="B89" s="10"/>
    </row>
    <row r="90" spans="1:2" s="25" customFormat="1" ht="15.75" thickBot="1" x14ac:dyDescent="0.3">
      <c r="A90" s="29" t="s">
        <v>81</v>
      </c>
      <c r="B90" s="13" t="s">
        <v>82</v>
      </c>
    </row>
    <row r="91" spans="1:2" s="25" customFormat="1" ht="15.75" thickBot="1" x14ac:dyDescent="0.3">
      <c r="A91" s="29" t="s">
        <v>83</v>
      </c>
      <c r="B91" s="9"/>
    </row>
    <row r="92" spans="1:2" s="25" customFormat="1" ht="15.75" thickBot="1" x14ac:dyDescent="0.3">
      <c r="A92" s="29" t="s">
        <v>84</v>
      </c>
      <c r="B92" s="9"/>
    </row>
    <row r="93" spans="1:2" s="25" customFormat="1" ht="16.5" thickBot="1" x14ac:dyDescent="0.3">
      <c r="A93" s="30" t="s">
        <v>85</v>
      </c>
      <c r="B93" s="10"/>
    </row>
    <row r="94" spans="1:2" s="25" customFormat="1" ht="26.25" thickBot="1" x14ac:dyDescent="0.3">
      <c r="A94" s="29" t="s">
        <v>86</v>
      </c>
      <c r="B94" s="9" t="s">
        <v>87</v>
      </c>
    </row>
    <row r="95" spans="1:2" s="25" customFormat="1" ht="15.75" thickBot="1" x14ac:dyDescent="0.3">
      <c r="A95" s="29" t="s">
        <v>88</v>
      </c>
      <c r="B95" s="9" t="s">
        <v>89</v>
      </c>
    </row>
    <row r="96" spans="1:2" s="25" customFormat="1" ht="15.75" thickBot="1" x14ac:dyDescent="0.3">
      <c r="A96" s="29" t="s">
        <v>90</v>
      </c>
      <c r="B96" s="9" t="s">
        <v>91</v>
      </c>
    </row>
    <row r="97" spans="1:2" s="25" customFormat="1" ht="15.75" thickBot="1" x14ac:dyDescent="0.3">
      <c r="A97" s="29" t="s">
        <v>92</v>
      </c>
      <c r="B97" s="9" t="s">
        <v>93</v>
      </c>
    </row>
    <row r="98" spans="1:2" s="25" customFormat="1" ht="16.5" thickBot="1" x14ac:dyDescent="0.3">
      <c r="A98" s="30" t="s">
        <v>94</v>
      </c>
      <c r="B98" s="10"/>
    </row>
    <row r="99" spans="1:2" s="25" customFormat="1" ht="15.75" thickBot="1" x14ac:dyDescent="0.3">
      <c r="A99" s="29" t="s">
        <v>95</v>
      </c>
      <c r="B99" s="9"/>
    </row>
    <row r="100" spans="1:2" s="25" customFormat="1" ht="15.75" thickBot="1" x14ac:dyDescent="0.3">
      <c r="A100" s="29" t="s">
        <v>96</v>
      </c>
      <c r="B100" s="9"/>
    </row>
    <row r="101" spans="1:2" s="25" customFormat="1" ht="15.75" thickBot="1" x14ac:dyDescent="0.3">
      <c r="A101" s="29" t="s">
        <v>97</v>
      </c>
      <c r="B101" s="9"/>
    </row>
    <row r="102" spans="1:2" s="25" customFormat="1" ht="16.5" thickBot="1" x14ac:dyDescent="0.3">
      <c r="A102" s="30" t="s">
        <v>98</v>
      </c>
      <c r="B102" s="10"/>
    </row>
    <row r="103" spans="1:2" s="25" customFormat="1" ht="15.75" thickBot="1" x14ac:dyDescent="0.3">
      <c r="A103" s="29" t="s">
        <v>99</v>
      </c>
      <c r="B103" s="9"/>
    </row>
    <row r="104" spans="1:2" s="25" customFormat="1" ht="15.75" thickBot="1" x14ac:dyDescent="0.3">
      <c r="A104" s="29" t="s">
        <v>100</v>
      </c>
      <c r="B104" s="9"/>
    </row>
    <row r="105" spans="1:2" s="25" customFormat="1" ht="64.5" thickBot="1" x14ac:dyDescent="0.3">
      <c r="A105" s="29" t="s">
        <v>101</v>
      </c>
      <c r="B105" s="9" t="s">
        <v>102</v>
      </c>
    </row>
    <row r="106" spans="1:2" s="25" customFormat="1" ht="115.5" thickBot="1" x14ac:dyDescent="0.3">
      <c r="A106" s="29" t="s">
        <v>103</v>
      </c>
      <c r="B106" s="9" t="s">
        <v>104</v>
      </c>
    </row>
    <row r="107" spans="1:2" s="25" customFormat="1" ht="16.5" thickBot="1" x14ac:dyDescent="0.3">
      <c r="A107" s="30" t="s">
        <v>105</v>
      </c>
      <c r="B107" s="10"/>
    </row>
    <row r="108" spans="1:2" s="25" customFormat="1" ht="16.5" thickBot="1" x14ac:dyDescent="0.3">
      <c r="A108" s="30" t="s">
        <v>105</v>
      </c>
      <c r="B108" s="10"/>
    </row>
    <row r="109" spans="1:2" s="25" customFormat="1" ht="15.75" thickBot="1" x14ac:dyDescent="0.3">
      <c r="A109" s="29" t="s">
        <v>106</v>
      </c>
      <c r="B109" s="13" t="s">
        <v>107</v>
      </c>
    </row>
    <row r="110" spans="1:2" s="25" customFormat="1" x14ac:dyDescent="0.25">
      <c r="A110" s="27" t="s">
        <v>108</v>
      </c>
      <c r="B110" s="7" t="s">
        <v>107</v>
      </c>
    </row>
    <row r="111" spans="1:2" s="25" customFormat="1" ht="15.75" thickBot="1" x14ac:dyDescent="0.3">
      <c r="A111" s="28"/>
      <c r="B111" s="8" t="s">
        <v>109</v>
      </c>
    </row>
    <row r="112" spans="1:2" s="25" customFormat="1" x14ac:dyDescent="0.25">
      <c r="A112" s="27" t="s">
        <v>110</v>
      </c>
      <c r="B112" s="7" t="s">
        <v>107</v>
      </c>
    </row>
    <row r="113" spans="1:2" s="25" customFormat="1" ht="26.25" thickBot="1" x14ac:dyDescent="0.3">
      <c r="A113" s="28"/>
      <c r="B113" s="8" t="s">
        <v>111</v>
      </c>
    </row>
    <row r="114" spans="1:2" s="25" customFormat="1" ht="16.5" thickBot="1" x14ac:dyDescent="0.3">
      <c r="A114" s="30" t="s">
        <v>112</v>
      </c>
      <c r="B114" s="10"/>
    </row>
    <row r="115" spans="1:2" s="25" customFormat="1" x14ac:dyDescent="0.25">
      <c r="A115" s="27" t="s">
        <v>113</v>
      </c>
      <c r="B115" s="7" t="s">
        <v>107</v>
      </c>
    </row>
    <row r="116" spans="1:2" s="25" customFormat="1" ht="26.25" thickBot="1" x14ac:dyDescent="0.3">
      <c r="A116" s="28"/>
      <c r="B116" s="8" t="s">
        <v>114</v>
      </c>
    </row>
    <row r="117" spans="1:2" s="25" customFormat="1" ht="15.75" thickBot="1" x14ac:dyDescent="0.3">
      <c r="A117" s="29" t="s">
        <v>115</v>
      </c>
      <c r="B117" s="13" t="s">
        <v>107</v>
      </c>
    </row>
    <row r="118" spans="1:2" s="25" customFormat="1" ht="16.5" thickBot="1" x14ac:dyDescent="0.3">
      <c r="A118" s="30" t="s">
        <v>116</v>
      </c>
      <c r="B118" s="10"/>
    </row>
    <row r="119" spans="1:2" s="25" customFormat="1" ht="15.75" thickBot="1" x14ac:dyDescent="0.3">
      <c r="A119" s="29" t="s">
        <v>117</v>
      </c>
      <c r="B119" s="9"/>
    </row>
    <row r="120" spans="1:2" s="25" customFormat="1" ht="15.75" thickBot="1" x14ac:dyDescent="0.3">
      <c r="A120" s="29" t="s">
        <v>118</v>
      </c>
      <c r="B120" s="9"/>
    </row>
    <row r="121" spans="1:2" s="25" customFormat="1" ht="15.75" thickBot="1" x14ac:dyDescent="0.3">
      <c r="A121" s="29" t="s">
        <v>119</v>
      </c>
      <c r="B121" s="9"/>
    </row>
    <row r="122" spans="1:2" s="25" customFormat="1" ht="15.75" thickBot="1" x14ac:dyDescent="0.3">
      <c r="A122" s="29" t="s">
        <v>120</v>
      </c>
      <c r="B122" s="9"/>
    </row>
    <row r="123" spans="1:2" s="25" customFormat="1" ht="15.75" thickBot="1" x14ac:dyDescent="0.3">
      <c r="A123" s="29" t="s">
        <v>121</v>
      </c>
      <c r="B123" s="9"/>
    </row>
    <row r="124" spans="1:2" s="25" customFormat="1" ht="15.75" thickBot="1" x14ac:dyDescent="0.3">
      <c r="A124" s="29" t="s">
        <v>122</v>
      </c>
      <c r="B124" s="9"/>
    </row>
    <row r="125" spans="1:2" s="25" customFormat="1" ht="15.75" thickBot="1" x14ac:dyDescent="0.3">
      <c r="A125" s="29" t="s">
        <v>123</v>
      </c>
      <c r="B125" s="9"/>
    </row>
    <row r="126" spans="1:2" s="25" customFormat="1" ht="15.75" thickBot="1" x14ac:dyDescent="0.3">
      <c r="A126" s="29" t="s">
        <v>124</v>
      </c>
      <c r="B126" s="9"/>
    </row>
    <row r="127" spans="1:2" s="25" customFormat="1" ht="15.75" thickBot="1" x14ac:dyDescent="0.3">
      <c r="A127" s="29" t="s">
        <v>125</v>
      </c>
      <c r="B127" s="9"/>
    </row>
    <row r="128" spans="1:2" s="25" customFormat="1" ht="15.75" thickBot="1" x14ac:dyDescent="0.3">
      <c r="A128" s="29" t="s">
        <v>126</v>
      </c>
      <c r="B128" s="9"/>
    </row>
    <row r="129" spans="1:2" s="25" customFormat="1" ht="15.75" thickBot="1" x14ac:dyDescent="0.3">
      <c r="A129" s="29" t="s">
        <v>127</v>
      </c>
      <c r="B129" s="9"/>
    </row>
    <row r="130" spans="1:2" s="25" customFormat="1" ht="15.75" thickBot="1" x14ac:dyDescent="0.3">
      <c r="A130" s="29" t="s">
        <v>128</v>
      </c>
      <c r="B130" s="9"/>
    </row>
    <row r="131" spans="1:2" s="25" customFormat="1" ht="15.75" thickBot="1" x14ac:dyDescent="0.3">
      <c r="A131" s="29" t="s">
        <v>129</v>
      </c>
      <c r="B131" s="9"/>
    </row>
    <row r="132" spans="1:2" s="25" customFormat="1" ht="15.75" thickBot="1" x14ac:dyDescent="0.3">
      <c r="A132" s="29" t="s">
        <v>130</v>
      </c>
      <c r="B132" s="9"/>
    </row>
    <row r="133" spans="1:2" s="25" customFormat="1" ht="16.5" thickBot="1" x14ac:dyDescent="0.3">
      <c r="A133" s="30" t="s">
        <v>131</v>
      </c>
      <c r="B133" s="10"/>
    </row>
    <row r="134" spans="1:2" s="25" customFormat="1" ht="15.75" thickBot="1" x14ac:dyDescent="0.3">
      <c r="A134" s="29" t="s">
        <v>132</v>
      </c>
      <c r="B134" s="13" t="s">
        <v>107</v>
      </c>
    </row>
    <row r="135" spans="1:2" s="25" customFormat="1" ht="15.75" thickBot="1" x14ac:dyDescent="0.3">
      <c r="A135" s="29" t="s">
        <v>133</v>
      </c>
      <c r="B135" s="13" t="s">
        <v>107</v>
      </c>
    </row>
    <row r="136" spans="1:2" s="25" customFormat="1" ht="16.5" thickBot="1" x14ac:dyDescent="0.3">
      <c r="A136" s="30" t="s">
        <v>134</v>
      </c>
      <c r="B136" s="10"/>
    </row>
    <row r="137" spans="1:2" s="25" customFormat="1" ht="15.75" thickBot="1" x14ac:dyDescent="0.3">
      <c r="A137" s="29" t="s">
        <v>135</v>
      </c>
      <c r="B137" s="9"/>
    </row>
    <row r="138" spans="1:2" s="25" customFormat="1" ht="15.75" thickBot="1" x14ac:dyDescent="0.3">
      <c r="A138" s="29" t="s">
        <v>136</v>
      </c>
      <c r="B138" s="9"/>
    </row>
    <row r="139" spans="1:2" s="25" customFormat="1" ht="15.75" thickBot="1" x14ac:dyDescent="0.3">
      <c r="A139" s="29" t="s">
        <v>137</v>
      </c>
      <c r="B139" s="9"/>
    </row>
    <row r="140" spans="1:2" s="25" customFormat="1" ht="15.75" thickBot="1" x14ac:dyDescent="0.3">
      <c r="A140" s="29" t="s">
        <v>138</v>
      </c>
      <c r="B140" s="9"/>
    </row>
    <row r="141" spans="1:2" s="25" customFormat="1" ht="15.75" thickBot="1" x14ac:dyDescent="0.3">
      <c r="A141" s="29" t="s">
        <v>139</v>
      </c>
      <c r="B141" s="9"/>
    </row>
    <row r="142" spans="1:2" s="25" customFormat="1" ht="15.75" thickBot="1" x14ac:dyDescent="0.3">
      <c r="A142" s="29" t="s">
        <v>140</v>
      </c>
      <c r="B142" s="9"/>
    </row>
    <row r="143" spans="1:2" s="25" customFormat="1" ht="15.75" thickBot="1" x14ac:dyDescent="0.3">
      <c r="A143" s="29" t="s">
        <v>141</v>
      </c>
      <c r="B143" s="9"/>
    </row>
    <row r="144" spans="1:2" s="25" customFormat="1" ht="15.75" thickBot="1" x14ac:dyDescent="0.3">
      <c r="A144" s="29" t="s">
        <v>142</v>
      </c>
      <c r="B144" s="9"/>
    </row>
    <row r="145" spans="1:2" s="25" customFormat="1" ht="15.75" thickBot="1" x14ac:dyDescent="0.3">
      <c r="A145" s="29" t="s">
        <v>143</v>
      </c>
      <c r="B145" s="9"/>
    </row>
    <row r="146" spans="1:2" s="25" customFormat="1" ht="15.75" thickBot="1" x14ac:dyDescent="0.3">
      <c r="A146" s="29" t="s">
        <v>144</v>
      </c>
      <c r="B146" s="9"/>
    </row>
    <row r="147" spans="1:2" s="25" customFormat="1" ht="15.75" thickBot="1" x14ac:dyDescent="0.3">
      <c r="A147" s="29" t="s">
        <v>145</v>
      </c>
      <c r="B147" s="9"/>
    </row>
    <row r="148" spans="1:2" s="25" customFormat="1" ht="15.75" thickBot="1" x14ac:dyDescent="0.3">
      <c r="A148" s="29" t="s">
        <v>146</v>
      </c>
      <c r="B148" s="9"/>
    </row>
    <row r="149" spans="1:2" s="25" customFormat="1" ht="15.75" thickBot="1" x14ac:dyDescent="0.3">
      <c r="A149" s="29" t="s">
        <v>147</v>
      </c>
      <c r="B149" s="9"/>
    </row>
    <row r="150" spans="1:2" s="25" customFormat="1" ht="15.75" thickBot="1" x14ac:dyDescent="0.3">
      <c r="A150" s="29" t="s">
        <v>148</v>
      </c>
      <c r="B150" s="9"/>
    </row>
    <row r="151" spans="1:2" s="25" customFormat="1" ht="15.75" thickBot="1" x14ac:dyDescent="0.3">
      <c r="A151" s="33" t="s">
        <v>149</v>
      </c>
      <c r="B151" s="12"/>
    </row>
    <row r="152" spans="1:2" s="25" customFormat="1" ht="17.25" thickBot="1" x14ac:dyDescent="0.3">
      <c r="A152" s="31" t="s">
        <v>150</v>
      </c>
      <c r="B152" s="41"/>
    </row>
    <row r="153" spans="1:2" s="25" customFormat="1" ht="63.75" x14ac:dyDescent="0.25">
      <c r="A153" s="27" t="s">
        <v>151</v>
      </c>
      <c r="B153" s="6" t="s">
        <v>152</v>
      </c>
    </row>
    <row r="154" spans="1:2" s="25" customFormat="1" ht="15.75" thickBot="1" x14ac:dyDescent="0.3">
      <c r="A154" s="28"/>
      <c r="B154" s="8"/>
    </row>
    <row r="155" spans="1:2" s="25" customFormat="1" ht="77.25" thickBot="1" x14ac:dyDescent="0.3">
      <c r="A155" s="29" t="s">
        <v>153</v>
      </c>
      <c r="B155" s="9" t="s">
        <v>3476</v>
      </c>
    </row>
    <row r="156" spans="1:2" s="25" customFormat="1" x14ac:dyDescent="0.25">
      <c r="A156" s="27" t="s">
        <v>154</v>
      </c>
      <c r="B156" s="7" t="s">
        <v>155</v>
      </c>
    </row>
    <row r="157" spans="1:2" s="25" customFormat="1" ht="15.75" thickBot="1" x14ac:dyDescent="0.3">
      <c r="A157" s="32"/>
      <c r="B157" s="11" t="s">
        <v>156</v>
      </c>
    </row>
    <row r="158" spans="1:2" s="25" customFormat="1" ht="51.75" thickBot="1" x14ac:dyDescent="0.3">
      <c r="A158" s="27" t="s">
        <v>157</v>
      </c>
      <c r="B158" s="6" t="s">
        <v>158</v>
      </c>
    </row>
    <row r="159" spans="1:2" s="25" customFormat="1" ht="102.75" thickBot="1" x14ac:dyDescent="0.3">
      <c r="A159" s="29" t="s">
        <v>159</v>
      </c>
      <c r="B159" s="9" t="s">
        <v>160</v>
      </c>
    </row>
    <row r="160" spans="1:2" s="25" customFormat="1" ht="51.75" thickBot="1" x14ac:dyDescent="0.3">
      <c r="A160" s="29" t="s">
        <v>161</v>
      </c>
      <c r="B160" s="9" t="s">
        <v>162</v>
      </c>
    </row>
    <row r="161" spans="1:2" s="25" customFormat="1" ht="25.5" x14ac:dyDescent="0.25">
      <c r="A161" s="27" t="s">
        <v>163</v>
      </c>
      <c r="B161" s="6" t="s">
        <v>164</v>
      </c>
    </row>
    <row r="162" spans="1:2" s="25" customFormat="1" x14ac:dyDescent="0.25">
      <c r="A162" s="32"/>
      <c r="B162" s="11" t="s">
        <v>165</v>
      </c>
    </row>
    <row r="163" spans="1:2" s="25" customFormat="1" ht="25.5" x14ac:dyDescent="0.25">
      <c r="A163" s="32"/>
      <c r="B163" s="11" t="s">
        <v>166</v>
      </c>
    </row>
    <row r="164" spans="1:2" s="25" customFormat="1" ht="25.5" x14ac:dyDescent="0.25">
      <c r="A164" s="32"/>
      <c r="B164" s="11" t="s">
        <v>167</v>
      </c>
    </row>
    <row r="165" spans="1:2" s="25" customFormat="1" x14ac:dyDescent="0.25">
      <c r="A165" s="32"/>
      <c r="B165" s="11" t="s">
        <v>168</v>
      </c>
    </row>
    <row r="166" spans="1:2" s="25" customFormat="1" x14ac:dyDescent="0.25">
      <c r="A166" s="32"/>
      <c r="B166" s="11" t="s">
        <v>169</v>
      </c>
    </row>
    <row r="167" spans="1:2" s="25" customFormat="1" x14ac:dyDescent="0.25">
      <c r="A167" s="32"/>
      <c r="B167" s="11"/>
    </row>
    <row r="168" spans="1:2" s="25" customFormat="1" ht="15.75" thickBot="1" x14ac:dyDescent="0.3">
      <c r="A168" s="28"/>
      <c r="B168" s="8"/>
    </row>
    <row r="169" spans="1:2" s="25" customFormat="1" x14ac:dyDescent="0.25">
      <c r="A169" s="27" t="s">
        <v>170</v>
      </c>
      <c r="B169" s="7" t="s">
        <v>171</v>
      </c>
    </row>
    <row r="170" spans="1:2" s="25" customFormat="1" ht="15.75" thickBot="1" x14ac:dyDescent="0.3">
      <c r="A170" s="28"/>
      <c r="B170" s="8" t="s">
        <v>156</v>
      </c>
    </row>
    <row r="171" spans="1:2" s="25" customFormat="1" ht="39" thickBot="1" x14ac:dyDescent="0.3">
      <c r="A171" s="29" t="s">
        <v>172</v>
      </c>
      <c r="B171" s="9" t="s">
        <v>173</v>
      </c>
    </row>
    <row r="172" spans="1:2" s="25" customFormat="1" ht="39" thickBot="1" x14ac:dyDescent="0.3">
      <c r="A172" s="29" t="s">
        <v>174</v>
      </c>
      <c r="B172" s="9" t="s">
        <v>173</v>
      </c>
    </row>
    <row r="173" spans="1:2" s="25" customFormat="1" ht="64.5" thickBot="1" x14ac:dyDescent="0.3">
      <c r="A173" s="29" t="s">
        <v>175</v>
      </c>
      <c r="B173" s="9" t="s">
        <v>176</v>
      </c>
    </row>
    <row r="174" spans="1:2" s="25" customFormat="1" x14ac:dyDescent="0.25">
      <c r="A174" s="27" t="s">
        <v>177</v>
      </c>
      <c r="B174" s="7" t="s">
        <v>178</v>
      </c>
    </row>
    <row r="175" spans="1:2" s="25" customFormat="1" ht="15.75" thickBot="1" x14ac:dyDescent="0.3">
      <c r="A175" s="28"/>
      <c r="B175" s="8" t="s">
        <v>156</v>
      </c>
    </row>
    <row r="176" spans="1:2" s="25" customFormat="1" ht="51.75" thickBot="1" x14ac:dyDescent="0.3">
      <c r="A176" s="29" t="s">
        <v>179</v>
      </c>
      <c r="B176" s="9" t="s">
        <v>180</v>
      </c>
    </row>
    <row r="177" spans="1:2" s="25" customFormat="1" ht="115.5" thickBot="1" x14ac:dyDescent="0.3">
      <c r="A177" s="29" t="s">
        <v>181</v>
      </c>
      <c r="B177" s="9" t="s">
        <v>182</v>
      </c>
    </row>
    <row r="178" spans="1:2" s="25" customFormat="1" x14ac:dyDescent="0.25">
      <c r="A178" s="34" t="s">
        <v>183</v>
      </c>
      <c r="B178" s="14"/>
    </row>
    <row r="179" spans="1:2" s="25" customFormat="1" ht="15.75" thickBot="1" x14ac:dyDescent="0.3">
      <c r="A179" s="35"/>
      <c r="B179" s="15"/>
    </row>
    <row r="180" spans="1:2" s="25" customFormat="1" ht="15.75" thickBot="1" x14ac:dyDescent="0.3">
      <c r="A180" s="29" t="s">
        <v>184</v>
      </c>
      <c r="B180" s="9"/>
    </row>
    <row r="181" spans="1:2" s="25" customFormat="1" x14ac:dyDescent="0.25">
      <c r="A181" s="27" t="s">
        <v>185</v>
      </c>
      <c r="B181" s="7" t="s">
        <v>186</v>
      </c>
    </row>
    <row r="182" spans="1:2" s="25" customFormat="1" ht="15.75" thickBot="1" x14ac:dyDescent="0.3">
      <c r="A182" s="32"/>
      <c r="B182" s="11" t="s">
        <v>156</v>
      </c>
    </row>
    <row r="183" spans="1:2" s="25" customFormat="1" ht="25.5" x14ac:dyDescent="0.25">
      <c r="A183" s="34" t="s">
        <v>187</v>
      </c>
      <c r="B183" s="14" t="s">
        <v>188</v>
      </c>
    </row>
    <row r="184" spans="1:2" s="25" customFormat="1" ht="15.75" thickBot="1" x14ac:dyDescent="0.3">
      <c r="A184" s="35"/>
      <c r="B184" s="15"/>
    </row>
    <row r="185" spans="1:2" s="25" customFormat="1" ht="26.25" thickBot="1" x14ac:dyDescent="0.3">
      <c r="A185" s="34" t="s">
        <v>189</v>
      </c>
      <c r="B185" s="14" t="s">
        <v>190</v>
      </c>
    </row>
    <row r="186" spans="1:2" s="25" customFormat="1" ht="15.75" thickBot="1" x14ac:dyDescent="0.3">
      <c r="A186" s="27" t="s">
        <v>191</v>
      </c>
      <c r="B186" s="6"/>
    </row>
    <row r="187" spans="1:2" s="25" customFormat="1" ht="15.75" thickBot="1" x14ac:dyDescent="0.3">
      <c r="A187" s="29" t="s">
        <v>192</v>
      </c>
      <c r="B187" s="9"/>
    </row>
    <row r="188" spans="1:2" s="25" customFormat="1" ht="15.75" thickBot="1" x14ac:dyDescent="0.3">
      <c r="A188" s="36" t="s">
        <v>193</v>
      </c>
      <c r="B188" s="16" t="s">
        <v>194</v>
      </c>
    </row>
    <row r="189" spans="1:2" s="25" customFormat="1" ht="16.5" thickBot="1" x14ac:dyDescent="0.3">
      <c r="A189" s="30" t="s">
        <v>195</v>
      </c>
      <c r="B189" s="10"/>
    </row>
    <row r="190" spans="1:2" s="25" customFormat="1" ht="15.75" thickBot="1" x14ac:dyDescent="0.3">
      <c r="A190" s="29" t="s">
        <v>196</v>
      </c>
      <c r="B190" s="9"/>
    </row>
    <row r="191" spans="1:2" s="25" customFormat="1" ht="15.75" thickBot="1" x14ac:dyDescent="0.3">
      <c r="A191" s="29" t="s">
        <v>197</v>
      </c>
      <c r="B191" s="9"/>
    </row>
    <row r="192" spans="1:2" s="25" customFormat="1" ht="15.75" thickBot="1" x14ac:dyDescent="0.3">
      <c r="A192" s="29" t="s">
        <v>198</v>
      </c>
      <c r="B192" s="9"/>
    </row>
    <row r="193" spans="1:2" s="25" customFormat="1" ht="15.75" thickBot="1" x14ac:dyDescent="0.3">
      <c r="A193" s="29" t="s">
        <v>199</v>
      </c>
      <c r="B193" s="9"/>
    </row>
    <row r="194" spans="1:2" s="25" customFormat="1" ht="15.75" thickBot="1" x14ac:dyDescent="0.3">
      <c r="A194" s="29" t="s">
        <v>200</v>
      </c>
      <c r="B194" s="9"/>
    </row>
    <row r="195" spans="1:2" s="25" customFormat="1" ht="15.75" thickBot="1" x14ac:dyDescent="0.3">
      <c r="A195" s="29" t="s">
        <v>201</v>
      </c>
      <c r="B195" s="9"/>
    </row>
    <row r="196" spans="1:2" s="25" customFormat="1" ht="15.75" thickBot="1" x14ac:dyDescent="0.3">
      <c r="A196" s="33" t="s">
        <v>202</v>
      </c>
      <c r="B196" s="12"/>
    </row>
    <row r="197" spans="1:2" s="25" customFormat="1" ht="17.25" thickBot="1" x14ac:dyDescent="0.3">
      <c r="A197" s="31" t="s">
        <v>203</v>
      </c>
      <c r="B197" s="41"/>
    </row>
    <row r="198" spans="1:2" s="25" customFormat="1" ht="26.25" thickBot="1" x14ac:dyDescent="0.3">
      <c r="A198" s="27" t="s">
        <v>204</v>
      </c>
      <c r="B198" s="6" t="s">
        <v>205</v>
      </c>
    </row>
    <row r="199" spans="1:2" s="25" customFormat="1" ht="15.75" thickBot="1" x14ac:dyDescent="0.3">
      <c r="A199" s="27" t="s">
        <v>206</v>
      </c>
      <c r="B199" s="6"/>
    </row>
    <row r="200" spans="1:2" s="25" customFormat="1" ht="15.75" thickBot="1" x14ac:dyDescent="0.3">
      <c r="A200" s="36" t="s">
        <v>207</v>
      </c>
      <c r="B200" s="16"/>
    </row>
    <row r="201" spans="1:2" s="25" customFormat="1" ht="39" thickBot="1" x14ac:dyDescent="0.3">
      <c r="A201" s="27" t="s">
        <v>208</v>
      </c>
      <c r="B201" s="6" t="s">
        <v>209</v>
      </c>
    </row>
    <row r="202" spans="1:2" s="25" customFormat="1" ht="15.75" thickBot="1" x14ac:dyDescent="0.3">
      <c r="A202" s="29" t="s">
        <v>210</v>
      </c>
      <c r="B202" s="9"/>
    </row>
    <row r="203" spans="1:2" s="25" customFormat="1" ht="15.75" thickBot="1" x14ac:dyDescent="0.3">
      <c r="A203" s="36" t="s">
        <v>211</v>
      </c>
      <c r="B203" s="16"/>
    </row>
    <row r="204" spans="1:2" s="25" customFormat="1" ht="15.75" thickBot="1" x14ac:dyDescent="0.3">
      <c r="A204" s="27" t="s">
        <v>212</v>
      </c>
      <c r="B204" s="6" t="s">
        <v>213</v>
      </c>
    </row>
    <row r="205" spans="1:2" s="25" customFormat="1" x14ac:dyDescent="0.25">
      <c r="A205" s="27" t="s">
        <v>214</v>
      </c>
      <c r="B205" s="6"/>
    </row>
    <row r="206" spans="1:2" s="25" customFormat="1" ht="15.75" thickBot="1" x14ac:dyDescent="0.3">
      <c r="A206" s="28"/>
      <c r="B206" s="8"/>
    </row>
    <row r="207" spans="1:2" s="25" customFormat="1" x14ac:dyDescent="0.25">
      <c r="A207" s="34" t="s">
        <v>215</v>
      </c>
      <c r="B207" s="14"/>
    </row>
    <row r="208" spans="1:2" s="25" customFormat="1" ht="15.75" thickBot="1" x14ac:dyDescent="0.3">
      <c r="A208" s="35"/>
      <c r="B208" s="15"/>
    </row>
    <row r="209" spans="1:2" s="25" customFormat="1" ht="26.25" thickBot="1" x14ac:dyDescent="0.3">
      <c r="A209" s="27" t="s">
        <v>216</v>
      </c>
      <c r="B209" s="6" t="s">
        <v>217</v>
      </c>
    </row>
    <row r="210" spans="1:2" s="25" customFormat="1" ht="15.75" thickBot="1" x14ac:dyDescent="0.3">
      <c r="A210" s="27" t="s">
        <v>218</v>
      </c>
      <c r="B210" s="6"/>
    </row>
    <row r="211" spans="1:2" s="25" customFormat="1" ht="15.75" thickBot="1" x14ac:dyDescent="0.3">
      <c r="A211" s="36" t="s">
        <v>219</v>
      </c>
      <c r="B211" s="16"/>
    </row>
    <row r="212" spans="1:2" s="25" customFormat="1" ht="15.75" thickBot="1" x14ac:dyDescent="0.3">
      <c r="A212" s="27" t="s">
        <v>220</v>
      </c>
      <c r="B212" s="6"/>
    </row>
    <row r="213" spans="1:2" s="25" customFormat="1" x14ac:dyDescent="0.25">
      <c r="A213" s="34" t="s">
        <v>221</v>
      </c>
      <c r="B213" s="14"/>
    </row>
    <row r="214" spans="1:2" s="25" customFormat="1" ht="15.75" thickBot="1" x14ac:dyDescent="0.3">
      <c r="A214" s="35"/>
      <c r="B214" s="15"/>
    </row>
    <row r="215" spans="1:2" s="25" customFormat="1" x14ac:dyDescent="0.25">
      <c r="A215" s="34" t="s">
        <v>222</v>
      </c>
      <c r="B215" s="14"/>
    </row>
    <row r="216" spans="1:2" s="25" customFormat="1" ht="15.75" thickBot="1" x14ac:dyDescent="0.3">
      <c r="A216" s="35"/>
      <c r="B216" s="15"/>
    </row>
    <row r="217" spans="1:2" s="25" customFormat="1" ht="15.75" thickBot="1" x14ac:dyDescent="0.3">
      <c r="A217" s="33" t="s">
        <v>223</v>
      </c>
      <c r="B217" s="12"/>
    </row>
    <row r="218" spans="1:2" s="25" customFormat="1" ht="17.25" thickBot="1" x14ac:dyDescent="0.3">
      <c r="A218" s="31" t="s">
        <v>224</v>
      </c>
      <c r="B218" s="41"/>
    </row>
    <row r="219" spans="1:2" s="25" customFormat="1" ht="16.5" thickBot="1" x14ac:dyDescent="0.3">
      <c r="A219" s="30" t="s">
        <v>225</v>
      </c>
      <c r="B219" s="10"/>
    </row>
    <row r="220" spans="1:2" s="25" customFormat="1" ht="26.25" thickBot="1" x14ac:dyDescent="0.3">
      <c r="A220" s="29" t="s">
        <v>226</v>
      </c>
      <c r="B220" s="9" t="s">
        <v>227</v>
      </c>
    </row>
    <row r="221" spans="1:2" s="25" customFormat="1" x14ac:dyDescent="0.25">
      <c r="A221" s="27" t="s">
        <v>228</v>
      </c>
      <c r="B221" s="7" t="s">
        <v>229</v>
      </c>
    </row>
    <row r="222" spans="1:2" s="25" customFormat="1" ht="77.25" thickBot="1" x14ac:dyDescent="0.3">
      <c r="A222" s="32"/>
      <c r="B222" s="11" t="s">
        <v>230</v>
      </c>
    </row>
    <row r="223" spans="1:2" s="25" customFormat="1" x14ac:dyDescent="0.25">
      <c r="A223" s="27" t="s">
        <v>231</v>
      </c>
      <c r="B223" s="7" t="s">
        <v>232</v>
      </c>
    </row>
    <row r="224" spans="1:2" s="25" customFormat="1" ht="39" thickBot="1" x14ac:dyDescent="0.3">
      <c r="A224" s="32"/>
      <c r="B224" s="11" t="s">
        <v>233</v>
      </c>
    </row>
    <row r="225" spans="1:2" s="25" customFormat="1" x14ac:dyDescent="0.25">
      <c r="A225" s="27" t="s">
        <v>234</v>
      </c>
      <c r="B225" s="7" t="s">
        <v>235</v>
      </c>
    </row>
    <row r="226" spans="1:2" s="25" customFormat="1" ht="26.25" thickBot="1" x14ac:dyDescent="0.3">
      <c r="A226" s="32"/>
      <c r="B226" s="11" t="s">
        <v>236</v>
      </c>
    </row>
    <row r="227" spans="1:2" s="25" customFormat="1" x14ac:dyDescent="0.25">
      <c r="A227" s="27" t="s">
        <v>237</v>
      </c>
      <c r="B227" s="7" t="s">
        <v>238</v>
      </c>
    </row>
    <row r="228" spans="1:2" s="25" customFormat="1" ht="39" thickBot="1" x14ac:dyDescent="0.3">
      <c r="A228" s="32"/>
      <c r="B228" s="11" t="s">
        <v>239</v>
      </c>
    </row>
    <row r="229" spans="1:2" s="25" customFormat="1" x14ac:dyDescent="0.25">
      <c r="A229" s="27" t="s">
        <v>240</v>
      </c>
      <c r="B229" s="7" t="s">
        <v>241</v>
      </c>
    </row>
    <row r="230" spans="1:2" s="25" customFormat="1" ht="77.25" thickBot="1" x14ac:dyDescent="0.3">
      <c r="A230" s="32"/>
      <c r="B230" s="11" t="s">
        <v>242</v>
      </c>
    </row>
    <row r="231" spans="1:2" s="25" customFormat="1" x14ac:dyDescent="0.25">
      <c r="A231" s="27" t="s">
        <v>243</v>
      </c>
      <c r="B231" s="7" t="s">
        <v>244</v>
      </c>
    </row>
    <row r="232" spans="1:2" s="25" customFormat="1" ht="90" thickBot="1" x14ac:dyDescent="0.3">
      <c r="A232" s="32"/>
      <c r="B232" s="11" t="s">
        <v>245</v>
      </c>
    </row>
    <row r="233" spans="1:2" s="25" customFormat="1" ht="15.75" thickBot="1" x14ac:dyDescent="0.3">
      <c r="A233" s="27" t="s">
        <v>246</v>
      </c>
      <c r="B233" s="7" t="s">
        <v>247</v>
      </c>
    </row>
    <row r="234" spans="1:2" s="25" customFormat="1" ht="15.75" thickBot="1" x14ac:dyDescent="0.3">
      <c r="A234" s="29" t="s">
        <v>248</v>
      </c>
      <c r="B234" s="13" t="s">
        <v>249</v>
      </c>
    </row>
    <row r="235" spans="1:2" s="25" customFormat="1" ht="15.75" thickBot="1" x14ac:dyDescent="0.3">
      <c r="A235" s="29" t="s">
        <v>250</v>
      </c>
      <c r="B235" s="13" t="s">
        <v>251</v>
      </c>
    </row>
    <row r="236" spans="1:2" s="25" customFormat="1" x14ac:dyDescent="0.25">
      <c r="A236" s="27" t="s">
        <v>252</v>
      </c>
      <c r="B236" s="7" t="s">
        <v>253</v>
      </c>
    </row>
    <row r="237" spans="1:2" s="25" customFormat="1" ht="15.75" thickBot="1" x14ac:dyDescent="0.3">
      <c r="A237" s="28"/>
      <c r="B237" s="18"/>
    </row>
    <row r="238" spans="1:2" s="25" customFormat="1" ht="15.75" thickBot="1" x14ac:dyDescent="0.3">
      <c r="A238" s="29" t="s">
        <v>254</v>
      </c>
      <c r="B238" s="13" t="s">
        <v>255</v>
      </c>
    </row>
    <row r="239" spans="1:2" s="25" customFormat="1" ht="15.75" thickBot="1" x14ac:dyDescent="0.3">
      <c r="A239" s="29" t="s">
        <v>256</v>
      </c>
      <c r="B239" s="13" t="s">
        <v>257</v>
      </c>
    </row>
    <row r="240" spans="1:2" s="25" customFormat="1" ht="16.5" thickBot="1" x14ac:dyDescent="0.3">
      <c r="A240" s="30" t="s">
        <v>258</v>
      </c>
      <c r="B240" s="10"/>
    </row>
    <row r="241" spans="1:2" s="25" customFormat="1" ht="16.5" thickBot="1" x14ac:dyDescent="0.3">
      <c r="A241" s="30" t="s">
        <v>259</v>
      </c>
      <c r="B241" s="10"/>
    </row>
    <row r="242" spans="1:2" s="25" customFormat="1" ht="15.75" thickBot="1" x14ac:dyDescent="0.3">
      <c r="A242" s="34" t="s">
        <v>260</v>
      </c>
      <c r="B242" s="19" t="s">
        <v>261</v>
      </c>
    </row>
    <row r="243" spans="1:2" s="25" customFormat="1" ht="15.75" thickBot="1" x14ac:dyDescent="0.3">
      <c r="A243" s="34" t="s">
        <v>262</v>
      </c>
      <c r="B243" s="19" t="s">
        <v>263</v>
      </c>
    </row>
    <row r="244" spans="1:2" s="25" customFormat="1" ht="15.75" thickBot="1" x14ac:dyDescent="0.3">
      <c r="A244" s="34" t="s">
        <v>264</v>
      </c>
      <c r="B244" s="19" t="s">
        <v>265</v>
      </c>
    </row>
    <row r="245" spans="1:2" s="25" customFormat="1" ht="15.75" thickBot="1" x14ac:dyDescent="0.3">
      <c r="A245" s="34" t="s">
        <v>266</v>
      </c>
      <c r="B245" s="19" t="s">
        <v>267</v>
      </c>
    </row>
    <row r="246" spans="1:2" s="25" customFormat="1" ht="15.75" thickBot="1" x14ac:dyDescent="0.3">
      <c r="A246" s="34" t="s">
        <v>268</v>
      </c>
      <c r="B246" s="19" t="s">
        <v>269</v>
      </c>
    </row>
    <row r="247" spans="1:2" s="25" customFormat="1" ht="15.75" thickBot="1" x14ac:dyDescent="0.3">
      <c r="A247" s="34" t="s">
        <v>270</v>
      </c>
      <c r="B247" s="19" t="s">
        <v>271</v>
      </c>
    </row>
    <row r="248" spans="1:2" s="25" customFormat="1" ht="15.75" thickBot="1" x14ac:dyDescent="0.3">
      <c r="A248" s="34" t="s">
        <v>272</v>
      </c>
      <c r="B248" s="19" t="s">
        <v>273</v>
      </c>
    </row>
    <row r="249" spans="1:2" s="25" customFormat="1" ht="16.5" thickBot="1" x14ac:dyDescent="0.3">
      <c r="A249" s="30" t="s">
        <v>274</v>
      </c>
      <c r="B249" s="10"/>
    </row>
    <row r="250" spans="1:2" s="25" customFormat="1" x14ac:dyDescent="0.25">
      <c r="A250" s="27" t="s">
        <v>275</v>
      </c>
      <c r="B250" s="7" t="s">
        <v>276</v>
      </c>
    </row>
    <row r="251" spans="1:2" s="25" customFormat="1" ht="26.25" thickBot="1" x14ac:dyDescent="0.3">
      <c r="A251" s="32"/>
      <c r="B251" s="11" t="s">
        <v>277</v>
      </c>
    </row>
    <row r="252" spans="1:2" s="25" customFormat="1" ht="90" thickBot="1" x14ac:dyDescent="0.3">
      <c r="A252" s="27" t="s">
        <v>278</v>
      </c>
      <c r="B252" s="6" t="s">
        <v>279</v>
      </c>
    </row>
    <row r="253" spans="1:2" s="25" customFormat="1" ht="39" thickBot="1" x14ac:dyDescent="0.3">
      <c r="A253" s="29" t="s">
        <v>280</v>
      </c>
      <c r="B253" s="9" t="s">
        <v>281</v>
      </c>
    </row>
    <row r="254" spans="1:2" s="25" customFormat="1" ht="38.25" x14ac:dyDescent="0.25">
      <c r="A254" s="27" t="s">
        <v>282</v>
      </c>
      <c r="B254" s="6" t="s">
        <v>283</v>
      </c>
    </row>
    <row r="255" spans="1:2" s="25" customFormat="1" ht="15.75" thickBot="1" x14ac:dyDescent="0.3">
      <c r="A255" s="28"/>
      <c r="B255" s="8"/>
    </row>
    <row r="256" spans="1:2" s="25" customFormat="1" ht="26.25" thickBot="1" x14ac:dyDescent="0.3">
      <c r="A256" s="29" t="s">
        <v>284</v>
      </c>
      <c r="B256" s="9" t="s">
        <v>285</v>
      </c>
    </row>
    <row r="257" spans="1:2" s="25" customFormat="1" x14ac:dyDescent="0.25">
      <c r="A257" s="27" t="s">
        <v>286</v>
      </c>
      <c r="B257" s="7" t="s">
        <v>287</v>
      </c>
    </row>
    <row r="258" spans="1:2" s="25" customFormat="1" ht="51.75" thickBot="1" x14ac:dyDescent="0.3">
      <c r="A258" s="28"/>
      <c r="B258" s="8" t="s">
        <v>288</v>
      </c>
    </row>
    <row r="259" spans="1:2" s="25" customFormat="1" ht="77.25" thickBot="1" x14ac:dyDescent="0.3">
      <c r="A259" s="29" t="s">
        <v>289</v>
      </c>
      <c r="B259" s="9" t="s">
        <v>290</v>
      </c>
    </row>
    <row r="260" spans="1:2" s="25" customFormat="1" ht="15.75" thickBot="1" x14ac:dyDescent="0.3">
      <c r="A260" s="27" t="s">
        <v>291</v>
      </c>
      <c r="B260" s="6"/>
    </row>
    <row r="261" spans="1:2" s="25" customFormat="1" ht="15.75" thickBot="1" x14ac:dyDescent="0.3">
      <c r="A261" s="29" t="s">
        <v>292</v>
      </c>
      <c r="B261" s="13" t="s">
        <v>293</v>
      </c>
    </row>
    <row r="262" spans="1:2" s="25" customFormat="1" ht="15.75" thickBot="1" x14ac:dyDescent="0.3">
      <c r="A262" s="27" t="s">
        <v>294</v>
      </c>
      <c r="B262" s="7" t="s">
        <v>295</v>
      </c>
    </row>
    <row r="263" spans="1:2" s="25" customFormat="1" ht="15.75" thickBot="1" x14ac:dyDescent="0.3">
      <c r="A263" s="29" t="s">
        <v>296</v>
      </c>
      <c r="B263" s="13" t="s">
        <v>297</v>
      </c>
    </row>
    <row r="264" spans="1:2" s="25" customFormat="1" ht="15.75" thickBot="1" x14ac:dyDescent="0.3">
      <c r="A264" s="29" t="s">
        <v>298</v>
      </c>
      <c r="B264" s="13" t="s">
        <v>299</v>
      </c>
    </row>
    <row r="265" spans="1:2" s="25" customFormat="1" ht="15.75" thickBot="1" x14ac:dyDescent="0.3">
      <c r="A265" s="27" t="s">
        <v>300</v>
      </c>
      <c r="B265" s="7" t="s">
        <v>301</v>
      </c>
    </row>
    <row r="266" spans="1:2" s="25" customFormat="1" ht="16.5" thickBot="1" x14ac:dyDescent="0.3">
      <c r="A266" s="30" t="s">
        <v>302</v>
      </c>
      <c r="B266" s="10"/>
    </row>
    <row r="267" spans="1:2" s="25" customFormat="1" ht="16.5" thickBot="1" x14ac:dyDescent="0.3">
      <c r="A267" s="30" t="s">
        <v>259</v>
      </c>
      <c r="B267" s="10"/>
    </row>
    <row r="268" spans="1:2" s="25" customFormat="1" ht="15.75" thickBot="1" x14ac:dyDescent="0.3">
      <c r="A268" s="34" t="s">
        <v>303</v>
      </c>
      <c r="B268" s="19" t="s">
        <v>304</v>
      </c>
    </row>
    <row r="269" spans="1:2" s="25" customFormat="1" ht="15.75" thickBot="1" x14ac:dyDescent="0.3">
      <c r="A269" s="34" t="s">
        <v>305</v>
      </c>
      <c r="B269" s="19" t="s">
        <v>306</v>
      </c>
    </row>
    <row r="270" spans="1:2" s="25" customFormat="1" ht="15.75" thickBot="1" x14ac:dyDescent="0.3">
      <c r="A270" s="34" t="s">
        <v>307</v>
      </c>
      <c r="B270" s="19" t="s">
        <v>308</v>
      </c>
    </row>
    <row r="271" spans="1:2" s="25" customFormat="1" ht="15.75" thickBot="1" x14ac:dyDescent="0.3">
      <c r="A271" s="36" t="s">
        <v>309</v>
      </c>
      <c r="B271" s="23" t="s">
        <v>310</v>
      </c>
    </row>
    <row r="272" spans="1:2" s="25" customFormat="1" ht="15.75" thickBot="1" x14ac:dyDescent="0.3">
      <c r="A272" s="34" t="s">
        <v>311</v>
      </c>
      <c r="B272" s="19" t="s">
        <v>312</v>
      </c>
    </row>
    <row r="273" spans="1:2" s="25" customFormat="1" ht="15.75" thickBot="1" x14ac:dyDescent="0.3">
      <c r="A273" s="34" t="s">
        <v>313</v>
      </c>
      <c r="B273" s="19" t="s">
        <v>314</v>
      </c>
    </row>
    <row r="274" spans="1:2" s="25" customFormat="1" ht="15.75" thickBot="1" x14ac:dyDescent="0.3">
      <c r="A274" s="34" t="s">
        <v>315</v>
      </c>
      <c r="B274" s="19" t="s">
        <v>316</v>
      </c>
    </row>
    <row r="275" spans="1:2" s="25" customFormat="1" ht="16.5" thickBot="1" x14ac:dyDescent="0.3">
      <c r="A275" s="30" t="s">
        <v>317</v>
      </c>
      <c r="B275" s="10"/>
    </row>
    <row r="276" spans="1:2" s="25" customFormat="1" x14ac:dyDescent="0.25">
      <c r="A276" s="34" t="s">
        <v>318</v>
      </c>
      <c r="B276" s="19" t="s">
        <v>319</v>
      </c>
    </row>
    <row r="277" spans="1:2" s="25" customFormat="1" ht="26.25" thickBot="1" x14ac:dyDescent="0.3">
      <c r="A277" s="37"/>
      <c r="B277" s="20" t="s">
        <v>320</v>
      </c>
    </row>
    <row r="278" spans="1:2" s="25" customFormat="1" x14ac:dyDescent="0.25">
      <c r="A278" s="34" t="s">
        <v>321</v>
      </c>
      <c r="B278" s="19" t="s">
        <v>322</v>
      </c>
    </row>
    <row r="279" spans="1:2" s="25" customFormat="1" ht="26.25" thickBot="1" x14ac:dyDescent="0.3">
      <c r="A279" s="35"/>
      <c r="B279" s="15" t="s">
        <v>323</v>
      </c>
    </row>
    <row r="280" spans="1:2" s="25" customFormat="1" x14ac:dyDescent="0.25">
      <c r="A280" s="34" t="s">
        <v>324</v>
      </c>
      <c r="B280" s="19" t="s">
        <v>325</v>
      </c>
    </row>
    <row r="281" spans="1:2" s="25" customFormat="1" ht="39" thickBot="1" x14ac:dyDescent="0.3">
      <c r="A281" s="37"/>
      <c r="B281" s="20" t="s">
        <v>326</v>
      </c>
    </row>
    <row r="282" spans="1:2" s="25" customFormat="1" x14ac:dyDescent="0.25">
      <c r="A282" s="27" t="s">
        <v>327</v>
      </c>
      <c r="B282" s="7" t="s">
        <v>328</v>
      </c>
    </row>
    <row r="283" spans="1:2" s="25" customFormat="1" ht="39" thickBot="1" x14ac:dyDescent="0.3">
      <c r="A283" s="32"/>
      <c r="B283" s="11" t="s">
        <v>329</v>
      </c>
    </row>
    <row r="284" spans="1:2" s="25" customFormat="1" x14ac:dyDescent="0.25">
      <c r="A284" s="27" t="s">
        <v>330</v>
      </c>
      <c r="B284" s="7" t="s">
        <v>331</v>
      </c>
    </row>
    <row r="285" spans="1:2" s="25" customFormat="1" ht="39" thickBot="1" x14ac:dyDescent="0.3">
      <c r="A285" s="32"/>
      <c r="B285" s="11" t="s">
        <v>332</v>
      </c>
    </row>
    <row r="286" spans="1:2" s="25" customFormat="1" x14ac:dyDescent="0.25">
      <c r="A286" s="34" t="s">
        <v>333</v>
      </c>
      <c r="B286" s="19" t="s">
        <v>334</v>
      </c>
    </row>
    <row r="287" spans="1:2" s="25" customFormat="1" ht="26.25" thickBot="1" x14ac:dyDescent="0.3">
      <c r="A287" s="37"/>
      <c r="B287" s="20" t="s">
        <v>335</v>
      </c>
    </row>
    <row r="288" spans="1:2" s="25" customFormat="1" ht="15.75" thickBot="1" x14ac:dyDescent="0.3">
      <c r="A288" s="33" t="s">
        <v>336</v>
      </c>
      <c r="B288" s="12"/>
    </row>
    <row r="289" spans="1:2" s="25" customFormat="1" ht="51" x14ac:dyDescent="0.25">
      <c r="A289" s="27" t="s">
        <v>337</v>
      </c>
      <c r="B289" s="6" t="s">
        <v>338</v>
      </c>
    </row>
    <row r="290" spans="1:2" s="25" customFormat="1" ht="15.75" thickBot="1" x14ac:dyDescent="0.3">
      <c r="A290" s="28"/>
      <c r="B290" s="8"/>
    </row>
    <row r="291" spans="1:2" s="25" customFormat="1" ht="64.5" thickBot="1" x14ac:dyDescent="0.3">
      <c r="A291" s="29" t="s">
        <v>339</v>
      </c>
      <c r="B291" s="9" t="s">
        <v>340</v>
      </c>
    </row>
    <row r="292" spans="1:2" s="25" customFormat="1" ht="64.5" thickBot="1" x14ac:dyDescent="0.3">
      <c r="A292" s="29" t="s">
        <v>341</v>
      </c>
      <c r="B292" s="9" t="s">
        <v>342</v>
      </c>
    </row>
    <row r="293" spans="1:2" s="25" customFormat="1" ht="51.75" thickBot="1" x14ac:dyDescent="0.3">
      <c r="A293" s="27" t="s">
        <v>343</v>
      </c>
      <c r="B293" s="6" t="s">
        <v>344</v>
      </c>
    </row>
    <row r="294" spans="1:2" s="25" customFormat="1" ht="25.5" x14ac:dyDescent="0.25">
      <c r="A294" s="34" t="s">
        <v>345</v>
      </c>
      <c r="B294" s="14" t="s">
        <v>346</v>
      </c>
    </row>
    <row r="295" spans="1:2" s="25" customFormat="1" ht="15.75" thickBot="1" x14ac:dyDescent="0.3">
      <c r="A295" s="35"/>
      <c r="B295" s="15"/>
    </row>
    <row r="296" spans="1:2" s="25" customFormat="1" ht="33.75" customHeight="1" thickBot="1" x14ac:dyDescent="0.3">
      <c r="A296" s="34" t="s">
        <v>347</v>
      </c>
      <c r="B296" s="14" t="s">
        <v>348</v>
      </c>
    </row>
    <row r="297" spans="1:2" s="25" customFormat="1" ht="15.75" thickBot="1" x14ac:dyDescent="0.3">
      <c r="A297" s="33" t="s">
        <v>349</v>
      </c>
      <c r="B297" s="12"/>
    </row>
    <row r="298" spans="1:2" s="25" customFormat="1" ht="17.25" thickBot="1" x14ac:dyDescent="0.3">
      <c r="A298" s="31" t="s">
        <v>350</v>
      </c>
      <c r="B298" s="41"/>
    </row>
    <row r="299" spans="1:2" s="25" customFormat="1" ht="16.5" thickBot="1" x14ac:dyDescent="0.3">
      <c r="A299" s="30" t="s">
        <v>351</v>
      </c>
      <c r="B299" s="10"/>
    </row>
    <row r="300" spans="1:2" s="25" customFormat="1" ht="26.25" thickBot="1" x14ac:dyDescent="0.3">
      <c r="A300" s="27" t="s">
        <v>352</v>
      </c>
      <c r="B300" s="6" t="s">
        <v>353</v>
      </c>
    </row>
    <row r="301" spans="1:2" s="25" customFormat="1" ht="64.5" thickBot="1" x14ac:dyDescent="0.3">
      <c r="A301" s="27" t="s">
        <v>354</v>
      </c>
      <c r="B301" s="6" t="s">
        <v>355</v>
      </c>
    </row>
    <row r="302" spans="1:2" s="25" customFormat="1" ht="15.75" thickBot="1" x14ac:dyDescent="0.3">
      <c r="A302" s="34" t="s">
        <v>356</v>
      </c>
      <c r="B302" s="14" t="s">
        <v>357</v>
      </c>
    </row>
    <row r="303" spans="1:2" s="25" customFormat="1" ht="16.5" thickBot="1" x14ac:dyDescent="0.3">
      <c r="A303" s="30" t="s">
        <v>358</v>
      </c>
      <c r="B303" s="10"/>
    </row>
    <row r="304" spans="1:2" s="25" customFormat="1" ht="26.25" thickBot="1" x14ac:dyDescent="0.3">
      <c r="A304" s="27" t="s">
        <v>359</v>
      </c>
      <c r="B304" s="6" t="s">
        <v>360</v>
      </c>
    </row>
    <row r="305" spans="1:2" s="25" customFormat="1" ht="26.25" thickBot="1" x14ac:dyDescent="0.3">
      <c r="A305" s="27" t="s">
        <v>361</v>
      </c>
      <c r="B305" s="6" t="s">
        <v>362</v>
      </c>
    </row>
    <row r="306" spans="1:2" s="25" customFormat="1" ht="115.5" thickBot="1" x14ac:dyDescent="0.3">
      <c r="A306" s="27" t="s">
        <v>363</v>
      </c>
      <c r="B306" s="6" t="s">
        <v>364</v>
      </c>
    </row>
    <row r="307" spans="1:2" s="25" customFormat="1" ht="15.75" thickBot="1" x14ac:dyDescent="0.3">
      <c r="A307" s="34" t="s">
        <v>365</v>
      </c>
      <c r="B307" s="14" t="s">
        <v>366</v>
      </c>
    </row>
    <row r="308" spans="1:2" s="25" customFormat="1" ht="16.5" thickBot="1" x14ac:dyDescent="0.3">
      <c r="A308" s="30" t="s">
        <v>367</v>
      </c>
      <c r="B308" s="10"/>
    </row>
    <row r="309" spans="1:2" s="25" customFormat="1" ht="39" thickBot="1" x14ac:dyDescent="0.3">
      <c r="A309" s="27" t="s">
        <v>368</v>
      </c>
      <c r="B309" s="6" t="s">
        <v>369</v>
      </c>
    </row>
    <row r="310" spans="1:2" s="25" customFormat="1" ht="16.5" thickBot="1" x14ac:dyDescent="0.3">
      <c r="A310" s="30" t="s">
        <v>370</v>
      </c>
      <c r="B310" s="10"/>
    </row>
    <row r="311" spans="1:2" s="25" customFormat="1" ht="15.75" thickBot="1" x14ac:dyDescent="0.3">
      <c r="A311" s="34" t="s">
        <v>371</v>
      </c>
      <c r="B311" s="14" t="s">
        <v>372</v>
      </c>
    </row>
    <row r="312" spans="1:2" s="25" customFormat="1" ht="15.75" thickBot="1" x14ac:dyDescent="0.3">
      <c r="A312" s="33" t="s">
        <v>373</v>
      </c>
      <c r="B312" s="12"/>
    </row>
    <row r="313" spans="1:2" s="25" customFormat="1" ht="17.25" thickBot="1" x14ac:dyDescent="0.3">
      <c r="A313" s="31" t="s">
        <v>374</v>
      </c>
      <c r="B313" s="41"/>
    </row>
    <row r="314" spans="1:2" s="25" customFormat="1" ht="39" thickBot="1" x14ac:dyDescent="0.3">
      <c r="A314" s="27" t="s">
        <v>375</v>
      </c>
      <c r="B314" s="6" t="s">
        <v>376</v>
      </c>
    </row>
    <row r="315" spans="1:2" s="25" customFormat="1" ht="39" thickBot="1" x14ac:dyDescent="0.3">
      <c r="A315" s="27" t="s">
        <v>377</v>
      </c>
      <c r="B315" s="6" t="s">
        <v>378</v>
      </c>
    </row>
    <row r="316" spans="1:2" s="25" customFormat="1" ht="26.25" thickBot="1" x14ac:dyDescent="0.3">
      <c r="A316" s="27" t="s">
        <v>379</v>
      </c>
      <c r="B316" s="6" t="s">
        <v>380</v>
      </c>
    </row>
    <row r="317" spans="1:2" s="25" customFormat="1" ht="26.25" thickBot="1" x14ac:dyDescent="0.3">
      <c r="A317" s="27" t="s">
        <v>381</v>
      </c>
      <c r="B317" s="6" t="s">
        <v>382</v>
      </c>
    </row>
    <row r="318" spans="1:2" s="25" customFormat="1" ht="26.25" thickBot="1" x14ac:dyDescent="0.3">
      <c r="A318" s="34" t="s">
        <v>383</v>
      </c>
      <c r="B318" s="14" t="s">
        <v>384</v>
      </c>
    </row>
    <row r="319" spans="1:2" s="25" customFormat="1" ht="15.75" thickBot="1" x14ac:dyDescent="0.3">
      <c r="A319" s="33" t="s">
        <v>385</v>
      </c>
      <c r="B319" s="12"/>
    </row>
    <row r="320" spans="1:2" s="25" customFormat="1" ht="17.25" thickBot="1" x14ac:dyDescent="0.3">
      <c r="A320" s="31" t="s">
        <v>386</v>
      </c>
      <c r="B320" s="41"/>
    </row>
    <row r="321" spans="1:2" s="25" customFormat="1" x14ac:dyDescent="0.25">
      <c r="A321" s="27" t="s">
        <v>387</v>
      </c>
      <c r="B321" s="6" t="s">
        <v>388</v>
      </c>
    </row>
    <row r="322" spans="1:2" s="25" customFormat="1" x14ac:dyDescent="0.25">
      <c r="A322" s="32"/>
      <c r="B322" s="42"/>
    </row>
    <row r="323" spans="1:2" s="25" customFormat="1" ht="63.75" x14ac:dyDescent="0.25">
      <c r="A323" s="32"/>
      <c r="B323" s="11" t="s">
        <v>389</v>
      </c>
    </row>
    <row r="324" spans="1:2" s="25" customFormat="1" x14ac:dyDescent="0.25">
      <c r="A324" s="32"/>
      <c r="B324" s="42"/>
    </row>
    <row r="325" spans="1:2" s="25" customFormat="1" ht="102.75" thickBot="1" x14ac:dyDescent="0.3">
      <c r="A325" s="32"/>
      <c r="B325" s="11" t="s">
        <v>390</v>
      </c>
    </row>
    <row r="326" spans="1:2" s="25" customFormat="1" ht="39" thickBot="1" x14ac:dyDescent="0.3">
      <c r="A326" s="27" t="s">
        <v>391</v>
      </c>
      <c r="B326" s="6" t="s">
        <v>392</v>
      </c>
    </row>
    <row r="327" spans="1:2" s="25" customFormat="1" ht="63.75" x14ac:dyDescent="0.25">
      <c r="A327" s="27" t="s">
        <v>393</v>
      </c>
      <c r="B327" s="6" t="s">
        <v>394</v>
      </c>
    </row>
    <row r="328" spans="1:2" s="25" customFormat="1" x14ac:dyDescent="0.25">
      <c r="A328" s="32"/>
      <c r="B328" s="42"/>
    </row>
    <row r="329" spans="1:2" s="25" customFormat="1" ht="76.5" x14ac:dyDescent="0.25">
      <c r="A329" s="32"/>
      <c r="B329" s="11" t="s">
        <v>395</v>
      </c>
    </row>
    <row r="330" spans="1:2" s="25" customFormat="1" x14ac:dyDescent="0.25">
      <c r="A330" s="32"/>
      <c r="B330" s="42"/>
    </row>
    <row r="331" spans="1:2" s="25" customFormat="1" ht="38.25" x14ac:dyDescent="0.25">
      <c r="A331" s="32"/>
      <c r="B331" s="11" t="s">
        <v>396</v>
      </c>
    </row>
    <row r="332" spans="1:2" s="25" customFormat="1" x14ac:dyDescent="0.25">
      <c r="A332" s="32"/>
      <c r="B332" s="42"/>
    </row>
    <row r="333" spans="1:2" s="25" customFormat="1" ht="63.75" x14ac:dyDescent="0.25">
      <c r="A333" s="32"/>
      <c r="B333" s="11" t="s">
        <v>397</v>
      </c>
    </row>
    <row r="334" spans="1:2" s="25" customFormat="1" x14ac:dyDescent="0.25">
      <c r="A334" s="32"/>
      <c r="B334" s="42"/>
    </row>
    <row r="335" spans="1:2" s="25" customFormat="1" ht="38.25" x14ac:dyDescent="0.25">
      <c r="A335" s="32"/>
      <c r="B335" s="11" t="s">
        <v>398</v>
      </c>
    </row>
    <row r="336" spans="1:2" s="25" customFormat="1" x14ac:dyDescent="0.25">
      <c r="A336" s="32"/>
      <c r="B336" s="11"/>
    </row>
    <row r="337" spans="1:2" s="25" customFormat="1" ht="25.5" x14ac:dyDescent="0.25">
      <c r="A337" s="32"/>
      <c r="B337" s="11" t="s">
        <v>399</v>
      </c>
    </row>
    <row r="338" spans="1:2" s="25" customFormat="1" x14ac:dyDescent="0.25">
      <c r="A338" s="32"/>
      <c r="B338" s="11"/>
    </row>
    <row r="339" spans="1:2" s="25" customFormat="1" x14ac:dyDescent="0.25">
      <c r="A339" s="32"/>
      <c r="B339" s="11"/>
    </row>
    <row r="340" spans="1:2" s="25" customFormat="1" x14ac:dyDescent="0.25">
      <c r="A340" s="32"/>
      <c r="B340" s="11"/>
    </row>
    <row r="341" spans="1:2" s="25" customFormat="1" x14ac:dyDescent="0.25">
      <c r="A341" s="32"/>
      <c r="B341" s="11"/>
    </row>
    <row r="342" spans="1:2" s="25" customFormat="1" x14ac:dyDescent="0.25">
      <c r="A342" s="32"/>
      <c r="B342" s="11"/>
    </row>
    <row r="343" spans="1:2" s="25" customFormat="1" x14ac:dyDescent="0.25">
      <c r="A343" s="32"/>
      <c r="B343" s="11"/>
    </row>
    <row r="344" spans="1:2" s="25" customFormat="1" ht="15.75" thickBot="1" x14ac:dyDescent="0.3">
      <c r="A344" s="28"/>
      <c r="B344" s="8"/>
    </row>
    <row r="345" spans="1:2" s="25" customFormat="1" ht="26.25" thickBot="1" x14ac:dyDescent="0.3">
      <c r="A345" s="27" t="s">
        <v>400</v>
      </c>
      <c r="B345" s="6" t="s">
        <v>401</v>
      </c>
    </row>
    <row r="346" spans="1:2" s="25" customFormat="1" ht="76.5" x14ac:dyDescent="0.25">
      <c r="A346" s="27" t="s">
        <v>402</v>
      </c>
      <c r="B346" s="6" t="s">
        <v>403</v>
      </c>
    </row>
    <row r="347" spans="1:2" s="25" customFormat="1" x14ac:dyDescent="0.25">
      <c r="A347" s="32"/>
      <c r="B347" s="42"/>
    </row>
    <row r="348" spans="1:2" s="25" customFormat="1" ht="76.5" x14ac:dyDescent="0.25">
      <c r="A348" s="32"/>
      <c r="B348" s="11" t="s">
        <v>395</v>
      </c>
    </row>
    <row r="349" spans="1:2" s="25" customFormat="1" x14ac:dyDescent="0.25">
      <c r="A349" s="32"/>
      <c r="B349" s="42"/>
    </row>
    <row r="350" spans="1:2" s="25" customFormat="1" ht="38.25" x14ac:dyDescent="0.25">
      <c r="A350" s="32"/>
      <c r="B350" s="11" t="s">
        <v>396</v>
      </c>
    </row>
    <row r="351" spans="1:2" s="25" customFormat="1" x14ac:dyDescent="0.25">
      <c r="A351" s="32"/>
      <c r="B351" s="42"/>
    </row>
    <row r="352" spans="1:2" s="25" customFormat="1" ht="63.75" x14ac:dyDescent="0.25">
      <c r="A352" s="32"/>
      <c r="B352" s="11" t="s">
        <v>404</v>
      </c>
    </row>
    <row r="353" spans="1:2" s="25" customFormat="1" x14ac:dyDescent="0.25">
      <c r="A353" s="32"/>
      <c r="B353" s="42"/>
    </row>
    <row r="354" spans="1:2" s="25" customFormat="1" ht="38.25" x14ac:dyDescent="0.25">
      <c r="A354" s="32"/>
      <c r="B354" s="11" t="s">
        <v>398</v>
      </c>
    </row>
    <row r="355" spans="1:2" s="25" customFormat="1" x14ac:dyDescent="0.25">
      <c r="A355" s="32"/>
      <c r="B355" s="11"/>
    </row>
    <row r="356" spans="1:2" s="25" customFormat="1" ht="26.25" thickBot="1" x14ac:dyDescent="0.3">
      <c r="A356" s="28"/>
      <c r="B356" s="8" t="s">
        <v>405</v>
      </c>
    </row>
    <row r="357" spans="1:2" s="25" customFormat="1" ht="51.75" thickBot="1" x14ac:dyDescent="0.3">
      <c r="A357" s="27" t="s">
        <v>406</v>
      </c>
      <c r="B357" s="6" t="s">
        <v>407</v>
      </c>
    </row>
    <row r="358" spans="1:2" s="25" customFormat="1" ht="89.25" x14ac:dyDescent="0.25">
      <c r="A358" s="27" t="s">
        <v>408</v>
      </c>
      <c r="B358" s="6" t="s">
        <v>409</v>
      </c>
    </row>
    <row r="359" spans="1:2" s="25" customFormat="1" x14ac:dyDescent="0.25">
      <c r="A359" s="32"/>
      <c r="B359" s="42"/>
    </row>
    <row r="360" spans="1:2" s="25" customFormat="1" ht="76.5" x14ac:dyDescent="0.25">
      <c r="A360" s="32"/>
      <c r="B360" s="11" t="s">
        <v>395</v>
      </c>
    </row>
    <row r="361" spans="1:2" s="25" customFormat="1" x14ac:dyDescent="0.25">
      <c r="A361" s="32"/>
      <c r="B361" s="42"/>
    </row>
    <row r="362" spans="1:2" s="25" customFormat="1" ht="38.25" x14ac:dyDescent="0.25">
      <c r="A362" s="32"/>
      <c r="B362" s="11" t="s">
        <v>396</v>
      </c>
    </row>
    <row r="363" spans="1:2" s="25" customFormat="1" x14ac:dyDescent="0.25">
      <c r="A363" s="32"/>
      <c r="B363" s="42"/>
    </row>
    <row r="364" spans="1:2" s="25" customFormat="1" ht="63.75" x14ac:dyDescent="0.25">
      <c r="A364" s="32"/>
      <c r="B364" s="11" t="s">
        <v>410</v>
      </c>
    </row>
    <row r="365" spans="1:2" s="25" customFormat="1" x14ac:dyDescent="0.25">
      <c r="A365" s="32"/>
      <c r="B365" s="42"/>
    </row>
    <row r="366" spans="1:2" s="25" customFormat="1" ht="38.25" x14ac:dyDescent="0.25">
      <c r="A366" s="32"/>
      <c r="B366" s="11" t="s">
        <v>398</v>
      </c>
    </row>
    <row r="367" spans="1:2" s="25" customFormat="1" x14ac:dyDescent="0.25">
      <c r="A367" s="32"/>
      <c r="B367" s="11"/>
    </row>
    <row r="368" spans="1:2" s="25" customFormat="1" ht="26.25" thickBot="1" x14ac:dyDescent="0.3">
      <c r="A368" s="32"/>
      <c r="B368" s="11" t="s">
        <v>411</v>
      </c>
    </row>
    <row r="369" spans="1:2" s="25" customFormat="1" ht="15.75" thickBot="1" x14ac:dyDescent="0.3">
      <c r="A369" s="34" t="s">
        <v>412</v>
      </c>
      <c r="B369" s="14"/>
    </row>
    <row r="370" spans="1:2" s="25" customFormat="1" ht="16.5" thickBot="1" x14ac:dyDescent="0.3">
      <c r="A370" s="30" t="s">
        <v>413</v>
      </c>
      <c r="B370" s="10"/>
    </row>
    <row r="371" spans="1:2" s="25" customFormat="1" ht="89.25" x14ac:dyDescent="0.25">
      <c r="A371" s="27" t="s">
        <v>414</v>
      </c>
      <c r="B371" s="6" t="s">
        <v>415</v>
      </c>
    </row>
    <row r="372" spans="1:2" s="25" customFormat="1" x14ac:dyDescent="0.25">
      <c r="A372" s="32"/>
      <c r="B372" s="11"/>
    </row>
    <row r="373" spans="1:2" s="25" customFormat="1" ht="26.25" thickBot="1" x14ac:dyDescent="0.3">
      <c r="A373" s="32"/>
      <c r="B373" s="11" t="s">
        <v>416</v>
      </c>
    </row>
    <row r="374" spans="1:2" s="25" customFormat="1" x14ac:dyDescent="0.25">
      <c r="A374" s="27" t="s">
        <v>417</v>
      </c>
      <c r="B374" s="7" t="s">
        <v>418</v>
      </c>
    </row>
    <row r="375" spans="1:2" s="25" customFormat="1" ht="26.25" thickBot="1" x14ac:dyDescent="0.3">
      <c r="A375" s="28"/>
      <c r="B375" s="8" t="s">
        <v>416</v>
      </c>
    </row>
    <row r="376" spans="1:2" s="25" customFormat="1" ht="89.25" x14ac:dyDescent="0.25">
      <c r="A376" s="27" t="s">
        <v>419</v>
      </c>
      <c r="B376" s="6" t="s">
        <v>420</v>
      </c>
    </row>
    <row r="377" spans="1:2" s="25" customFormat="1" x14ac:dyDescent="0.25">
      <c r="A377" s="32"/>
      <c r="B377" s="11"/>
    </row>
    <row r="378" spans="1:2" s="25" customFormat="1" ht="26.25" thickBot="1" x14ac:dyDescent="0.3">
      <c r="A378" s="32"/>
      <c r="B378" s="11" t="s">
        <v>416</v>
      </c>
    </row>
    <row r="379" spans="1:2" s="25" customFormat="1" x14ac:dyDescent="0.25">
      <c r="A379" s="34" t="s">
        <v>421</v>
      </c>
      <c r="B379" s="19" t="s">
        <v>422</v>
      </c>
    </row>
    <row r="380" spans="1:2" s="25" customFormat="1" ht="89.25" x14ac:dyDescent="0.25">
      <c r="A380" s="37"/>
      <c r="B380" s="20" t="s">
        <v>415</v>
      </c>
    </row>
    <row r="381" spans="1:2" s="25" customFormat="1" ht="26.25" thickBot="1" x14ac:dyDescent="0.3">
      <c r="A381" s="37"/>
      <c r="B381" s="20" t="s">
        <v>416</v>
      </c>
    </row>
    <row r="382" spans="1:2" s="25" customFormat="1" ht="15.75" thickBot="1" x14ac:dyDescent="0.3">
      <c r="A382" s="33" t="s">
        <v>423</v>
      </c>
      <c r="B382" s="12"/>
    </row>
    <row r="383" spans="1:2" s="25" customFormat="1" ht="17.25" thickBot="1" x14ac:dyDescent="0.3">
      <c r="A383" s="31" t="s">
        <v>424</v>
      </c>
      <c r="B383" s="41"/>
    </row>
    <row r="384" spans="1:2" s="25" customFormat="1" ht="16.5" thickBot="1" x14ac:dyDescent="0.3">
      <c r="A384" s="30" t="s">
        <v>425</v>
      </c>
      <c r="B384" s="10"/>
    </row>
    <row r="385" spans="1:2" s="25" customFormat="1" ht="15.75" thickBot="1" x14ac:dyDescent="0.3">
      <c r="A385" s="27" t="s">
        <v>426</v>
      </c>
      <c r="B385" s="6" t="s">
        <v>427</v>
      </c>
    </row>
    <row r="386" spans="1:2" s="25" customFormat="1" x14ac:dyDescent="0.25">
      <c r="A386" s="27" t="s">
        <v>428</v>
      </c>
      <c r="B386" s="7" t="s">
        <v>429</v>
      </c>
    </row>
    <row r="387" spans="1:2" s="25" customFormat="1" ht="26.25" thickBot="1" x14ac:dyDescent="0.3">
      <c r="A387" s="32"/>
      <c r="B387" s="11" t="s">
        <v>430</v>
      </c>
    </row>
    <row r="388" spans="1:2" s="25" customFormat="1" ht="16.5" thickBot="1" x14ac:dyDescent="0.3">
      <c r="A388" s="30" t="s">
        <v>431</v>
      </c>
      <c r="B388" s="10"/>
    </row>
    <row r="389" spans="1:2" s="25" customFormat="1" x14ac:dyDescent="0.25">
      <c r="A389" s="27" t="s">
        <v>432</v>
      </c>
      <c r="B389" s="7" t="s">
        <v>433</v>
      </c>
    </row>
    <row r="390" spans="1:2" s="25" customFormat="1" ht="39" thickBot="1" x14ac:dyDescent="0.3">
      <c r="A390" s="28"/>
      <c r="B390" s="8" t="s">
        <v>434</v>
      </c>
    </row>
    <row r="391" spans="1:2" s="25" customFormat="1" x14ac:dyDescent="0.25">
      <c r="A391" s="27" t="s">
        <v>435</v>
      </c>
      <c r="B391" s="7" t="s">
        <v>436</v>
      </c>
    </row>
    <row r="392" spans="1:2" s="25" customFormat="1" ht="15.75" thickBot="1" x14ac:dyDescent="0.3">
      <c r="A392" s="28"/>
      <c r="B392" s="8" t="s">
        <v>437</v>
      </c>
    </row>
    <row r="393" spans="1:2" s="25" customFormat="1" x14ac:dyDescent="0.25">
      <c r="A393" s="27" t="s">
        <v>438</v>
      </c>
      <c r="B393" s="7" t="s">
        <v>439</v>
      </c>
    </row>
    <row r="394" spans="1:2" s="25" customFormat="1" ht="15.75" thickBot="1" x14ac:dyDescent="0.3">
      <c r="A394" s="32"/>
      <c r="B394" s="11" t="s">
        <v>440</v>
      </c>
    </row>
    <row r="395" spans="1:2" s="25" customFormat="1" x14ac:dyDescent="0.25">
      <c r="A395" s="27" t="s">
        <v>441</v>
      </c>
      <c r="B395" s="7" t="s">
        <v>442</v>
      </c>
    </row>
    <row r="396" spans="1:2" s="25" customFormat="1" ht="39" thickBot="1" x14ac:dyDescent="0.3">
      <c r="A396" s="28"/>
      <c r="B396" s="8" t="s">
        <v>434</v>
      </c>
    </row>
    <row r="397" spans="1:2" s="25" customFormat="1" x14ac:dyDescent="0.25">
      <c r="A397" s="27" t="s">
        <v>443</v>
      </c>
      <c r="B397" s="7" t="s">
        <v>444</v>
      </c>
    </row>
    <row r="398" spans="1:2" s="25" customFormat="1" ht="15.75" thickBot="1" x14ac:dyDescent="0.3">
      <c r="A398" s="28"/>
      <c r="B398" s="8" t="s">
        <v>445</v>
      </c>
    </row>
    <row r="399" spans="1:2" s="25" customFormat="1" x14ac:dyDescent="0.25">
      <c r="A399" s="27" t="s">
        <v>446</v>
      </c>
      <c r="B399" s="7" t="s">
        <v>447</v>
      </c>
    </row>
    <row r="400" spans="1:2" s="25" customFormat="1" ht="15.75" thickBot="1" x14ac:dyDescent="0.3">
      <c r="A400" s="28"/>
      <c r="B400" s="8" t="s">
        <v>448</v>
      </c>
    </row>
    <row r="401" spans="1:2" s="25" customFormat="1" x14ac:dyDescent="0.25">
      <c r="A401" s="34" t="s">
        <v>449</v>
      </c>
      <c r="B401" s="19" t="s">
        <v>450</v>
      </c>
    </row>
    <row r="402" spans="1:2" s="25" customFormat="1" ht="15.75" thickBot="1" x14ac:dyDescent="0.3">
      <c r="A402" s="35"/>
      <c r="B402" s="22"/>
    </row>
    <row r="403" spans="1:2" s="25" customFormat="1" ht="16.5" thickBot="1" x14ac:dyDescent="0.3">
      <c r="A403" s="30" t="s">
        <v>451</v>
      </c>
      <c r="B403" s="10"/>
    </row>
    <row r="404" spans="1:2" s="25" customFormat="1" x14ac:dyDescent="0.25">
      <c r="A404" s="27" t="s">
        <v>452</v>
      </c>
      <c r="B404" s="7" t="s">
        <v>453</v>
      </c>
    </row>
    <row r="405" spans="1:2" s="25" customFormat="1" ht="51.75" thickBot="1" x14ac:dyDescent="0.3">
      <c r="A405" s="32"/>
      <c r="B405" s="11" t="s">
        <v>454</v>
      </c>
    </row>
    <row r="406" spans="1:2" s="25" customFormat="1" x14ac:dyDescent="0.25">
      <c r="A406" s="27" t="s">
        <v>455</v>
      </c>
      <c r="B406" s="7" t="s">
        <v>456</v>
      </c>
    </row>
    <row r="407" spans="1:2" s="25" customFormat="1" ht="15.75" thickBot="1" x14ac:dyDescent="0.3">
      <c r="A407" s="28"/>
      <c r="B407" s="8" t="s">
        <v>457</v>
      </c>
    </row>
    <row r="408" spans="1:2" s="25" customFormat="1" x14ac:dyDescent="0.25">
      <c r="A408" s="27" t="s">
        <v>458</v>
      </c>
      <c r="B408" s="7" t="s">
        <v>459</v>
      </c>
    </row>
    <row r="409" spans="1:2" s="25" customFormat="1" ht="64.5" thickBot="1" x14ac:dyDescent="0.3">
      <c r="A409" s="28"/>
      <c r="B409" s="8" t="s">
        <v>460</v>
      </c>
    </row>
    <row r="410" spans="1:2" s="25" customFormat="1" x14ac:dyDescent="0.25">
      <c r="A410" s="27" t="s">
        <v>461</v>
      </c>
      <c r="B410" s="7" t="s">
        <v>462</v>
      </c>
    </row>
    <row r="411" spans="1:2" s="25" customFormat="1" ht="26.25" thickBot="1" x14ac:dyDescent="0.3">
      <c r="A411" s="28"/>
      <c r="B411" s="8" t="s">
        <v>463</v>
      </c>
    </row>
    <row r="412" spans="1:2" s="25" customFormat="1" x14ac:dyDescent="0.25">
      <c r="A412" s="27" t="s">
        <v>464</v>
      </c>
      <c r="B412" s="7" t="s">
        <v>465</v>
      </c>
    </row>
    <row r="413" spans="1:2" s="25" customFormat="1" x14ac:dyDescent="0.25">
      <c r="A413" s="32"/>
      <c r="B413" s="17"/>
    </row>
    <row r="414" spans="1:2" s="25" customFormat="1" x14ac:dyDescent="0.25">
      <c r="A414" s="32"/>
      <c r="B414" s="17"/>
    </row>
    <row r="415" spans="1:2" s="25" customFormat="1" x14ac:dyDescent="0.25">
      <c r="A415" s="32"/>
      <c r="B415" s="17"/>
    </row>
    <row r="416" spans="1:2" s="25" customFormat="1" x14ac:dyDescent="0.25">
      <c r="A416" s="32"/>
      <c r="B416" s="17"/>
    </row>
    <row r="417" spans="1:2" s="25" customFormat="1" x14ac:dyDescent="0.25">
      <c r="A417" s="32"/>
      <c r="B417" s="17"/>
    </row>
    <row r="418" spans="1:2" s="25" customFormat="1" x14ac:dyDescent="0.25">
      <c r="A418" s="32"/>
      <c r="B418" s="17"/>
    </row>
    <row r="419" spans="1:2" s="25" customFormat="1" x14ac:dyDescent="0.25">
      <c r="A419" s="32"/>
      <c r="B419" s="17"/>
    </row>
    <row r="420" spans="1:2" s="25" customFormat="1" x14ac:dyDescent="0.25">
      <c r="A420" s="32"/>
      <c r="B420" s="17"/>
    </row>
    <row r="421" spans="1:2" s="25" customFormat="1" x14ac:dyDescent="0.25">
      <c r="A421" s="32"/>
      <c r="B421" s="17"/>
    </row>
    <row r="422" spans="1:2" s="25" customFormat="1" x14ac:dyDescent="0.25">
      <c r="A422" s="32"/>
      <c r="B422" s="17"/>
    </row>
    <row r="423" spans="1:2" s="25" customFormat="1" x14ac:dyDescent="0.25">
      <c r="A423" s="32"/>
      <c r="B423" s="17"/>
    </row>
    <row r="424" spans="1:2" s="25" customFormat="1" x14ac:dyDescent="0.25">
      <c r="A424" s="32"/>
      <c r="B424" s="17"/>
    </row>
    <row r="425" spans="1:2" s="25" customFormat="1" x14ac:dyDescent="0.25">
      <c r="A425" s="32"/>
      <c r="B425" s="17"/>
    </row>
    <row r="426" spans="1:2" s="25" customFormat="1" x14ac:dyDescent="0.25">
      <c r="A426" s="32"/>
      <c r="B426" s="17"/>
    </row>
    <row r="427" spans="1:2" s="25" customFormat="1" x14ac:dyDescent="0.25">
      <c r="A427" s="32"/>
      <c r="B427" s="17"/>
    </row>
    <row r="428" spans="1:2" s="25" customFormat="1" x14ac:dyDescent="0.25">
      <c r="A428" s="32"/>
      <c r="B428" s="17"/>
    </row>
    <row r="429" spans="1:2" s="25" customFormat="1" x14ac:dyDescent="0.25">
      <c r="A429" s="32"/>
      <c r="B429" s="17"/>
    </row>
    <row r="430" spans="1:2" s="25" customFormat="1" x14ac:dyDescent="0.25">
      <c r="A430" s="32"/>
      <c r="B430" s="17"/>
    </row>
    <row r="431" spans="1:2" s="25" customFormat="1" x14ac:dyDescent="0.25">
      <c r="A431" s="32"/>
      <c r="B431" s="17"/>
    </row>
    <row r="432" spans="1:2" s="25" customFormat="1" x14ac:dyDescent="0.25">
      <c r="A432" s="32"/>
      <c r="B432" s="17"/>
    </row>
    <row r="433" spans="1:2" s="25" customFormat="1" x14ac:dyDescent="0.25">
      <c r="A433" s="32"/>
      <c r="B433" s="17"/>
    </row>
    <row r="434" spans="1:2" s="25" customFormat="1" x14ac:dyDescent="0.25">
      <c r="A434" s="32"/>
      <c r="B434" s="17"/>
    </row>
    <row r="435" spans="1:2" s="25" customFormat="1" ht="15.75" thickBot="1" x14ac:dyDescent="0.3">
      <c r="A435" s="28"/>
      <c r="B435" s="18"/>
    </row>
    <row r="436" spans="1:2" s="25" customFormat="1" x14ac:dyDescent="0.25">
      <c r="A436" s="27" t="s">
        <v>466</v>
      </c>
      <c r="B436" s="7" t="s">
        <v>467</v>
      </c>
    </row>
    <row r="437" spans="1:2" s="25" customFormat="1" ht="38.25" x14ac:dyDescent="0.25">
      <c r="A437" s="32"/>
      <c r="B437" s="11" t="s">
        <v>468</v>
      </c>
    </row>
    <row r="438" spans="1:2" s="25" customFormat="1" x14ac:dyDescent="0.25">
      <c r="A438" s="32"/>
      <c r="B438" s="11"/>
    </row>
    <row r="439" spans="1:2" s="25" customFormat="1" x14ac:dyDescent="0.25">
      <c r="A439" s="32"/>
      <c r="B439" s="11"/>
    </row>
    <row r="440" spans="1:2" s="25" customFormat="1" x14ac:dyDescent="0.25">
      <c r="A440" s="32"/>
      <c r="B440" s="11"/>
    </row>
    <row r="441" spans="1:2" s="25" customFormat="1" x14ac:dyDescent="0.25">
      <c r="A441" s="32"/>
      <c r="B441" s="11"/>
    </row>
    <row r="442" spans="1:2" s="25" customFormat="1" x14ac:dyDescent="0.25">
      <c r="A442" s="32"/>
      <c r="B442" s="11"/>
    </row>
    <row r="443" spans="1:2" s="25" customFormat="1" x14ac:dyDescent="0.25">
      <c r="A443" s="32"/>
      <c r="B443" s="11"/>
    </row>
    <row r="444" spans="1:2" s="25" customFormat="1" x14ac:dyDescent="0.25">
      <c r="A444" s="32"/>
      <c r="B444" s="11"/>
    </row>
    <row r="445" spans="1:2" s="25" customFormat="1" x14ac:dyDescent="0.25">
      <c r="A445" s="32"/>
      <c r="B445" s="11"/>
    </row>
    <row r="446" spans="1:2" s="25" customFormat="1" x14ac:dyDescent="0.25">
      <c r="A446" s="32"/>
      <c r="B446" s="11"/>
    </row>
    <row r="447" spans="1:2" s="25" customFormat="1" x14ac:dyDescent="0.25">
      <c r="A447" s="32"/>
      <c r="B447" s="11"/>
    </row>
    <row r="448" spans="1:2" s="25" customFormat="1" x14ac:dyDescent="0.25">
      <c r="A448" s="32"/>
      <c r="B448" s="11"/>
    </row>
    <row r="449" spans="1:2" s="25" customFormat="1" x14ac:dyDescent="0.25">
      <c r="A449" s="32"/>
      <c r="B449" s="11"/>
    </row>
    <row r="450" spans="1:2" s="25" customFormat="1" x14ac:dyDescent="0.25">
      <c r="A450" s="32"/>
      <c r="B450" s="11"/>
    </row>
    <row r="451" spans="1:2" s="25" customFormat="1" x14ac:dyDescent="0.25">
      <c r="A451" s="32"/>
      <c r="B451" s="11"/>
    </row>
    <row r="452" spans="1:2" s="25" customFormat="1" x14ac:dyDescent="0.25">
      <c r="A452" s="32"/>
      <c r="B452" s="11"/>
    </row>
    <row r="453" spans="1:2" s="25" customFormat="1" x14ac:dyDescent="0.25">
      <c r="A453" s="32"/>
      <c r="B453" s="11"/>
    </row>
    <row r="454" spans="1:2" s="25" customFormat="1" x14ac:dyDescent="0.25">
      <c r="A454" s="32"/>
      <c r="B454" s="11"/>
    </row>
    <row r="455" spans="1:2" s="25" customFormat="1" x14ac:dyDescent="0.25">
      <c r="A455" s="32"/>
      <c r="B455" s="11"/>
    </row>
    <row r="456" spans="1:2" s="25" customFormat="1" x14ac:dyDescent="0.25">
      <c r="A456" s="32"/>
      <c r="B456" s="11"/>
    </row>
    <row r="457" spans="1:2" s="25" customFormat="1" x14ac:dyDescent="0.25">
      <c r="A457" s="32"/>
      <c r="B457" s="11"/>
    </row>
    <row r="458" spans="1:2" s="25" customFormat="1" x14ac:dyDescent="0.25">
      <c r="A458" s="32"/>
      <c r="B458" s="11"/>
    </row>
    <row r="459" spans="1:2" s="25" customFormat="1" x14ac:dyDescent="0.25">
      <c r="A459" s="32"/>
      <c r="B459" s="11"/>
    </row>
    <row r="460" spans="1:2" s="25" customFormat="1" x14ac:dyDescent="0.25">
      <c r="A460" s="32"/>
      <c r="B460" s="11"/>
    </row>
    <row r="461" spans="1:2" s="25" customFormat="1" ht="15.75" thickBot="1" x14ac:dyDescent="0.3">
      <c r="A461" s="28"/>
      <c r="B461" s="8"/>
    </row>
    <row r="462" spans="1:2" s="25" customFormat="1" x14ac:dyDescent="0.25">
      <c r="A462" s="27" t="s">
        <v>469</v>
      </c>
      <c r="B462" s="7" t="s">
        <v>470</v>
      </c>
    </row>
    <row r="463" spans="1:2" s="25" customFormat="1" ht="26.25" thickBot="1" x14ac:dyDescent="0.3">
      <c r="A463" s="28"/>
      <c r="B463" s="8" t="s">
        <v>471</v>
      </c>
    </row>
    <row r="464" spans="1:2" s="25" customFormat="1" x14ac:dyDescent="0.25">
      <c r="A464" s="27" t="s">
        <v>472</v>
      </c>
      <c r="B464" s="7" t="s">
        <v>473</v>
      </c>
    </row>
    <row r="465" spans="1:2" s="25" customFormat="1" ht="51" x14ac:dyDescent="0.25">
      <c r="A465" s="32"/>
      <c r="B465" s="11" t="s">
        <v>474</v>
      </c>
    </row>
    <row r="466" spans="1:2" s="25" customFormat="1" x14ac:dyDescent="0.25">
      <c r="A466" s="32"/>
      <c r="B466" s="11"/>
    </row>
    <row r="467" spans="1:2" s="25" customFormat="1" ht="15.75" thickBot="1" x14ac:dyDescent="0.3">
      <c r="A467" s="28"/>
      <c r="B467" s="8"/>
    </row>
    <row r="468" spans="1:2" s="25" customFormat="1" x14ac:dyDescent="0.25">
      <c r="A468" s="27" t="s">
        <v>475</v>
      </c>
      <c r="B468" s="7" t="s">
        <v>476</v>
      </c>
    </row>
    <row r="469" spans="1:2" s="25" customFormat="1" ht="51.75" thickBot="1" x14ac:dyDescent="0.3">
      <c r="A469" s="28"/>
      <c r="B469" s="8" t="s">
        <v>477</v>
      </c>
    </row>
    <row r="470" spans="1:2" s="25" customFormat="1" x14ac:dyDescent="0.25">
      <c r="A470" s="27" t="s">
        <v>478</v>
      </c>
      <c r="B470" s="7" t="s">
        <v>479</v>
      </c>
    </row>
    <row r="471" spans="1:2" s="25" customFormat="1" x14ac:dyDescent="0.25">
      <c r="A471" s="32"/>
      <c r="B471" s="17"/>
    </row>
    <row r="472" spans="1:2" s="25" customFormat="1" x14ac:dyDescent="0.25">
      <c r="A472" s="32"/>
      <c r="B472" s="17"/>
    </row>
    <row r="473" spans="1:2" s="25" customFormat="1" x14ac:dyDescent="0.25">
      <c r="A473" s="32"/>
      <c r="B473" s="17"/>
    </row>
    <row r="474" spans="1:2" s="25" customFormat="1" x14ac:dyDescent="0.25">
      <c r="A474" s="32"/>
      <c r="B474" s="17"/>
    </row>
    <row r="475" spans="1:2" s="25" customFormat="1" x14ac:dyDescent="0.25">
      <c r="A475" s="32"/>
      <c r="B475" s="17"/>
    </row>
    <row r="476" spans="1:2" s="25" customFormat="1" x14ac:dyDescent="0.25">
      <c r="A476" s="32"/>
      <c r="B476" s="17"/>
    </row>
    <row r="477" spans="1:2" s="25" customFormat="1" x14ac:dyDescent="0.25">
      <c r="A477" s="32"/>
      <c r="B477" s="17"/>
    </row>
    <row r="478" spans="1:2" s="25" customFormat="1" x14ac:dyDescent="0.25">
      <c r="A478" s="32"/>
      <c r="B478" s="17"/>
    </row>
    <row r="479" spans="1:2" s="25" customFormat="1" x14ac:dyDescent="0.25">
      <c r="A479" s="32"/>
      <c r="B479" s="17"/>
    </row>
    <row r="480" spans="1:2" s="25" customFormat="1" x14ac:dyDescent="0.25">
      <c r="A480" s="32"/>
      <c r="B480" s="17"/>
    </row>
    <row r="481" spans="1:2" s="25" customFormat="1" ht="15.75" thickBot="1" x14ac:dyDescent="0.3">
      <c r="A481" s="28"/>
      <c r="B481" s="18"/>
    </row>
    <row r="482" spans="1:2" s="25" customFormat="1" x14ac:dyDescent="0.25">
      <c r="A482" s="27" t="s">
        <v>480</v>
      </c>
      <c r="B482" s="7" t="s">
        <v>481</v>
      </c>
    </row>
    <row r="483" spans="1:2" s="25" customFormat="1" ht="38.25" x14ac:dyDescent="0.25">
      <c r="A483" s="32"/>
      <c r="B483" s="11" t="s">
        <v>482</v>
      </c>
    </row>
    <row r="484" spans="1:2" s="25" customFormat="1" x14ac:dyDescent="0.25">
      <c r="A484" s="32"/>
      <c r="B484" s="11"/>
    </row>
    <row r="485" spans="1:2" s="25" customFormat="1" x14ac:dyDescent="0.25">
      <c r="A485" s="32"/>
      <c r="B485" s="11"/>
    </row>
    <row r="486" spans="1:2" s="25" customFormat="1" x14ac:dyDescent="0.25">
      <c r="A486" s="32"/>
      <c r="B486" s="11"/>
    </row>
    <row r="487" spans="1:2" s="25" customFormat="1" ht="15.75" thickBot="1" x14ac:dyDescent="0.3">
      <c r="A487" s="28"/>
      <c r="B487" s="8"/>
    </row>
    <row r="488" spans="1:2" s="25" customFormat="1" x14ac:dyDescent="0.25">
      <c r="A488" s="27" t="s">
        <v>483</v>
      </c>
      <c r="B488" s="7" t="s">
        <v>484</v>
      </c>
    </row>
    <row r="489" spans="1:2" s="25" customFormat="1" x14ac:dyDescent="0.25">
      <c r="A489" s="32"/>
      <c r="B489" s="17"/>
    </row>
    <row r="490" spans="1:2" s="25" customFormat="1" x14ac:dyDescent="0.25">
      <c r="A490" s="32"/>
      <c r="B490" s="17"/>
    </row>
    <row r="491" spans="1:2" s="25" customFormat="1" ht="15.75" thickBot="1" x14ac:dyDescent="0.3">
      <c r="A491" s="28"/>
      <c r="B491" s="18"/>
    </row>
    <row r="492" spans="1:2" s="25" customFormat="1" x14ac:dyDescent="0.25">
      <c r="A492" s="27" t="s">
        <v>485</v>
      </c>
      <c r="B492" s="7" t="s">
        <v>486</v>
      </c>
    </row>
    <row r="493" spans="1:2" s="25" customFormat="1" ht="26.25" thickBot="1" x14ac:dyDescent="0.3">
      <c r="A493" s="28"/>
      <c r="B493" s="8" t="s">
        <v>487</v>
      </c>
    </row>
    <row r="494" spans="1:2" s="25" customFormat="1" x14ac:dyDescent="0.25">
      <c r="A494" s="27" t="s">
        <v>488</v>
      </c>
      <c r="B494" s="7" t="s">
        <v>489</v>
      </c>
    </row>
    <row r="495" spans="1:2" s="25" customFormat="1" x14ac:dyDescent="0.25">
      <c r="A495" s="32"/>
      <c r="B495" s="17"/>
    </row>
    <row r="496" spans="1:2" s="25" customFormat="1" x14ac:dyDescent="0.25">
      <c r="A496" s="32"/>
      <c r="B496" s="17"/>
    </row>
    <row r="497" spans="1:2" s="25" customFormat="1" ht="15.75" thickBot="1" x14ac:dyDescent="0.3">
      <c r="A497" s="28"/>
      <c r="B497" s="18"/>
    </row>
    <row r="498" spans="1:2" s="25" customFormat="1" x14ac:dyDescent="0.25">
      <c r="A498" s="27" t="s">
        <v>490</v>
      </c>
      <c r="B498" s="7" t="s">
        <v>491</v>
      </c>
    </row>
    <row r="499" spans="1:2" s="25" customFormat="1" ht="26.25" thickBot="1" x14ac:dyDescent="0.3">
      <c r="A499" s="28"/>
      <c r="B499" s="8" t="s">
        <v>492</v>
      </c>
    </row>
    <row r="500" spans="1:2" s="25" customFormat="1" x14ac:dyDescent="0.25">
      <c r="A500" s="34" t="s">
        <v>493</v>
      </c>
      <c r="B500" s="19" t="s">
        <v>494</v>
      </c>
    </row>
    <row r="501" spans="1:2" s="25" customFormat="1" ht="25.5" x14ac:dyDescent="0.25">
      <c r="A501" s="37"/>
      <c r="B501" s="20" t="s">
        <v>495</v>
      </c>
    </row>
    <row r="502" spans="1:2" s="25" customFormat="1" x14ac:dyDescent="0.25">
      <c r="A502" s="37"/>
      <c r="B502" s="20"/>
    </row>
    <row r="503" spans="1:2" s="25" customFormat="1" x14ac:dyDescent="0.25">
      <c r="A503" s="37"/>
      <c r="B503" s="20"/>
    </row>
    <row r="504" spans="1:2" s="25" customFormat="1" x14ac:dyDescent="0.25">
      <c r="A504" s="37"/>
      <c r="B504" s="20"/>
    </row>
    <row r="505" spans="1:2" s="25" customFormat="1" x14ac:dyDescent="0.25">
      <c r="A505" s="37"/>
      <c r="B505" s="20"/>
    </row>
    <row r="506" spans="1:2" s="25" customFormat="1" x14ac:dyDescent="0.25">
      <c r="A506" s="37"/>
      <c r="B506" s="20"/>
    </row>
    <row r="507" spans="1:2" s="25" customFormat="1" ht="15.75" thickBot="1" x14ac:dyDescent="0.3">
      <c r="A507" s="35"/>
      <c r="B507" s="15"/>
    </row>
    <row r="508" spans="1:2" s="25" customFormat="1" x14ac:dyDescent="0.25">
      <c r="A508" s="34" t="s">
        <v>496</v>
      </c>
      <c r="B508" s="19" t="s">
        <v>497</v>
      </c>
    </row>
    <row r="509" spans="1:2" s="25" customFormat="1" x14ac:dyDescent="0.25">
      <c r="A509" s="37"/>
      <c r="B509" s="21"/>
    </row>
    <row r="510" spans="1:2" s="25" customFormat="1" x14ac:dyDescent="0.25">
      <c r="A510" s="37"/>
      <c r="B510" s="21"/>
    </row>
    <row r="511" spans="1:2" s="25" customFormat="1" x14ac:dyDescent="0.25">
      <c r="A511" s="37"/>
      <c r="B511" s="21"/>
    </row>
    <row r="512" spans="1:2" s="25" customFormat="1" x14ac:dyDescent="0.25">
      <c r="A512" s="37"/>
      <c r="B512" s="21"/>
    </row>
    <row r="513" spans="1:2" s="25" customFormat="1" x14ac:dyDescent="0.25">
      <c r="A513" s="37"/>
      <c r="B513" s="21"/>
    </row>
    <row r="514" spans="1:2" s="25" customFormat="1" x14ac:dyDescent="0.25">
      <c r="A514" s="37"/>
      <c r="B514" s="21"/>
    </row>
    <row r="515" spans="1:2" s="25" customFormat="1" ht="15.75" thickBot="1" x14ac:dyDescent="0.3">
      <c r="A515" s="35"/>
      <c r="B515" s="22"/>
    </row>
    <row r="516" spans="1:2" s="25" customFormat="1" ht="16.5" thickBot="1" x14ac:dyDescent="0.3">
      <c r="A516" s="30" t="s">
        <v>498</v>
      </c>
      <c r="B516" s="10"/>
    </row>
    <row r="517" spans="1:2" s="25" customFormat="1" x14ac:dyDescent="0.25">
      <c r="A517" s="27" t="s">
        <v>499</v>
      </c>
      <c r="B517" s="7" t="s">
        <v>500</v>
      </c>
    </row>
    <row r="518" spans="1:2" s="25" customFormat="1" ht="25.5" x14ac:dyDescent="0.25">
      <c r="A518" s="32"/>
      <c r="B518" s="11" t="s">
        <v>501</v>
      </c>
    </row>
    <row r="519" spans="1:2" s="25" customFormat="1" x14ac:dyDescent="0.25">
      <c r="A519" s="32"/>
      <c r="B519" s="11"/>
    </row>
    <row r="520" spans="1:2" s="25" customFormat="1" x14ac:dyDescent="0.25">
      <c r="A520" s="32"/>
      <c r="B520" s="11"/>
    </row>
    <row r="521" spans="1:2" s="25" customFormat="1" x14ac:dyDescent="0.25">
      <c r="A521" s="32"/>
      <c r="B521" s="11"/>
    </row>
    <row r="522" spans="1:2" s="25" customFormat="1" x14ac:dyDescent="0.25">
      <c r="A522" s="32"/>
      <c r="B522" s="11"/>
    </row>
    <row r="523" spans="1:2" s="25" customFormat="1" x14ac:dyDescent="0.25">
      <c r="A523" s="32"/>
      <c r="B523" s="11"/>
    </row>
    <row r="524" spans="1:2" s="25" customFormat="1" x14ac:dyDescent="0.25">
      <c r="A524" s="32"/>
      <c r="B524" s="11"/>
    </row>
    <row r="525" spans="1:2" s="25" customFormat="1" x14ac:dyDescent="0.25">
      <c r="A525" s="32"/>
      <c r="B525" s="11"/>
    </row>
    <row r="526" spans="1:2" s="25" customFormat="1" x14ac:dyDescent="0.25">
      <c r="A526" s="32"/>
      <c r="B526" s="11"/>
    </row>
    <row r="527" spans="1:2" s="25" customFormat="1" x14ac:dyDescent="0.25">
      <c r="A527" s="32"/>
      <c r="B527" s="11"/>
    </row>
    <row r="528" spans="1:2" s="25" customFormat="1" x14ac:dyDescent="0.25">
      <c r="A528" s="32"/>
      <c r="B528" s="11"/>
    </row>
    <row r="529" spans="1:2" s="25" customFormat="1" x14ac:dyDescent="0.25">
      <c r="A529" s="32"/>
      <c r="B529" s="11"/>
    </row>
    <row r="530" spans="1:2" s="25" customFormat="1" x14ac:dyDescent="0.25">
      <c r="A530" s="32"/>
      <c r="B530" s="11"/>
    </row>
    <row r="531" spans="1:2" s="25" customFormat="1" x14ac:dyDescent="0.25">
      <c r="A531" s="32"/>
      <c r="B531" s="11"/>
    </row>
    <row r="532" spans="1:2" s="25" customFormat="1" ht="15.75" thickBot="1" x14ac:dyDescent="0.3">
      <c r="A532" s="28"/>
      <c r="B532" s="8"/>
    </row>
    <row r="533" spans="1:2" s="25" customFormat="1" x14ac:dyDescent="0.25">
      <c r="A533" s="27" t="s">
        <v>502</v>
      </c>
      <c r="B533" s="7" t="s">
        <v>503</v>
      </c>
    </row>
    <row r="534" spans="1:2" s="25" customFormat="1" ht="25.5" x14ac:dyDescent="0.25">
      <c r="A534" s="32"/>
      <c r="B534" s="11" t="s">
        <v>504</v>
      </c>
    </row>
    <row r="535" spans="1:2" s="25" customFormat="1" x14ac:dyDescent="0.25">
      <c r="A535" s="32"/>
      <c r="B535" s="11"/>
    </row>
    <row r="536" spans="1:2" s="25" customFormat="1" x14ac:dyDescent="0.25">
      <c r="A536" s="32"/>
      <c r="B536" s="11"/>
    </row>
    <row r="537" spans="1:2" s="25" customFormat="1" x14ac:dyDescent="0.25">
      <c r="A537" s="32"/>
      <c r="B537" s="11"/>
    </row>
    <row r="538" spans="1:2" s="25" customFormat="1" x14ac:dyDescent="0.25">
      <c r="A538" s="32"/>
      <c r="B538" s="11"/>
    </row>
    <row r="539" spans="1:2" s="25" customFormat="1" x14ac:dyDescent="0.25">
      <c r="A539" s="32"/>
      <c r="B539" s="11"/>
    </row>
    <row r="540" spans="1:2" s="25" customFormat="1" x14ac:dyDescent="0.25">
      <c r="A540" s="32"/>
      <c r="B540" s="11"/>
    </row>
    <row r="541" spans="1:2" s="25" customFormat="1" x14ac:dyDescent="0.25">
      <c r="A541" s="32"/>
      <c r="B541" s="11"/>
    </row>
    <row r="542" spans="1:2" s="25" customFormat="1" ht="15.75" thickBot="1" x14ac:dyDescent="0.3">
      <c r="A542" s="28"/>
      <c r="B542" s="8"/>
    </row>
    <row r="543" spans="1:2" s="25" customFormat="1" x14ac:dyDescent="0.25">
      <c r="A543" s="27" t="s">
        <v>505</v>
      </c>
      <c r="B543" s="7" t="s">
        <v>506</v>
      </c>
    </row>
    <row r="544" spans="1:2" s="25" customFormat="1" ht="76.5" x14ac:dyDescent="0.25">
      <c r="A544" s="32"/>
      <c r="B544" s="11" t="s">
        <v>507</v>
      </c>
    </row>
    <row r="545" spans="1:2" s="25" customFormat="1" x14ac:dyDescent="0.25">
      <c r="A545" s="32"/>
      <c r="B545" s="11"/>
    </row>
    <row r="546" spans="1:2" s="25" customFormat="1" x14ac:dyDescent="0.25">
      <c r="A546" s="32"/>
      <c r="B546" s="11" t="s">
        <v>508</v>
      </c>
    </row>
    <row r="547" spans="1:2" s="25" customFormat="1" x14ac:dyDescent="0.25">
      <c r="A547" s="32"/>
      <c r="B547" s="11"/>
    </row>
    <row r="548" spans="1:2" s="25" customFormat="1" x14ac:dyDescent="0.25">
      <c r="A548" s="32"/>
      <c r="B548" s="11"/>
    </row>
    <row r="549" spans="1:2" s="25" customFormat="1" x14ac:dyDescent="0.25">
      <c r="A549" s="32"/>
      <c r="B549" s="11"/>
    </row>
    <row r="550" spans="1:2" s="25" customFormat="1" x14ac:dyDescent="0.25">
      <c r="A550" s="32"/>
      <c r="B550" s="11"/>
    </row>
    <row r="551" spans="1:2" s="25" customFormat="1" x14ac:dyDescent="0.25">
      <c r="A551" s="32"/>
      <c r="B551" s="11"/>
    </row>
    <row r="552" spans="1:2" s="25" customFormat="1" x14ac:dyDescent="0.25">
      <c r="A552" s="32"/>
      <c r="B552" s="11"/>
    </row>
    <row r="553" spans="1:2" s="25" customFormat="1" x14ac:dyDescent="0.25">
      <c r="A553" s="32"/>
      <c r="B553" s="11"/>
    </row>
    <row r="554" spans="1:2" s="25" customFormat="1" x14ac:dyDescent="0.25">
      <c r="A554" s="32"/>
      <c r="B554" s="11"/>
    </row>
    <row r="555" spans="1:2" s="25" customFormat="1" x14ac:dyDescent="0.25">
      <c r="A555" s="32"/>
      <c r="B555" s="11"/>
    </row>
    <row r="556" spans="1:2" s="25" customFormat="1" x14ac:dyDescent="0.25">
      <c r="A556" s="32"/>
      <c r="B556" s="11"/>
    </row>
    <row r="557" spans="1:2" s="25" customFormat="1" x14ac:dyDescent="0.25">
      <c r="A557" s="32"/>
      <c r="B557" s="11"/>
    </row>
    <row r="558" spans="1:2" s="25" customFormat="1" x14ac:dyDescent="0.25">
      <c r="A558" s="32"/>
      <c r="B558" s="11"/>
    </row>
    <row r="559" spans="1:2" s="25" customFormat="1" x14ac:dyDescent="0.25">
      <c r="A559" s="32"/>
      <c r="B559" s="11"/>
    </row>
    <row r="560" spans="1:2" s="25" customFormat="1" x14ac:dyDescent="0.25">
      <c r="A560" s="32"/>
      <c r="B560" s="11"/>
    </row>
    <row r="561" spans="1:2" s="25" customFormat="1" x14ac:dyDescent="0.25">
      <c r="A561" s="32"/>
      <c r="B561" s="11"/>
    </row>
    <row r="562" spans="1:2" s="25" customFormat="1" ht="15.75" thickBot="1" x14ac:dyDescent="0.3">
      <c r="A562" s="28"/>
      <c r="B562" s="8"/>
    </row>
    <row r="563" spans="1:2" s="25" customFormat="1" x14ac:dyDescent="0.25">
      <c r="A563" s="27" t="s">
        <v>509</v>
      </c>
      <c r="B563" s="7" t="s">
        <v>510</v>
      </c>
    </row>
    <row r="564" spans="1:2" s="25" customFormat="1" ht="63.75" x14ac:dyDescent="0.25">
      <c r="A564" s="32"/>
      <c r="B564" s="11" t="s">
        <v>511</v>
      </c>
    </row>
    <row r="565" spans="1:2" s="25" customFormat="1" x14ac:dyDescent="0.25">
      <c r="A565" s="32"/>
      <c r="B565" s="42"/>
    </row>
    <row r="566" spans="1:2" s="25" customFormat="1" ht="25.5" x14ac:dyDescent="0.25">
      <c r="A566" s="32"/>
      <c r="B566" s="11" t="s">
        <v>512</v>
      </c>
    </row>
    <row r="567" spans="1:2" s="25" customFormat="1" x14ac:dyDescent="0.25">
      <c r="A567" s="32"/>
      <c r="B567" s="42"/>
    </row>
    <row r="568" spans="1:2" s="25" customFormat="1" ht="38.25" x14ac:dyDescent="0.25">
      <c r="A568" s="32"/>
      <c r="B568" s="11" t="s">
        <v>513</v>
      </c>
    </row>
    <row r="569" spans="1:2" s="25" customFormat="1" x14ac:dyDescent="0.25">
      <c r="A569" s="32"/>
      <c r="B569" s="11"/>
    </row>
    <row r="570" spans="1:2" s="25" customFormat="1" ht="15.75" thickBot="1" x14ac:dyDescent="0.3">
      <c r="A570" s="28"/>
      <c r="B570" s="8" t="s">
        <v>514</v>
      </c>
    </row>
    <row r="571" spans="1:2" s="25" customFormat="1" x14ac:dyDescent="0.25">
      <c r="A571" s="34" t="s">
        <v>515</v>
      </c>
      <c r="B571" s="19" t="s">
        <v>516</v>
      </c>
    </row>
    <row r="572" spans="1:2" s="25" customFormat="1" ht="15.75" thickBot="1" x14ac:dyDescent="0.3">
      <c r="A572" s="35"/>
      <c r="B572" s="15" t="s">
        <v>517</v>
      </c>
    </row>
    <row r="573" spans="1:2" s="25" customFormat="1" x14ac:dyDescent="0.25">
      <c r="A573" s="34" t="s">
        <v>518</v>
      </c>
      <c r="B573" s="19" t="s">
        <v>519</v>
      </c>
    </row>
    <row r="574" spans="1:2" s="25" customFormat="1" ht="26.25" thickBot="1" x14ac:dyDescent="0.3">
      <c r="A574" s="35"/>
      <c r="B574" s="15" t="s">
        <v>520</v>
      </c>
    </row>
    <row r="575" spans="1:2" s="25" customFormat="1" x14ac:dyDescent="0.25">
      <c r="A575" s="34" t="s">
        <v>521</v>
      </c>
      <c r="B575" s="19" t="s">
        <v>522</v>
      </c>
    </row>
    <row r="576" spans="1:2" s="25" customFormat="1" ht="51" x14ac:dyDescent="0.25">
      <c r="A576" s="37"/>
      <c r="B576" s="20" t="s">
        <v>523</v>
      </c>
    </row>
    <row r="577" spans="1:2" s="25" customFormat="1" x14ac:dyDescent="0.25">
      <c r="A577" s="37"/>
      <c r="B577" s="20"/>
    </row>
    <row r="578" spans="1:2" s="25" customFormat="1" ht="15.75" thickBot="1" x14ac:dyDescent="0.3">
      <c r="A578" s="35"/>
      <c r="B578" s="15" t="s">
        <v>524</v>
      </c>
    </row>
    <row r="579" spans="1:2" s="25" customFormat="1" ht="16.5" thickBot="1" x14ac:dyDescent="0.3">
      <c r="A579" s="30" t="s">
        <v>525</v>
      </c>
      <c r="B579" s="10"/>
    </row>
    <row r="580" spans="1:2" s="25" customFormat="1" x14ac:dyDescent="0.25">
      <c r="A580" s="27" t="s">
        <v>526</v>
      </c>
      <c r="B580" s="7" t="s">
        <v>527</v>
      </c>
    </row>
    <row r="581" spans="1:2" s="25" customFormat="1" ht="25.5" x14ac:dyDescent="0.25">
      <c r="A581" s="32"/>
      <c r="B581" s="11" t="s">
        <v>528</v>
      </c>
    </row>
    <row r="582" spans="1:2" s="25" customFormat="1" x14ac:dyDescent="0.25">
      <c r="A582" s="32"/>
      <c r="B582" s="42"/>
    </row>
    <row r="583" spans="1:2" s="25" customFormat="1" ht="38.25" x14ac:dyDescent="0.25">
      <c r="A583" s="32"/>
      <c r="B583" s="11" t="s">
        <v>529</v>
      </c>
    </row>
    <row r="584" spans="1:2" s="25" customFormat="1" x14ac:dyDescent="0.25">
      <c r="A584" s="32"/>
      <c r="B584" s="42"/>
    </row>
    <row r="585" spans="1:2" s="25" customFormat="1" ht="51" x14ac:dyDescent="0.25">
      <c r="A585" s="32"/>
      <c r="B585" s="11" t="s">
        <v>530</v>
      </c>
    </row>
    <row r="586" spans="1:2" s="25" customFormat="1" x14ac:dyDescent="0.25">
      <c r="A586" s="32"/>
      <c r="B586" s="42"/>
    </row>
    <row r="587" spans="1:2" s="25" customFormat="1" ht="25.5" x14ac:dyDescent="0.25">
      <c r="A587" s="32"/>
      <c r="B587" s="11" t="s">
        <v>531</v>
      </c>
    </row>
    <row r="588" spans="1:2" s="25" customFormat="1" x14ac:dyDescent="0.25">
      <c r="A588" s="32"/>
      <c r="B588" s="42"/>
    </row>
    <row r="589" spans="1:2" s="25" customFormat="1" ht="38.25" x14ac:dyDescent="0.25">
      <c r="A589" s="32"/>
      <c r="B589" s="11" t="s">
        <v>532</v>
      </c>
    </row>
    <row r="590" spans="1:2" s="25" customFormat="1" x14ac:dyDescent="0.25">
      <c r="A590" s="32"/>
      <c r="B590" s="42"/>
    </row>
    <row r="591" spans="1:2" s="25" customFormat="1" ht="63.75" x14ac:dyDescent="0.25">
      <c r="A591" s="32"/>
      <c r="B591" s="11" t="s">
        <v>533</v>
      </c>
    </row>
    <row r="592" spans="1:2" s="25" customFormat="1" x14ac:dyDescent="0.25">
      <c r="A592" s="32"/>
      <c r="B592" s="11"/>
    </row>
    <row r="593" spans="1:2" s="25" customFormat="1" ht="77.25" thickBot="1" x14ac:dyDescent="0.3">
      <c r="A593" s="28"/>
      <c r="B593" s="8" t="s">
        <v>534</v>
      </c>
    </row>
    <row r="594" spans="1:2" s="25" customFormat="1" ht="16.5" thickBot="1" x14ac:dyDescent="0.3">
      <c r="A594" s="30" t="s">
        <v>535</v>
      </c>
      <c r="B594" s="10"/>
    </row>
    <row r="595" spans="1:2" s="25" customFormat="1" x14ac:dyDescent="0.25">
      <c r="A595" s="27" t="s">
        <v>536</v>
      </c>
      <c r="B595" s="7" t="s">
        <v>537</v>
      </c>
    </row>
    <row r="596" spans="1:2" s="25" customFormat="1" ht="38.25" x14ac:dyDescent="0.25">
      <c r="A596" s="32"/>
      <c r="B596" s="11" t="s">
        <v>538</v>
      </c>
    </row>
    <row r="597" spans="1:2" s="25" customFormat="1" x14ac:dyDescent="0.25">
      <c r="A597" s="32"/>
      <c r="B597" s="11"/>
    </row>
    <row r="598" spans="1:2" s="25" customFormat="1" ht="15.75" thickBot="1" x14ac:dyDescent="0.3">
      <c r="A598" s="28"/>
      <c r="B598" s="8"/>
    </row>
    <row r="599" spans="1:2" s="25" customFormat="1" x14ac:dyDescent="0.25">
      <c r="A599" s="27" t="s">
        <v>539</v>
      </c>
      <c r="B599" s="7" t="s">
        <v>540</v>
      </c>
    </row>
    <row r="600" spans="1:2" s="25" customFormat="1" ht="38.25" x14ac:dyDescent="0.25">
      <c r="A600" s="32"/>
      <c r="B600" s="11" t="s">
        <v>541</v>
      </c>
    </row>
    <row r="601" spans="1:2" s="25" customFormat="1" x14ac:dyDescent="0.25">
      <c r="A601" s="32"/>
      <c r="B601" s="11"/>
    </row>
    <row r="602" spans="1:2" s="25" customFormat="1" x14ac:dyDescent="0.25">
      <c r="A602" s="32"/>
      <c r="B602" s="11"/>
    </row>
    <row r="603" spans="1:2" s="25" customFormat="1" x14ac:dyDescent="0.25">
      <c r="A603" s="32"/>
      <c r="B603" s="11"/>
    </row>
    <row r="604" spans="1:2" s="25" customFormat="1" ht="15.75" thickBot="1" x14ac:dyDescent="0.3">
      <c r="A604" s="28"/>
      <c r="B604" s="8"/>
    </row>
    <row r="605" spans="1:2" s="25" customFormat="1" ht="16.5" thickBot="1" x14ac:dyDescent="0.3">
      <c r="A605" s="30" t="s">
        <v>542</v>
      </c>
      <c r="B605" s="10"/>
    </row>
    <row r="606" spans="1:2" s="25" customFormat="1" x14ac:dyDescent="0.25">
      <c r="A606" s="27" t="s">
        <v>543</v>
      </c>
      <c r="B606" s="7" t="s">
        <v>544</v>
      </c>
    </row>
    <row r="607" spans="1:2" s="25" customFormat="1" ht="127.5" x14ac:dyDescent="0.25">
      <c r="A607" s="32"/>
      <c r="B607" s="11" t="s">
        <v>545</v>
      </c>
    </row>
    <row r="608" spans="1:2" s="25" customFormat="1" x14ac:dyDescent="0.25">
      <c r="A608" s="32"/>
      <c r="B608" s="11"/>
    </row>
    <row r="609" spans="1:2" s="25" customFormat="1" x14ac:dyDescent="0.25">
      <c r="A609" s="32"/>
      <c r="B609" s="11"/>
    </row>
    <row r="610" spans="1:2" s="25" customFormat="1" x14ac:dyDescent="0.25">
      <c r="A610" s="32"/>
      <c r="B610" s="11"/>
    </row>
    <row r="611" spans="1:2" s="25" customFormat="1" x14ac:dyDescent="0.25">
      <c r="A611" s="32"/>
      <c r="B611" s="11"/>
    </row>
    <row r="612" spans="1:2" s="25" customFormat="1" x14ac:dyDescent="0.25">
      <c r="A612" s="32"/>
      <c r="B612" s="11"/>
    </row>
    <row r="613" spans="1:2" s="25" customFormat="1" x14ac:dyDescent="0.25">
      <c r="A613" s="32"/>
      <c r="B613" s="11"/>
    </row>
    <row r="614" spans="1:2" s="25" customFormat="1" x14ac:dyDescent="0.25">
      <c r="A614" s="32"/>
      <c r="B614" s="11"/>
    </row>
    <row r="615" spans="1:2" s="25" customFormat="1" ht="15.75" thickBot="1" x14ac:dyDescent="0.3">
      <c r="A615" s="28"/>
      <c r="B615" s="8"/>
    </row>
    <row r="616" spans="1:2" s="25" customFormat="1" ht="16.5" thickBot="1" x14ac:dyDescent="0.3">
      <c r="A616" s="30" t="s">
        <v>546</v>
      </c>
      <c r="B616" s="10"/>
    </row>
    <row r="617" spans="1:2" s="25" customFormat="1" x14ac:dyDescent="0.25">
      <c r="A617" s="27" t="s">
        <v>547</v>
      </c>
      <c r="B617" s="7" t="s">
        <v>548</v>
      </c>
    </row>
    <row r="618" spans="1:2" s="25" customFormat="1" ht="25.5" x14ac:dyDescent="0.25">
      <c r="A618" s="32"/>
      <c r="B618" s="11" t="s">
        <v>549</v>
      </c>
    </row>
    <row r="619" spans="1:2" s="25" customFormat="1" x14ac:dyDescent="0.25">
      <c r="A619" s="32"/>
      <c r="B619" s="11"/>
    </row>
    <row r="620" spans="1:2" s="25" customFormat="1" x14ac:dyDescent="0.25">
      <c r="A620" s="32"/>
      <c r="B620" s="11"/>
    </row>
    <row r="621" spans="1:2" s="25" customFormat="1" x14ac:dyDescent="0.25">
      <c r="A621" s="32"/>
      <c r="B621" s="11"/>
    </row>
    <row r="622" spans="1:2" s="25" customFormat="1" x14ac:dyDescent="0.25">
      <c r="A622" s="32"/>
      <c r="B622" s="11"/>
    </row>
    <row r="623" spans="1:2" s="25" customFormat="1" x14ac:dyDescent="0.25">
      <c r="A623" s="32"/>
      <c r="B623" s="11"/>
    </row>
    <row r="624" spans="1:2" s="25" customFormat="1" x14ac:dyDescent="0.25">
      <c r="A624" s="32"/>
      <c r="B624" s="11"/>
    </row>
    <row r="625" spans="1:2" s="25" customFormat="1" x14ac:dyDescent="0.25">
      <c r="A625" s="32"/>
      <c r="B625" s="11"/>
    </row>
    <row r="626" spans="1:2" s="25" customFormat="1" x14ac:dyDescent="0.25">
      <c r="A626" s="32"/>
      <c r="B626" s="11"/>
    </row>
    <row r="627" spans="1:2" s="25" customFormat="1" x14ac:dyDescent="0.25">
      <c r="A627" s="32"/>
      <c r="B627" s="11"/>
    </row>
    <row r="628" spans="1:2" s="25" customFormat="1" ht="15.75" thickBot="1" x14ac:dyDescent="0.3">
      <c r="A628" s="28"/>
      <c r="B628" s="8"/>
    </row>
    <row r="629" spans="1:2" s="25" customFormat="1" ht="16.5" thickBot="1" x14ac:dyDescent="0.3">
      <c r="A629" s="30" t="s">
        <v>550</v>
      </c>
      <c r="B629" s="10"/>
    </row>
    <row r="630" spans="1:2" s="25" customFormat="1" x14ac:dyDescent="0.25">
      <c r="A630" s="27" t="s">
        <v>551</v>
      </c>
      <c r="B630" s="7" t="s">
        <v>552</v>
      </c>
    </row>
    <row r="631" spans="1:2" s="25" customFormat="1" ht="51" x14ac:dyDescent="0.25">
      <c r="A631" s="32"/>
      <c r="B631" s="11" t="s">
        <v>553</v>
      </c>
    </row>
    <row r="632" spans="1:2" s="25" customFormat="1" x14ac:dyDescent="0.25">
      <c r="A632" s="32"/>
      <c r="B632" s="11"/>
    </row>
    <row r="633" spans="1:2" s="25" customFormat="1" x14ac:dyDescent="0.25">
      <c r="A633" s="32"/>
      <c r="B633" s="11"/>
    </row>
    <row r="634" spans="1:2" s="25" customFormat="1" x14ac:dyDescent="0.25">
      <c r="A634" s="32"/>
      <c r="B634" s="11"/>
    </row>
    <row r="635" spans="1:2" s="25" customFormat="1" x14ac:dyDescent="0.25">
      <c r="A635" s="32"/>
      <c r="B635" s="11"/>
    </row>
    <row r="636" spans="1:2" s="25" customFormat="1" x14ac:dyDescent="0.25">
      <c r="A636" s="32"/>
      <c r="B636" s="11"/>
    </row>
    <row r="637" spans="1:2" s="25" customFormat="1" x14ac:dyDescent="0.25">
      <c r="A637" s="32"/>
      <c r="B637" s="11"/>
    </row>
    <row r="638" spans="1:2" s="25" customFormat="1" x14ac:dyDescent="0.25">
      <c r="A638" s="32"/>
      <c r="B638" s="11"/>
    </row>
    <row r="639" spans="1:2" s="25" customFormat="1" x14ac:dyDescent="0.25">
      <c r="A639" s="32"/>
      <c r="B639" s="11"/>
    </row>
    <row r="640" spans="1:2" s="25" customFormat="1" x14ac:dyDescent="0.25">
      <c r="A640" s="32"/>
      <c r="B640" s="11"/>
    </row>
    <row r="641" spans="1:2" s="25" customFormat="1" x14ac:dyDescent="0.25">
      <c r="A641" s="32"/>
      <c r="B641" s="11"/>
    </row>
    <row r="642" spans="1:2" s="25" customFormat="1" x14ac:dyDescent="0.25">
      <c r="A642" s="32"/>
      <c r="B642" s="11"/>
    </row>
    <row r="643" spans="1:2" s="25" customFormat="1" x14ac:dyDescent="0.25">
      <c r="A643" s="32"/>
      <c r="B643" s="11"/>
    </row>
    <row r="644" spans="1:2" s="25" customFormat="1" x14ac:dyDescent="0.25">
      <c r="A644" s="32"/>
      <c r="B644" s="11"/>
    </row>
    <row r="645" spans="1:2" s="25" customFormat="1" x14ac:dyDescent="0.25">
      <c r="A645" s="32"/>
      <c r="B645" s="11"/>
    </row>
    <row r="646" spans="1:2" s="25" customFormat="1" x14ac:dyDescent="0.25">
      <c r="A646" s="32"/>
      <c r="B646" s="11"/>
    </row>
    <row r="647" spans="1:2" s="25" customFormat="1" x14ac:dyDescent="0.25">
      <c r="A647" s="32"/>
      <c r="B647" s="11"/>
    </row>
    <row r="648" spans="1:2" s="25" customFormat="1" x14ac:dyDescent="0.25">
      <c r="A648" s="32"/>
      <c r="B648" s="11"/>
    </row>
    <row r="649" spans="1:2" s="25" customFormat="1" x14ac:dyDescent="0.25">
      <c r="A649" s="32"/>
      <c r="B649" s="11"/>
    </row>
    <row r="650" spans="1:2" s="25" customFormat="1" x14ac:dyDescent="0.25">
      <c r="A650" s="32"/>
      <c r="B650" s="11"/>
    </row>
    <row r="651" spans="1:2" s="25" customFormat="1" x14ac:dyDescent="0.25">
      <c r="A651" s="32"/>
      <c r="B651" s="11"/>
    </row>
    <row r="652" spans="1:2" s="25" customFormat="1" x14ac:dyDescent="0.25">
      <c r="A652" s="32"/>
      <c r="B652" s="11"/>
    </row>
    <row r="653" spans="1:2" s="25" customFormat="1" ht="15.75" thickBot="1" x14ac:dyDescent="0.3">
      <c r="A653" s="28"/>
      <c r="B653" s="8"/>
    </row>
    <row r="654" spans="1:2" s="25" customFormat="1" ht="16.5" thickBot="1" x14ac:dyDescent="0.3">
      <c r="A654" s="30" t="s">
        <v>554</v>
      </c>
      <c r="B654" s="10"/>
    </row>
    <row r="655" spans="1:2" s="25" customFormat="1" ht="17.25" thickBot="1" x14ac:dyDescent="0.3">
      <c r="A655" s="31" t="s">
        <v>555</v>
      </c>
      <c r="B655" s="41"/>
    </row>
    <row r="656" spans="1:2" s="25" customFormat="1" ht="15.75" thickBot="1" x14ac:dyDescent="0.3">
      <c r="A656" s="29" t="s">
        <v>556</v>
      </c>
      <c r="B656" s="9"/>
    </row>
    <row r="657" spans="1:2" s="25" customFormat="1" x14ac:dyDescent="0.25">
      <c r="A657" s="27" t="s">
        <v>557</v>
      </c>
      <c r="B657" s="6"/>
    </row>
    <row r="658" spans="1:2" s="25" customFormat="1" x14ac:dyDescent="0.25">
      <c r="A658" s="32"/>
      <c r="B658" s="11"/>
    </row>
    <row r="659" spans="1:2" s="25" customFormat="1" x14ac:dyDescent="0.25">
      <c r="A659" s="32"/>
      <c r="B659" s="11"/>
    </row>
    <row r="660" spans="1:2" s="25" customFormat="1" x14ac:dyDescent="0.25">
      <c r="A660" s="32"/>
      <c r="B660" s="11"/>
    </row>
    <row r="661" spans="1:2" s="25" customFormat="1" x14ac:dyDescent="0.25">
      <c r="A661" s="32"/>
      <c r="B661" s="11"/>
    </row>
    <row r="662" spans="1:2" s="25" customFormat="1" ht="15.75" thickBot="1" x14ac:dyDescent="0.3">
      <c r="A662" s="28"/>
      <c r="B662" s="8"/>
    </row>
    <row r="663" spans="1:2" s="25" customFormat="1" ht="15.75" thickBot="1" x14ac:dyDescent="0.3">
      <c r="A663" s="29" t="s">
        <v>558</v>
      </c>
      <c r="B663" s="9"/>
    </row>
    <row r="664" spans="1:2" s="25" customFormat="1" x14ac:dyDescent="0.25">
      <c r="A664" s="27" t="s">
        <v>559</v>
      </c>
      <c r="B664" s="6"/>
    </row>
    <row r="665" spans="1:2" s="25" customFormat="1" x14ac:dyDescent="0.25">
      <c r="A665" s="32"/>
      <c r="B665" s="11"/>
    </row>
    <row r="666" spans="1:2" s="25" customFormat="1" x14ac:dyDescent="0.25">
      <c r="A666" s="32"/>
      <c r="B666" s="11"/>
    </row>
    <row r="667" spans="1:2" s="25" customFormat="1" ht="15.75" thickBot="1" x14ac:dyDescent="0.3">
      <c r="A667" s="28"/>
      <c r="B667" s="8"/>
    </row>
    <row r="668" spans="1:2" s="25" customFormat="1" x14ac:dyDescent="0.25">
      <c r="A668" s="27" t="s">
        <v>560</v>
      </c>
      <c r="B668" s="6"/>
    </row>
    <row r="669" spans="1:2" s="25" customFormat="1" ht="15.75" thickBot="1" x14ac:dyDescent="0.3">
      <c r="A669" s="28"/>
      <c r="B669" s="8"/>
    </row>
    <row r="670" spans="1:2" s="25" customFormat="1" x14ac:dyDescent="0.25">
      <c r="A670" s="27" t="s">
        <v>561</v>
      </c>
      <c r="B670" s="6"/>
    </row>
    <row r="671" spans="1:2" s="25" customFormat="1" x14ac:dyDescent="0.25">
      <c r="A671" s="32"/>
      <c r="B671" s="11"/>
    </row>
    <row r="672" spans="1:2" s="25" customFormat="1" x14ac:dyDescent="0.25">
      <c r="A672" s="32"/>
      <c r="B672" s="11"/>
    </row>
    <row r="673" spans="1:2" s="25" customFormat="1" ht="15.75" thickBot="1" x14ac:dyDescent="0.3">
      <c r="A673" s="28"/>
      <c r="B673" s="8"/>
    </row>
    <row r="674" spans="1:2" s="25" customFormat="1" ht="16.5" thickBot="1" x14ac:dyDescent="0.3">
      <c r="A674" s="30" t="s">
        <v>562</v>
      </c>
      <c r="B674" s="10"/>
    </row>
    <row r="675" spans="1:2" s="25" customFormat="1" x14ac:dyDescent="0.25">
      <c r="A675" s="27" t="s">
        <v>563</v>
      </c>
      <c r="B675" s="7" t="s">
        <v>564</v>
      </c>
    </row>
    <row r="676" spans="1:2" s="25" customFormat="1" ht="15.75" thickBot="1" x14ac:dyDescent="0.3">
      <c r="A676" s="28"/>
      <c r="B676" s="8" t="s">
        <v>565</v>
      </c>
    </row>
    <row r="677" spans="1:2" s="25" customFormat="1" x14ac:dyDescent="0.25">
      <c r="A677" s="27" t="s">
        <v>566</v>
      </c>
      <c r="B677" s="7" t="s">
        <v>567</v>
      </c>
    </row>
    <row r="678" spans="1:2" s="25" customFormat="1" ht="15.75" thickBot="1" x14ac:dyDescent="0.3">
      <c r="A678" s="28"/>
      <c r="B678" s="8" t="s">
        <v>568</v>
      </c>
    </row>
    <row r="679" spans="1:2" s="25" customFormat="1" ht="15.75" thickBot="1" x14ac:dyDescent="0.3">
      <c r="A679" s="33" t="s">
        <v>569</v>
      </c>
      <c r="B679" s="12"/>
    </row>
    <row r="680" spans="1:2" s="25" customFormat="1" ht="17.25" thickBot="1" x14ac:dyDescent="0.3">
      <c r="A680" s="31" t="s">
        <v>570</v>
      </c>
      <c r="B680" s="41"/>
    </row>
    <row r="681" spans="1:2" s="25" customFormat="1" ht="16.5" thickBot="1" x14ac:dyDescent="0.3">
      <c r="A681" s="30" t="s">
        <v>571</v>
      </c>
      <c r="B681" s="10"/>
    </row>
    <row r="682" spans="1:2" s="25" customFormat="1" ht="17.25" thickBot="1" x14ac:dyDescent="0.3">
      <c r="A682" s="31" t="s">
        <v>572</v>
      </c>
      <c r="B682" s="41"/>
    </row>
    <row r="683" spans="1:2" s="25" customFormat="1" ht="15.75" thickBot="1" x14ac:dyDescent="0.3">
      <c r="A683" s="29" t="s">
        <v>573</v>
      </c>
      <c r="B683" s="13" t="s">
        <v>574</v>
      </c>
    </row>
    <row r="684" spans="1:2" s="25" customFormat="1" ht="15.75" thickBot="1" x14ac:dyDescent="0.3">
      <c r="A684" s="29" t="s">
        <v>575</v>
      </c>
      <c r="B684" s="13" t="s">
        <v>576</v>
      </c>
    </row>
    <row r="685" spans="1:2" s="25" customFormat="1" ht="15.75" thickBot="1" x14ac:dyDescent="0.3">
      <c r="A685" s="29" t="s">
        <v>577</v>
      </c>
      <c r="B685" s="13" t="s">
        <v>578</v>
      </c>
    </row>
    <row r="686" spans="1:2" s="25" customFormat="1" ht="15.75" thickBot="1" x14ac:dyDescent="0.3">
      <c r="A686" s="29" t="s">
        <v>579</v>
      </c>
      <c r="B686" s="13" t="s">
        <v>580</v>
      </c>
    </row>
    <row r="687" spans="1:2" s="25" customFormat="1" x14ac:dyDescent="0.25">
      <c r="A687" s="27" t="s">
        <v>581</v>
      </c>
      <c r="B687" s="7" t="s">
        <v>582</v>
      </c>
    </row>
    <row r="688" spans="1:2" s="25" customFormat="1" x14ac:dyDescent="0.25">
      <c r="A688" s="32"/>
      <c r="B688" s="11" t="s">
        <v>583</v>
      </c>
    </row>
    <row r="689" spans="1:2" s="25" customFormat="1" x14ac:dyDescent="0.25">
      <c r="A689" s="32"/>
      <c r="B689" s="11" t="s">
        <v>584</v>
      </c>
    </row>
    <row r="690" spans="1:2" s="25" customFormat="1" x14ac:dyDescent="0.25">
      <c r="A690" s="32"/>
      <c r="B690" s="11" t="s">
        <v>585</v>
      </c>
    </row>
    <row r="691" spans="1:2" s="25" customFormat="1" x14ac:dyDescent="0.25">
      <c r="A691" s="32"/>
      <c r="B691" s="11" t="s">
        <v>586</v>
      </c>
    </row>
    <row r="692" spans="1:2" s="25" customFormat="1" ht="15.75" thickBot="1" x14ac:dyDescent="0.3">
      <c r="A692" s="28"/>
      <c r="B692" s="8" t="s">
        <v>587</v>
      </c>
    </row>
    <row r="693" spans="1:2" s="25" customFormat="1" x14ac:dyDescent="0.25">
      <c r="A693" s="27" t="s">
        <v>588</v>
      </c>
      <c r="B693" s="7" t="s">
        <v>589</v>
      </c>
    </row>
    <row r="694" spans="1:2" s="25" customFormat="1" x14ac:dyDescent="0.25">
      <c r="A694" s="32"/>
      <c r="B694" s="17"/>
    </row>
    <row r="695" spans="1:2" s="25" customFormat="1" x14ac:dyDescent="0.25">
      <c r="A695" s="32"/>
      <c r="B695" s="17"/>
    </row>
    <row r="696" spans="1:2" s="25" customFormat="1" x14ac:dyDescent="0.25">
      <c r="A696" s="32"/>
      <c r="B696" s="17"/>
    </row>
    <row r="697" spans="1:2" s="25" customFormat="1" x14ac:dyDescent="0.25">
      <c r="A697" s="32"/>
      <c r="B697" s="17"/>
    </row>
    <row r="698" spans="1:2" s="25" customFormat="1" ht="15.75" thickBot="1" x14ac:dyDescent="0.3">
      <c r="A698" s="28"/>
      <c r="B698" s="18"/>
    </row>
    <row r="699" spans="1:2" s="25" customFormat="1" x14ac:dyDescent="0.25">
      <c r="A699" s="27" t="s">
        <v>590</v>
      </c>
      <c r="B699" s="7" t="s">
        <v>591</v>
      </c>
    </row>
    <row r="700" spans="1:2" s="25" customFormat="1" ht="15.75" thickBot="1" x14ac:dyDescent="0.3">
      <c r="A700" s="28"/>
      <c r="B700" s="18"/>
    </row>
    <row r="701" spans="1:2" s="25" customFormat="1" ht="16.5" thickBot="1" x14ac:dyDescent="0.3">
      <c r="A701" s="30" t="s">
        <v>592</v>
      </c>
      <c r="B701" s="10"/>
    </row>
    <row r="702" spans="1:2" s="25" customFormat="1" ht="15.75" thickBot="1" x14ac:dyDescent="0.3">
      <c r="A702" s="29" t="s">
        <v>115</v>
      </c>
      <c r="B702" s="9"/>
    </row>
    <row r="703" spans="1:2" s="25" customFormat="1" ht="15.75" thickBot="1" x14ac:dyDescent="0.3">
      <c r="A703" s="29" t="s">
        <v>593</v>
      </c>
      <c r="B703" s="9"/>
    </row>
    <row r="704" spans="1:2" s="25" customFormat="1" ht="15.75" thickBot="1" x14ac:dyDescent="0.3">
      <c r="A704" s="29" t="s">
        <v>594</v>
      </c>
      <c r="B704" s="13" t="s">
        <v>595</v>
      </c>
    </row>
    <row r="705" spans="1:2" s="25" customFormat="1" ht="15.75" thickBot="1" x14ac:dyDescent="0.3">
      <c r="A705" s="29" t="s">
        <v>596</v>
      </c>
      <c r="B705" s="9"/>
    </row>
    <row r="706" spans="1:2" s="25" customFormat="1" x14ac:dyDescent="0.25">
      <c r="A706" s="27" t="s">
        <v>597</v>
      </c>
      <c r="B706" s="6" t="s">
        <v>583</v>
      </c>
    </row>
    <row r="707" spans="1:2" s="25" customFormat="1" x14ac:dyDescent="0.25">
      <c r="A707" s="32"/>
      <c r="B707" s="11" t="s">
        <v>584</v>
      </c>
    </row>
    <row r="708" spans="1:2" s="25" customFormat="1" x14ac:dyDescent="0.25">
      <c r="A708" s="32"/>
      <c r="B708" s="11" t="s">
        <v>585</v>
      </c>
    </row>
    <row r="709" spans="1:2" s="25" customFormat="1" x14ac:dyDescent="0.25">
      <c r="A709" s="32"/>
      <c r="B709" s="11" t="s">
        <v>586</v>
      </c>
    </row>
    <row r="710" spans="1:2" s="25" customFormat="1" ht="15.75" thickBot="1" x14ac:dyDescent="0.3">
      <c r="A710" s="28"/>
      <c r="B710" s="8" t="s">
        <v>587</v>
      </c>
    </row>
    <row r="711" spans="1:2" s="25" customFormat="1" x14ac:dyDescent="0.25">
      <c r="A711" s="27" t="s">
        <v>598</v>
      </c>
      <c r="B711" s="6"/>
    </row>
    <row r="712" spans="1:2" s="25" customFormat="1" ht="15.75" thickBot="1" x14ac:dyDescent="0.3">
      <c r="A712" s="28"/>
      <c r="B712" s="8"/>
    </row>
    <row r="713" spans="1:2" s="25" customFormat="1" ht="15.75" thickBot="1" x14ac:dyDescent="0.3">
      <c r="A713" s="29" t="s">
        <v>599</v>
      </c>
      <c r="B713" s="9"/>
    </row>
    <row r="714" spans="1:2" s="25" customFormat="1" ht="15.75" thickBot="1" x14ac:dyDescent="0.3">
      <c r="A714" s="29" t="s">
        <v>600</v>
      </c>
      <c r="B714" s="9"/>
    </row>
    <row r="715" spans="1:2" s="25" customFormat="1" x14ac:dyDescent="0.25">
      <c r="A715" s="27" t="s">
        <v>601</v>
      </c>
      <c r="B715" s="6"/>
    </row>
    <row r="716" spans="1:2" s="25" customFormat="1" ht="15.75" thickBot="1" x14ac:dyDescent="0.3">
      <c r="A716" s="28"/>
      <c r="B716" s="8"/>
    </row>
    <row r="717" spans="1:2" s="25" customFormat="1" x14ac:dyDescent="0.25">
      <c r="A717" s="27" t="s">
        <v>602</v>
      </c>
      <c r="B717" s="6"/>
    </row>
    <row r="718" spans="1:2" s="25" customFormat="1" ht="15.75" thickBot="1" x14ac:dyDescent="0.3">
      <c r="A718" s="28"/>
      <c r="B718" s="8"/>
    </row>
    <row r="719" spans="1:2" s="25" customFormat="1" ht="15.75" thickBot="1" x14ac:dyDescent="0.3">
      <c r="A719" s="33" t="s">
        <v>603</v>
      </c>
      <c r="B719" s="12"/>
    </row>
    <row r="720" spans="1:2" s="25" customFormat="1" x14ac:dyDescent="0.25">
      <c r="A720" s="27" t="s">
        <v>604</v>
      </c>
      <c r="B720" s="7" t="s">
        <v>605</v>
      </c>
    </row>
    <row r="721" spans="1:2" s="25" customFormat="1" ht="15.75" thickBot="1" x14ac:dyDescent="0.3">
      <c r="A721" s="28"/>
      <c r="B721" s="8" t="s">
        <v>606</v>
      </c>
    </row>
    <row r="722" spans="1:2" s="25" customFormat="1" x14ac:dyDescent="0.25">
      <c r="A722" s="27" t="s">
        <v>607</v>
      </c>
      <c r="B722" s="7" t="s">
        <v>608</v>
      </c>
    </row>
    <row r="723" spans="1:2" s="25" customFormat="1" ht="15.75" thickBot="1" x14ac:dyDescent="0.3">
      <c r="A723" s="28"/>
      <c r="B723" s="8" t="s">
        <v>609</v>
      </c>
    </row>
    <row r="724" spans="1:2" s="25" customFormat="1" x14ac:dyDescent="0.25">
      <c r="A724" s="27" t="s">
        <v>610</v>
      </c>
      <c r="B724" s="6" t="s">
        <v>611</v>
      </c>
    </row>
    <row r="725" spans="1:2" s="25" customFormat="1" ht="15.75" thickBot="1" x14ac:dyDescent="0.3">
      <c r="A725" s="28"/>
      <c r="B725" s="8"/>
    </row>
    <row r="726" spans="1:2" s="25" customFormat="1" x14ac:dyDescent="0.25">
      <c r="A726" s="27" t="s">
        <v>612</v>
      </c>
      <c r="B726" s="7" t="s">
        <v>613</v>
      </c>
    </row>
    <row r="727" spans="1:2" s="25" customFormat="1" ht="26.25" thickBot="1" x14ac:dyDescent="0.3">
      <c r="A727" s="28"/>
      <c r="B727" s="8" t="s">
        <v>614</v>
      </c>
    </row>
    <row r="728" spans="1:2" s="25" customFormat="1" ht="15.75" thickBot="1" x14ac:dyDescent="0.3">
      <c r="A728" s="33" t="s">
        <v>615</v>
      </c>
      <c r="B728" s="12"/>
    </row>
    <row r="729" spans="1:2" s="25" customFormat="1" x14ac:dyDescent="0.25">
      <c r="A729" s="27" t="s">
        <v>616</v>
      </c>
      <c r="B729" s="6" t="s">
        <v>565</v>
      </c>
    </row>
    <row r="730" spans="1:2" s="25" customFormat="1" x14ac:dyDescent="0.25">
      <c r="A730" s="32"/>
      <c r="B730" s="11"/>
    </row>
    <row r="731" spans="1:2" s="25" customFormat="1" x14ac:dyDescent="0.25">
      <c r="A731" s="32"/>
      <c r="B731" s="11"/>
    </row>
    <row r="732" spans="1:2" s="25" customFormat="1" ht="15.75" thickBot="1" x14ac:dyDescent="0.3">
      <c r="A732" s="28"/>
      <c r="B732" s="8"/>
    </row>
    <row r="733" spans="1:2" s="25" customFormat="1" x14ac:dyDescent="0.25">
      <c r="A733" s="27" t="s">
        <v>617</v>
      </c>
      <c r="B733" s="6" t="s">
        <v>568</v>
      </c>
    </row>
    <row r="734" spans="1:2" s="25" customFormat="1" x14ac:dyDescent="0.25">
      <c r="A734" s="32"/>
      <c r="B734" s="11"/>
    </row>
    <row r="735" spans="1:2" s="25" customFormat="1" x14ac:dyDescent="0.25">
      <c r="A735" s="32"/>
      <c r="B735" s="11"/>
    </row>
    <row r="736" spans="1:2" s="25" customFormat="1" x14ac:dyDescent="0.25">
      <c r="A736" s="32"/>
      <c r="B736" s="11"/>
    </row>
    <row r="737" spans="1:2" s="25" customFormat="1" x14ac:dyDescent="0.25">
      <c r="A737" s="32"/>
      <c r="B737" s="11"/>
    </row>
    <row r="738" spans="1:2" s="25" customFormat="1" x14ac:dyDescent="0.25">
      <c r="A738" s="32"/>
      <c r="B738" s="11"/>
    </row>
    <row r="739" spans="1:2" s="25" customFormat="1" x14ac:dyDescent="0.25">
      <c r="A739" s="32"/>
      <c r="B739" s="11"/>
    </row>
    <row r="740" spans="1:2" s="25" customFormat="1" x14ac:dyDescent="0.25">
      <c r="A740" s="32"/>
      <c r="B740" s="11"/>
    </row>
    <row r="741" spans="1:2" s="25" customFormat="1" x14ac:dyDescent="0.25">
      <c r="A741" s="32"/>
      <c r="B741" s="11"/>
    </row>
    <row r="742" spans="1:2" s="25" customFormat="1" ht="15.75" thickBot="1" x14ac:dyDescent="0.3">
      <c r="A742" s="28"/>
      <c r="B742" s="8"/>
    </row>
    <row r="743" spans="1:2" s="25" customFormat="1" ht="15.75" thickBot="1" x14ac:dyDescent="0.3">
      <c r="A743" s="29" t="s">
        <v>618</v>
      </c>
      <c r="B743" s="13" t="s">
        <v>619</v>
      </c>
    </row>
    <row r="744" spans="1:2" s="25" customFormat="1" x14ac:dyDescent="0.25">
      <c r="A744" s="27" t="s">
        <v>620</v>
      </c>
      <c r="B744" s="6" t="s">
        <v>621</v>
      </c>
    </row>
    <row r="745" spans="1:2" s="25" customFormat="1" x14ac:dyDescent="0.25">
      <c r="A745" s="32"/>
      <c r="B745" s="11"/>
    </row>
    <row r="746" spans="1:2" s="25" customFormat="1" x14ac:dyDescent="0.25">
      <c r="A746" s="32"/>
      <c r="B746" s="11"/>
    </row>
    <row r="747" spans="1:2" s="25" customFormat="1" x14ac:dyDescent="0.25">
      <c r="A747" s="32"/>
      <c r="B747" s="11"/>
    </row>
    <row r="748" spans="1:2" s="25" customFormat="1" x14ac:dyDescent="0.25">
      <c r="A748" s="32"/>
      <c r="B748" s="11"/>
    </row>
    <row r="749" spans="1:2" s="25" customFormat="1" ht="15.75" thickBot="1" x14ac:dyDescent="0.3">
      <c r="A749" s="28"/>
      <c r="B749" s="8"/>
    </row>
    <row r="750" spans="1:2" s="25" customFormat="1" ht="15.75" thickBot="1" x14ac:dyDescent="0.3">
      <c r="A750" s="29" t="s">
        <v>622</v>
      </c>
      <c r="B750" s="9"/>
    </row>
    <row r="751" spans="1:2" s="25" customFormat="1" ht="15.75" thickBot="1" x14ac:dyDescent="0.3">
      <c r="A751" s="29" t="s">
        <v>623</v>
      </c>
      <c r="B751" s="13" t="s">
        <v>624</v>
      </c>
    </row>
    <row r="752" spans="1:2" s="25" customFormat="1" ht="15.75" thickBot="1" x14ac:dyDescent="0.3">
      <c r="A752" s="29" t="s">
        <v>625</v>
      </c>
      <c r="B752" s="9"/>
    </row>
    <row r="753" spans="1:2" s="25" customFormat="1" ht="15.75" thickBot="1" x14ac:dyDescent="0.3">
      <c r="A753" s="29" t="s">
        <v>626</v>
      </c>
      <c r="B753" s="13" t="s">
        <v>627</v>
      </c>
    </row>
    <row r="754" spans="1:2" s="25" customFormat="1" ht="15.75" thickBot="1" x14ac:dyDescent="0.3">
      <c r="A754" s="29" t="s">
        <v>628</v>
      </c>
      <c r="B754" s="13" t="s">
        <v>629</v>
      </c>
    </row>
    <row r="755" spans="1:2" s="25" customFormat="1" ht="15.75" thickBot="1" x14ac:dyDescent="0.3">
      <c r="A755" s="29" t="s">
        <v>630</v>
      </c>
      <c r="B755" s="13" t="s">
        <v>631</v>
      </c>
    </row>
    <row r="756" spans="1:2" s="25" customFormat="1" ht="15.75" thickBot="1" x14ac:dyDescent="0.3">
      <c r="A756" s="29" t="s">
        <v>632</v>
      </c>
      <c r="B756" s="13" t="s">
        <v>633</v>
      </c>
    </row>
    <row r="757" spans="1:2" s="25" customFormat="1" ht="15.75" thickBot="1" x14ac:dyDescent="0.3">
      <c r="A757" s="29" t="s">
        <v>634</v>
      </c>
      <c r="B757" s="13" t="s">
        <v>635</v>
      </c>
    </row>
    <row r="758" spans="1:2" s="25" customFormat="1" ht="15.75" thickBot="1" x14ac:dyDescent="0.3">
      <c r="A758" s="33" t="s">
        <v>636</v>
      </c>
      <c r="B758" s="12"/>
    </row>
    <row r="759" spans="1:2" s="25" customFormat="1" ht="17.25" thickBot="1" x14ac:dyDescent="0.3">
      <c r="A759" s="31" t="s">
        <v>637</v>
      </c>
      <c r="B759" s="41"/>
    </row>
    <row r="760" spans="1:2" s="25" customFormat="1" ht="15.75" thickBot="1" x14ac:dyDescent="0.3">
      <c r="A760" s="29" t="s">
        <v>638</v>
      </c>
      <c r="B760" s="9"/>
    </row>
    <row r="761" spans="1:2" s="25" customFormat="1" x14ac:dyDescent="0.25">
      <c r="A761" s="27" t="s">
        <v>639</v>
      </c>
      <c r="B761" s="6"/>
    </row>
    <row r="762" spans="1:2" s="25" customFormat="1" ht="15.75" thickBot="1" x14ac:dyDescent="0.3">
      <c r="A762" s="28"/>
      <c r="B762" s="8"/>
    </row>
    <row r="763" spans="1:2" s="25" customFormat="1" x14ac:dyDescent="0.25">
      <c r="A763" s="27" t="s">
        <v>640</v>
      </c>
      <c r="B763" s="6"/>
    </row>
    <row r="764" spans="1:2" s="25" customFormat="1" ht="15.75" thickBot="1" x14ac:dyDescent="0.3">
      <c r="A764" s="28"/>
      <c r="B764" s="8"/>
    </row>
    <row r="765" spans="1:2" s="25" customFormat="1" ht="15.75" thickBot="1" x14ac:dyDescent="0.3">
      <c r="A765" s="29" t="s">
        <v>641</v>
      </c>
      <c r="B765" s="9"/>
    </row>
    <row r="766" spans="1:2" s="25" customFormat="1" ht="15.75" thickBot="1" x14ac:dyDescent="0.3">
      <c r="A766" s="29" t="s">
        <v>642</v>
      </c>
      <c r="B766" s="9"/>
    </row>
    <row r="767" spans="1:2" s="25" customFormat="1" ht="15.75" thickBot="1" x14ac:dyDescent="0.3">
      <c r="A767" s="29" t="s">
        <v>643</v>
      </c>
      <c r="B767" s="9"/>
    </row>
    <row r="768" spans="1:2" s="25" customFormat="1" ht="15.75" thickBot="1" x14ac:dyDescent="0.3">
      <c r="A768" s="29" t="s">
        <v>644</v>
      </c>
      <c r="B768" s="9"/>
    </row>
    <row r="769" spans="1:2" s="25" customFormat="1" ht="15.75" thickBot="1" x14ac:dyDescent="0.3">
      <c r="A769" s="29" t="s">
        <v>645</v>
      </c>
      <c r="B769" s="9"/>
    </row>
    <row r="770" spans="1:2" s="25" customFormat="1" ht="15.75" thickBot="1" x14ac:dyDescent="0.3">
      <c r="A770" s="29" t="s">
        <v>646</v>
      </c>
      <c r="B770" s="9"/>
    </row>
    <row r="771" spans="1:2" s="25" customFormat="1" ht="15.75" thickBot="1" x14ac:dyDescent="0.3">
      <c r="A771" s="29" t="s">
        <v>647</v>
      </c>
      <c r="B771" s="9"/>
    </row>
    <row r="772" spans="1:2" s="25" customFormat="1" ht="15.75" thickBot="1" x14ac:dyDescent="0.3">
      <c r="A772" s="29" t="s">
        <v>648</v>
      </c>
      <c r="B772" s="9"/>
    </row>
    <row r="773" spans="1:2" s="25" customFormat="1" ht="15.75" thickBot="1" x14ac:dyDescent="0.3">
      <c r="A773" s="29" t="s">
        <v>649</v>
      </c>
      <c r="B773" s="9"/>
    </row>
    <row r="774" spans="1:2" s="25" customFormat="1" ht="15.75" thickBot="1" x14ac:dyDescent="0.3">
      <c r="A774" s="29" t="s">
        <v>650</v>
      </c>
      <c r="B774" s="9"/>
    </row>
    <row r="775" spans="1:2" s="25" customFormat="1" ht="15.75" thickBot="1" x14ac:dyDescent="0.3">
      <c r="A775" s="29" t="s">
        <v>651</v>
      </c>
      <c r="B775" s="9"/>
    </row>
    <row r="776" spans="1:2" s="25" customFormat="1" ht="15.75" thickBot="1" x14ac:dyDescent="0.3">
      <c r="A776" s="29" t="s">
        <v>652</v>
      </c>
      <c r="B776" s="9"/>
    </row>
    <row r="777" spans="1:2" s="25" customFormat="1" ht="15.75" thickBot="1" x14ac:dyDescent="0.3">
      <c r="A777" s="29" t="s">
        <v>653</v>
      </c>
      <c r="B777" s="9"/>
    </row>
    <row r="778" spans="1:2" s="25" customFormat="1" ht="15.75" thickBot="1" x14ac:dyDescent="0.3">
      <c r="A778" s="29" t="s">
        <v>654</v>
      </c>
      <c r="B778" s="9"/>
    </row>
    <row r="779" spans="1:2" s="25" customFormat="1" ht="15.75" thickBot="1" x14ac:dyDescent="0.3">
      <c r="A779" s="29" t="s">
        <v>655</v>
      </c>
      <c r="B779" s="9"/>
    </row>
    <row r="780" spans="1:2" s="25" customFormat="1" x14ac:dyDescent="0.25">
      <c r="A780" s="27" t="s">
        <v>656</v>
      </c>
      <c r="B780" s="6"/>
    </row>
    <row r="781" spans="1:2" s="25" customFormat="1" x14ac:dyDescent="0.25">
      <c r="A781" s="32"/>
      <c r="B781" s="11"/>
    </row>
    <row r="782" spans="1:2" s="25" customFormat="1" x14ac:dyDescent="0.25">
      <c r="A782" s="32"/>
      <c r="B782" s="11"/>
    </row>
    <row r="783" spans="1:2" s="25" customFormat="1" ht="15.75" thickBot="1" x14ac:dyDescent="0.3">
      <c r="A783" s="28"/>
      <c r="B783" s="8"/>
    </row>
    <row r="784" spans="1:2" s="25" customFormat="1" x14ac:dyDescent="0.25">
      <c r="A784" s="27" t="s">
        <v>657</v>
      </c>
      <c r="B784" s="6"/>
    </row>
    <row r="785" spans="1:2" s="25" customFormat="1" ht="15.75" thickBot="1" x14ac:dyDescent="0.3">
      <c r="A785" s="28"/>
      <c r="B785" s="8"/>
    </row>
    <row r="786" spans="1:2" s="25" customFormat="1" x14ac:dyDescent="0.25">
      <c r="A786" s="27" t="s">
        <v>658</v>
      </c>
      <c r="B786" s="6"/>
    </row>
    <row r="787" spans="1:2" s="25" customFormat="1" ht="15.75" thickBot="1" x14ac:dyDescent="0.3">
      <c r="A787" s="28"/>
      <c r="B787" s="8"/>
    </row>
    <row r="788" spans="1:2" s="25" customFormat="1" ht="16.5" thickBot="1" x14ac:dyDescent="0.3">
      <c r="A788" s="30" t="s">
        <v>659</v>
      </c>
      <c r="B788" s="10"/>
    </row>
    <row r="789" spans="1:2" s="25" customFormat="1" ht="15.75" thickBot="1" x14ac:dyDescent="0.3">
      <c r="A789" s="29" t="s">
        <v>660</v>
      </c>
      <c r="B789" s="13" t="s">
        <v>661</v>
      </c>
    </row>
    <row r="790" spans="1:2" s="25" customFormat="1" ht="15.75" thickBot="1" x14ac:dyDescent="0.3">
      <c r="A790" s="29" t="s">
        <v>662</v>
      </c>
      <c r="B790" s="13" t="s">
        <v>663</v>
      </c>
    </row>
    <row r="791" spans="1:2" s="25" customFormat="1" ht="15.75" thickBot="1" x14ac:dyDescent="0.3">
      <c r="A791" s="29" t="s">
        <v>664</v>
      </c>
      <c r="B791" s="13" t="s">
        <v>665</v>
      </c>
    </row>
    <row r="792" spans="1:2" s="25" customFormat="1" ht="15.75" thickBot="1" x14ac:dyDescent="0.3">
      <c r="A792" s="29" t="s">
        <v>666</v>
      </c>
      <c r="B792" s="13" t="s">
        <v>667</v>
      </c>
    </row>
    <row r="793" spans="1:2" s="25" customFormat="1" ht="15.75" thickBot="1" x14ac:dyDescent="0.3">
      <c r="A793" s="29" t="s">
        <v>668</v>
      </c>
      <c r="B793" s="13" t="s">
        <v>669</v>
      </c>
    </row>
    <row r="794" spans="1:2" s="25" customFormat="1" ht="15.75" thickBot="1" x14ac:dyDescent="0.3">
      <c r="A794" s="29" t="s">
        <v>670</v>
      </c>
      <c r="B794" s="13" t="s">
        <v>671</v>
      </c>
    </row>
    <row r="795" spans="1:2" s="25" customFormat="1" ht="15.75" thickBot="1" x14ac:dyDescent="0.3">
      <c r="A795" s="29" t="s">
        <v>672</v>
      </c>
      <c r="B795" s="13" t="s">
        <v>673</v>
      </c>
    </row>
    <row r="796" spans="1:2" s="25" customFormat="1" ht="15.75" thickBot="1" x14ac:dyDescent="0.3">
      <c r="A796" s="29" t="s">
        <v>674</v>
      </c>
      <c r="B796" s="13" t="s">
        <v>675</v>
      </c>
    </row>
    <row r="797" spans="1:2" s="25" customFormat="1" ht="15.75" thickBot="1" x14ac:dyDescent="0.3">
      <c r="A797" s="29" t="s">
        <v>676</v>
      </c>
      <c r="B797" s="13" t="s">
        <v>677</v>
      </c>
    </row>
    <row r="798" spans="1:2" s="25" customFormat="1" ht="15.75" thickBot="1" x14ac:dyDescent="0.3">
      <c r="A798" s="29" t="s">
        <v>678</v>
      </c>
      <c r="B798" s="13" t="s">
        <v>679</v>
      </c>
    </row>
    <row r="799" spans="1:2" s="25" customFormat="1" ht="15.75" thickBot="1" x14ac:dyDescent="0.3">
      <c r="A799" s="29" t="s">
        <v>680</v>
      </c>
      <c r="B799" s="13" t="s">
        <v>681</v>
      </c>
    </row>
    <row r="800" spans="1:2" s="25" customFormat="1" x14ac:dyDescent="0.25">
      <c r="A800" s="27" t="s">
        <v>682</v>
      </c>
      <c r="B800" s="7" t="s">
        <v>683</v>
      </c>
    </row>
    <row r="801" spans="1:2" s="25" customFormat="1" ht="15.75" thickBot="1" x14ac:dyDescent="0.3">
      <c r="A801" s="28"/>
      <c r="B801" s="18"/>
    </row>
    <row r="802" spans="1:2" s="25" customFormat="1" ht="15.75" thickBot="1" x14ac:dyDescent="0.3">
      <c r="A802" s="29" t="s">
        <v>684</v>
      </c>
      <c r="B802" s="9"/>
    </row>
    <row r="803" spans="1:2" s="25" customFormat="1" ht="15.75" thickBot="1" x14ac:dyDescent="0.3">
      <c r="A803" s="33" t="s">
        <v>685</v>
      </c>
      <c r="B803" s="12"/>
    </row>
    <row r="804" spans="1:2" s="25" customFormat="1" x14ac:dyDescent="0.25">
      <c r="A804" s="27" t="s">
        <v>686</v>
      </c>
      <c r="B804" s="6" t="s">
        <v>687</v>
      </c>
    </row>
    <row r="805" spans="1:2" s="25" customFormat="1" ht="15.75" thickBot="1" x14ac:dyDescent="0.3">
      <c r="A805" s="28"/>
      <c r="B805" s="8"/>
    </row>
    <row r="806" spans="1:2" s="25" customFormat="1" ht="15.75" thickBot="1" x14ac:dyDescent="0.3">
      <c r="A806" s="29" t="s">
        <v>688</v>
      </c>
      <c r="B806" s="9" t="s">
        <v>689</v>
      </c>
    </row>
    <row r="807" spans="1:2" s="25" customFormat="1" ht="26.25" thickBot="1" x14ac:dyDescent="0.3">
      <c r="A807" s="29" t="s">
        <v>690</v>
      </c>
      <c r="B807" s="9" t="s">
        <v>691</v>
      </c>
    </row>
    <row r="808" spans="1:2" s="25" customFormat="1" ht="26.25" thickBot="1" x14ac:dyDescent="0.3">
      <c r="A808" s="29" t="s">
        <v>692</v>
      </c>
      <c r="B808" s="9" t="s">
        <v>693</v>
      </c>
    </row>
    <row r="809" spans="1:2" s="25" customFormat="1" x14ac:dyDescent="0.25">
      <c r="A809" s="27" t="s">
        <v>694</v>
      </c>
      <c r="B809" s="7" t="s">
        <v>695</v>
      </c>
    </row>
    <row r="810" spans="1:2" s="25" customFormat="1" ht="15.75" thickBot="1" x14ac:dyDescent="0.3">
      <c r="A810" s="28"/>
      <c r="B810" s="8" t="s">
        <v>696</v>
      </c>
    </row>
    <row r="811" spans="1:2" s="25" customFormat="1" ht="15.75" thickBot="1" x14ac:dyDescent="0.3">
      <c r="A811" s="29" t="s">
        <v>697</v>
      </c>
      <c r="B811" s="9" t="s">
        <v>698</v>
      </c>
    </row>
    <row r="812" spans="1:2" s="25" customFormat="1" x14ac:dyDescent="0.25">
      <c r="A812" s="27" t="s">
        <v>699</v>
      </c>
      <c r="B812" s="6" t="s">
        <v>687</v>
      </c>
    </row>
    <row r="813" spans="1:2" s="25" customFormat="1" x14ac:dyDescent="0.25">
      <c r="A813" s="32"/>
      <c r="B813" s="11"/>
    </row>
    <row r="814" spans="1:2" s="25" customFormat="1" x14ac:dyDescent="0.25">
      <c r="A814" s="32"/>
      <c r="B814" s="11"/>
    </row>
    <row r="815" spans="1:2" s="25" customFormat="1" ht="15.75" thickBot="1" x14ac:dyDescent="0.3">
      <c r="A815" s="28"/>
      <c r="B815" s="8"/>
    </row>
    <row r="816" spans="1:2" s="25" customFormat="1" ht="15.75" thickBot="1" x14ac:dyDescent="0.3">
      <c r="A816" s="29" t="s">
        <v>700</v>
      </c>
      <c r="B816" s="9" t="s">
        <v>687</v>
      </c>
    </row>
    <row r="817" spans="1:2" s="25" customFormat="1" ht="26.25" thickBot="1" x14ac:dyDescent="0.3">
      <c r="A817" s="29" t="s">
        <v>701</v>
      </c>
      <c r="B817" s="9" t="s">
        <v>691</v>
      </c>
    </row>
    <row r="818" spans="1:2" s="25" customFormat="1" ht="26.25" thickBot="1" x14ac:dyDescent="0.3">
      <c r="A818" s="29" t="s">
        <v>702</v>
      </c>
      <c r="B818" s="9" t="s">
        <v>703</v>
      </c>
    </row>
    <row r="819" spans="1:2" s="25" customFormat="1" x14ac:dyDescent="0.25">
      <c r="A819" s="27" t="s">
        <v>704</v>
      </c>
      <c r="B819" s="7" t="s">
        <v>705</v>
      </c>
    </row>
    <row r="820" spans="1:2" s="25" customFormat="1" ht="15.75" thickBot="1" x14ac:dyDescent="0.3">
      <c r="A820" s="28"/>
      <c r="B820" s="8" t="s">
        <v>706</v>
      </c>
    </row>
    <row r="821" spans="1:2" s="25" customFormat="1" ht="15.75" thickBot="1" x14ac:dyDescent="0.3">
      <c r="A821" s="29" t="s">
        <v>707</v>
      </c>
      <c r="B821" s="9" t="s">
        <v>698</v>
      </c>
    </row>
    <row r="822" spans="1:2" s="25" customFormat="1" ht="15.75" thickBot="1" x14ac:dyDescent="0.3">
      <c r="A822" s="29" t="s">
        <v>708</v>
      </c>
      <c r="B822" s="9" t="s">
        <v>687</v>
      </c>
    </row>
    <row r="823" spans="1:2" s="25" customFormat="1" ht="15.75" thickBot="1" x14ac:dyDescent="0.3">
      <c r="A823" s="29" t="s">
        <v>709</v>
      </c>
      <c r="B823" s="9" t="s">
        <v>689</v>
      </c>
    </row>
    <row r="824" spans="1:2" s="25" customFormat="1" ht="26.25" thickBot="1" x14ac:dyDescent="0.3">
      <c r="A824" s="29" t="s">
        <v>710</v>
      </c>
      <c r="B824" s="9" t="s">
        <v>691</v>
      </c>
    </row>
    <row r="825" spans="1:2" s="25" customFormat="1" ht="26.25" thickBot="1" x14ac:dyDescent="0.3">
      <c r="A825" s="29" t="s">
        <v>711</v>
      </c>
      <c r="B825" s="9" t="s">
        <v>712</v>
      </c>
    </row>
    <row r="826" spans="1:2" s="25" customFormat="1" x14ac:dyDescent="0.25">
      <c r="A826" s="27" t="s">
        <v>713</v>
      </c>
      <c r="B826" s="7" t="s">
        <v>714</v>
      </c>
    </row>
    <row r="827" spans="1:2" s="25" customFormat="1" ht="15.75" thickBot="1" x14ac:dyDescent="0.3">
      <c r="A827" s="28"/>
      <c r="B827" s="8" t="s">
        <v>715</v>
      </c>
    </row>
    <row r="828" spans="1:2" s="25" customFormat="1" ht="15.75" thickBot="1" x14ac:dyDescent="0.3">
      <c r="A828" s="29" t="s">
        <v>716</v>
      </c>
      <c r="B828" s="9" t="s">
        <v>698</v>
      </c>
    </row>
    <row r="829" spans="1:2" s="25" customFormat="1" ht="15.75" thickBot="1" x14ac:dyDescent="0.3">
      <c r="A829" s="33" t="s">
        <v>717</v>
      </c>
      <c r="B829" s="12"/>
    </row>
    <row r="830" spans="1:2" s="25" customFormat="1" ht="17.25" thickBot="1" x14ac:dyDescent="0.3">
      <c r="A830" s="31" t="s">
        <v>718</v>
      </c>
      <c r="B830" s="41"/>
    </row>
    <row r="831" spans="1:2" s="25" customFormat="1" ht="15.75" thickBot="1" x14ac:dyDescent="0.3">
      <c r="A831" s="29" t="s">
        <v>719</v>
      </c>
      <c r="B831" s="9" t="s">
        <v>720</v>
      </c>
    </row>
    <row r="832" spans="1:2" s="25" customFormat="1" ht="38.25" x14ac:dyDescent="0.25">
      <c r="A832" s="27" t="s">
        <v>721</v>
      </c>
      <c r="B832" s="6" t="s">
        <v>722</v>
      </c>
    </row>
    <row r="833" spans="1:2" s="25" customFormat="1" ht="15.75" thickBot="1" x14ac:dyDescent="0.3">
      <c r="A833" s="28"/>
      <c r="B833" s="8"/>
    </row>
    <row r="834" spans="1:2" s="25" customFormat="1" ht="15.75" thickBot="1" x14ac:dyDescent="0.3">
      <c r="A834" s="29" t="s">
        <v>723</v>
      </c>
      <c r="B834" s="9"/>
    </row>
    <row r="835" spans="1:2" s="25" customFormat="1" x14ac:dyDescent="0.25">
      <c r="A835" s="27" t="s">
        <v>724</v>
      </c>
      <c r="B835" s="6" t="s">
        <v>725</v>
      </c>
    </row>
    <row r="836" spans="1:2" s="25" customFormat="1" ht="15.75" thickBot="1" x14ac:dyDescent="0.3">
      <c r="A836" s="28"/>
      <c r="B836" s="8"/>
    </row>
    <row r="837" spans="1:2" s="25" customFormat="1" ht="15.75" thickBot="1" x14ac:dyDescent="0.3">
      <c r="A837" s="29" t="s">
        <v>726</v>
      </c>
      <c r="B837" s="9" t="s">
        <v>727</v>
      </c>
    </row>
    <row r="838" spans="1:2" s="25" customFormat="1" ht="15.75" thickBot="1" x14ac:dyDescent="0.3">
      <c r="A838" s="29" t="s">
        <v>728</v>
      </c>
      <c r="B838" s="9" t="s">
        <v>729</v>
      </c>
    </row>
    <row r="839" spans="1:2" s="25" customFormat="1" ht="15.75" thickBot="1" x14ac:dyDescent="0.3">
      <c r="A839" s="29" t="s">
        <v>730</v>
      </c>
      <c r="B839" s="9" t="s">
        <v>731</v>
      </c>
    </row>
    <row r="840" spans="1:2" s="25" customFormat="1" ht="15.75" thickBot="1" x14ac:dyDescent="0.3">
      <c r="A840" s="29" t="s">
        <v>732</v>
      </c>
      <c r="B840" s="9" t="s">
        <v>733</v>
      </c>
    </row>
    <row r="841" spans="1:2" s="25" customFormat="1" ht="15.75" thickBot="1" x14ac:dyDescent="0.3">
      <c r="A841" s="29" t="s">
        <v>734</v>
      </c>
      <c r="B841" s="9" t="s">
        <v>735</v>
      </c>
    </row>
    <row r="842" spans="1:2" s="25" customFormat="1" ht="15.75" thickBot="1" x14ac:dyDescent="0.3">
      <c r="A842" s="29" t="s">
        <v>736</v>
      </c>
      <c r="B842" s="9" t="s">
        <v>737</v>
      </c>
    </row>
    <row r="843" spans="1:2" s="25" customFormat="1" ht="25.5" x14ac:dyDescent="0.25">
      <c r="A843" s="27" t="s">
        <v>738</v>
      </c>
      <c r="B843" s="6" t="s">
        <v>739</v>
      </c>
    </row>
    <row r="844" spans="1:2" s="25" customFormat="1" x14ac:dyDescent="0.25">
      <c r="A844" s="32"/>
      <c r="B844" s="11"/>
    </row>
    <row r="845" spans="1:2" s="25" customFormat="1" x14ac:dyDescent="0.25">
      <c r="A845" s="32"/>
      <c r="B845" s="11"/>
    </row>
    <row r="846" spans="1:2" s="25" customFormat="1" x14ac:dyDescent="0.25">
      <c r="A846" s="32"/>
      <c r="B846" s="11"/>
    </row>
    <row r="847" spans="1:2" s="25" customFormat="1" x14ac:dyDescent="0.25">
      <c r="A847" s="32"/>
      <c r="B847" s="11"/>
    </row>
    <row r="848" spans="1:2" s="25" customFormat="1" ht="15.75" thickBot="1" x14ac:dyDescent="0.3">
      <c r="A848" s="28"/>
      <c r="B848" s="8"/>
    </row>
    <row r="849" spans="1:2" s="25" customFormat="1" x14ac:dyDescent="0.25">
      <c r="A849" s="27" t="s">
        <v>740</v>
      </c>
      <c r="B849" s="6"/>
    </row>
    <row r="850" spans="1:2" s="25" customFormat="1" ht="15.75" thickBot="1" x14ac:dyDescent="0.3">
      <c r="A850" s="28"/>
      <c r="B850" s="8"/>
    </row>
    <row r="851" spans="1:2" s="25" customFormat="1" ht="16.5" thickBot="1" x14ac:dyDescent="0.3">
      <c r="A851" s="30" t="s">
        <v>741</v>
      </c>
      <c r="B851" s="10"/>
    </row>
    <row r="852" spans="1:2" s="25" customFormat="1" x14ac:dyDescent="0.25">
      <c r="A852" s="27" t="s">
        <v>742</v>
      </c>
      <c r="B852" s="7" t="s">
        <v>743</v>
      </c>
    </row>
    <row r="853" spans="1:2" s="25" customFormat="1" ht="26.25" thickBot="1" x14ac:dyDescent="0.3">
      <c r="A853" s="28"/>
      <c r="B853" s="8" t="s">
        <v>744</v>
      </c>
    </row>
    <row r="854" spans="1:2" s="25" customFormat="1" ht="15.75" thickBot="1" x14ac:dyDescent="0.3">
      <c r="A854" s="33" t="s">
        <v>745</v>
      </c>
      <c r="B854" s="12"/>
    </row>
    <row r="855" spans="1:2" s="25" customFormat="1" ht="17.25" thickBot="1" x14ac:dyDescent="0.3">
      <c r="A855" s="31" t="s">
        <v>746</v>
      </c>
      <c r="B855" s="41"/>
    </row>
    <row r="856" spans="1:2" s="25" customFormat="1" ht="15.75" thickBot="1" x14ac:dyDescent="0.3">
      <c r="A856" s="29" t="s">
        <v>747</v>
      </c>
      <c r="B856" s="9"/>
    </row>
    <row r="857" spans="1:2" s="25" customFormat="1" ht="15.75" thickBot="1" x14ac:dyDescent="0.3">
      <c r="A857" s="29" t="s">
        <v>748</v>
      </c>
      <c r="B857" s="9"/>
    </row>
    <row r="858" spans="1:2" s="25" customFormat="1" ht="15.75" thickBot="1" x14ac:dyDescent="0.3">
      <c r="A858" s="29" t="s">
        <v>749</v>
      </c>
      <c r="B858" s="9"/>
    </row>
    <row r="859" spans="1:2" s="25" customFormat="1" ht="15.75" thickBot="1" x14ac:dyDescent="0.3">
      <c r="A859" s="29" t="s">
        <v>750</v>
      </c>
      <c r="B859" s="9"/>
    </row>
    <row r="860" spans="1:2" s="25" customFormat="1" x14ac:dyDescent="0.25">
      <c r="A860" s="27" t="s">
        <v>751</v>
      </c>
      <c r="B860" s="6"/>
    </row>
    <row r="861" spans="1:2" s="25" customFormat="1" ht="15.75" thickBot="1" x14ac:dyDescent="0.3">
      <c r="A861" s="28"/>
      <c r="B861" s="8"/>
    </row>
    <row r="862" spans="1:2" s="25" customFormat="1" ht="15.75" thickBot="1" x14ac:dyDescent="0.3">
      <c r="A862" s="29" t="s">
        <v>752</v>
      </c>
      <c r="B862" s="9"/>
    </row>
    <row r="863" spans="1:2" s="25" customFormat="1" ht="15.75" thickBot="1" x14ac:dyDescent="0.3">
      <c r="A863" s="29" t="s">
        <v>753</v>
      </c>
      <c r="B863" s="9"/>
    </row>
    <row r="864" spans="1:2" s="25" customFormat="1" ht="15.75" thickBot="1" x14ac:dyDescent="0.3">
      <c r="A864" s="29" t="s">
        <v>754</v>
      </c>
      <c r="B864" s="9"/>
    </row>
    <row r="865" spans="1:2" s="25" customFormat="1" ht="15.75" thickBot="1" x14ac:dyDescent="0.3">
      <c r="A865" s="29" t="s">
        <v>755</v>
      </c>
      <c r="B865" s="9"/>
    </row>
    <row r="866" spans="1:2" s="25" customFormat="1" ht="15.75" thickBot="1" x14ac:dyDescent="0.3">
      <c r="A866" s="29" t="s">
        <v>756</v>
      </c>
      <c r="B866" s="9"/>
    </row>
    <row r="867" spans="1:2" s="25" customFormat="1" ht="15.75" thickBot="1" x14ac:dyDescent="0.3">
      <c r="A867" s="29" t="s">
        <v>757</v>
      </c>
      <c r="B867" s="9"/>
    </row>
    <row r="868" spans="1:2" s="25" customFormat="1" ht="15.75" thickBot="1" x14ac:dyDescent="0.3">
      <c r="A868" s="29" t="s">
        <v>758</v>
      </c>
      <c r="B868" s="9"/>
    </row>
    <row r="869" spans="1:2" s="25" customFormat="1" ht="15.75" thickBot="1" x14ac:dyDescent="0.3">
      <c r="A869" s="29" t="s">
        <v>759</v>
      </c>
      <c r="B869" s="9"/>
    </row>
    <row r="870" spans="1:2" s="25" customFormat="1" x14ac:dyDescent="0.25">
      <c r="A870" s="27" t="s">
        <v>760</v>
      </c>
      <c r="B870" s="6"/>
    </row>
    <row r="871" spans="1:2" s="25" customFormat="1" ht="15.75" thickBot="1" x14ac:dyDescent="0.3">
      <c r="A871" s="28"/>
      <c r="B871" s="8"/>
    </row>
    <row r="872" spans="1:2" s="25" customFormat="1" x14ac:dyDescent="0.25">
      <c r="A872" s="27" t="s">
        <v>761</v>
      </c>
      <c r="B872" s="7" t="s">
        <v>762</v>
      </c>
    </row>
    <row r="873" spans="1:2" s="25" customFormat="1" ht="26.25" thickBot="1" x14ac:dyDescent="0.3">
      <c r="A873" s="28"/>
      <c r="B873" s="8" t="s">
        <v>763</v>
      </c>
    </row>
    <row r="874" spans="1:2" s="25" customFormat="1" x14ac:dyDescent="0.25">
      <c r="A874" s="27" t="s">
        <v>764</v>
      </c>
      <c r="B874" s="7" t="s">
        <v>765</v>
      </c>
    </row>
    <row r="875" spans="1:2" s="25" customFormat="1" ht="25.5" x14ac:dyDescent="0.25">
      <c r="A875" s="32"/>
      <c r="B875" s="11" t="s">
        <v>763</v>
      </c>
    </row>
    <row r="876" spans="1:2" s="25" customFormat="1" x14ac:dyDescent="0.25">
      <c r="A876" s="32"/>
      <c r="B876" s="42"/>
    </row>
    <row r="877" spans="1:2" s="25" customFormat="1" x14ac:dyDescent="0.25">
      <c r="A877" s="32"/>
      <c r="B877" s="11" t="s">
        <v>766</v>
      </c>
    </row>
    <row r="878" spans="1:2" s="25" customFormat="1" x14ac:dyDescent="0.25">
      <c r="A878" s="32"/>
      <c r="B878" s="11" t="s">
        <v>767</v>
      </c>
    </row>
    <row r="879" spans="1:2" s="25" customFormat="1" x14ac:dyDescent="0.25">
      <c r="A879" s="32"/>
      <c r="B879" s="42"/>
    </row>
    <row r="880" spans="1:2" s="25" customFormat="1" ht="25.5" x14ac:dyDescent="0.25">
      <c r="A880" s="32"/>
      <c r="B880" s="11" t="s">
        <v>768</v>
      </c>
    </row>
    <row r="881" spans="1:2" s="25" customFormat="1" x14ac:dyDescent="0.25">
      <c r="A881" s="32"/>
      <c r="B881" s="42"/>
    </row>
    <row r="882" spans="1:2" s="25" customFormat="1" ht="25.5" x14ac:dyDescent="0.25">
      <c r="A882" s="32"/>
      <c r="B882" s="11" t="s">
        <v>769</v>
      </c>
    </row>
    <row r="883" spans="1:2" s="25" customFormat="1" x14ac:dyDescent="0.25">
      <c r="A883" s="32"/>
      <c r="B883" s="42"/>
    </row>
    <row r="884" spans="1:2" s="25" customFormat="1" ht="25.5" x14ac:dyDescent="0.25">
      <c r="A884" s="32"/>
      <c r="B884" s="11" t="s">
        <v>770</v>
      </c>
    </row>
    <row r="885" spans="1:2" s="25" customFormat="1" x14ac:dyDescent="0.25">
      <c r="A885" s="32"/>
      <c r="B885" s="42"/>
    </row>
    <row r="886" spans="1:2" s="25" customFormat="1" ht="38.25" x14ac:dyDescent="0.25">
      <c r="A886" s="32"/>
      <c r="B886" s="11" t="s">
        <v>771</v>
      </c>
    </row>
    <row r="887" spans="1:2" s="25" customFormat="1" x14ac:dyDescent="0.25">
      <c r="A887" s="32"/>
      <c r="B887" s="42"/>
    </row>
    <row r="888" spans="1:2" s="25" customFormat="1" ht="25.5" x14ac:dyDescent="0.25">
      <c r="A888" s="32"/>
      <c r="B888" s="11" t="s">
        <v>772</v>
      </c>
    </row>
    <row r="889" spans="1:2" s="25" customFormat="1" x14ac:dyDescent="0.25">
      <c r="A889" s="32"/>
      <c r="B889" s="42"/>
    </row>
    <row r="890" spans="1:2" s="25" customFormat="1" ht="25.5" x14ac:dyDescent="0.25">
      <c r="A890" s="32"/>
      <c r="B890" s="11" t="s">
        <v>773</v>
      </c>
    </row>
    <row r="891" spans="1:2" s="25" customFormat="1" x14ac:dyDescent="0.25">
      <c r="A891" s="32"/>
      <c r="B891" s="42"/>
    </row>
    <row r="892" spans="1:2" s="25" customFormat="1" ht="38.25" x14ac:dyDescent="0.25">
      <c r="A892" s="32"/>
      <c r="B892" s="11" t="s">
        <v>774</v>
      </c>
    </row>
    <row r="893" spans="1:2" s="25" customFormat="1" x14ac:dyDescent="0.25">
      <c r="A893" s="32"/>
      <c r="B893" s="42"/>
    </row>
    <row r="894" spans="1:2" s="25" customFormat="1" x14ac:dyDescent="0.25">
      <c r="A894" s="32"/>
      <c r="B894" s="11" t="s">
        <v>775</v>
      </c>
    </row>
    <row r="895" spans="1:2" s="25" customFormat="1" x14ac:dyDescent="0.25">
      <c r="A895" s="32"/>
      <c r="B895" s="42"/>
    </row>
    <row r="896" spans="1:2" s="25" customFormat="1" ht="38.25" x14ac:dyDescent="0.25">
      <c r="A896" s="32"/>
      <c r="B896" s="11" t="s">
        <v>776</v>
      </c>
    </row>
    <row r="897" spans="1:2" s="25" customFormat="1" x14ac:dyDescent="0.25">
      <c r="A897" s="32"/>
      <c r="B897" s="42"/>
    </row>
    <row r="898" spans="1:2" s="25" customFormat="1" ht="38.25" x14ac:dyDescent="0.25">
      <c r="A898" s="32"/>
      <c r="B898" s="11" t="s">
        <v>777</v>
      </c>
    </row>
    <row r="899" spans="1:2" s="25" customFormat="1" x14ac:dyDescent="0.25">
      <c r="A899" s="32"/>
      <c r="B899" s="42"/>
    </row>
    <row r="900" spans="1:2" s="25" customFormat="1" ht="51" x14ac:dyDescent="0.25">
      <c r="A900" s="32"/>
      <c r="B900" s="11" t="s">
        <v>778</v>
      </c>
    </row>
    <row r="901" spans="1:2" s="25" customFormat="1" x14ac:dyDescent="0.25">
      <c r="A901" s="32"/>
      <c r="B901" s="42"/>
    </row>
    <row r="902" spans="1:2" s="25" customFormat="1" x14ac:dyDescent="0.25">
      <c r="A902" s="32"/>
      <c r="B902" s="11" t="s">
        <v>779</v>
      </c>
    </row>
    <row r="903" spans="1:2" s="25" customFormat="1" x14ac:dyDescent="0.25">
      <c r="A903" s="32"/>
      <c r="B903" s="42"/>
    </row>
    <row r="904" spans="1:2" s="25" customFormat="1" ht="38.25" x14ac:dyDescent="0.25">
      <c r="A904" s="32"/>
      <c r="B904" s="11" t="s">
        <v>780</v>
      </c>
    </row>
    <row r="905" spans="1:2" s="25" customFormat="1" x14ac:dyDescent="0.25">
      <c r="A905" s="32"/>
      <c r="B905" s="42"/>
    </row>
    <row r="906" spans="1:2" s="25" customFormat="1" ht="38.25" x14ac:dyDescent="0.25">
      <c r="A906" s="32"/>
      <c r="B906" s="11" t="s">
        <v>781</v>
      </c>
    </row>
    <row r="907" spans="1:2" s="25" customFormat="1" x14ac:dyDescent="0.25">
      <c r="A907" s="32"/>
      <c r="B907" s="42"/>
    </row>
    <row r="908" spans="1:2" s="25" customFormat="1" ht="25.5" x14ac:dyDescent="0.25">
      <c r="A908" s="32"/>
      <c r="B908" s="11" t="s">
        <v>782</v>
      </c>
    </row>
    <row r="909" spans="1:2" s="25" customFormat="1" x14ac:dyDescent="0.25">
      <c r="A909" s="32"/>
      <c r="B909" s="11"/>
    </row>
    <row r="910" spans="1:2" s="25" customFormat="1" ht="26.25" thickBot="1" x14ac:dyDescent="0.3">
      <c r="A910" s="28"/>
      <c r="B910" s="8" t="s">
        <v>783</v>
      </c>
    </row>
  </sheetData>
  <hyperlinks>
    <hyperlink ref="B1" location="'Table of Contents'!A1" display="Return to Table of Contents" xr:uid="{D6CBFF04-17EA-41E0-BB07-8E163EAEEDAE}"/>
  </hyperlink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47FDB-9FBF-4EBD-81EC-F3328565958B}">
  <sheetPr>
    <tabColor theme="3" tint="0.59999389629810485"/>
  </sheetPr>
  <dimension ref="A1:M396"/>
  <sheetViews>
    <sheetView workbookViewId="0">
      <pane ySplit="3" topLeftCell="A4" activePane="bottomLeft" state="frozen"/>
      <selection pane="bottomLeft" activeCell="B4" sqref="B4"/>
    </sheetView>
  </sheetViews>
  <sheetFormatPr defaultRowHeight="15" x14ac:dyDescent="0.25"/>
  <cols>
    <col min="2" max="2" width="49" bestFit="1" customWidth="1"/>
    <col min="3" max="3" width="25.85546875" bestFit="1" customWidth="1"/>
    <col min="4" max="4" width="20.5703125" customWidth="1"/>
    <col min="5" max="5" width="19.7109375" customWidth="1"/>
    <col min="6" max="6" width="14.85546875" customWidth="1"/>
    <col min="7" max="7" width="11" customWidth="1"/>
    <col min="8" max="8" width="14.140625" customWidth="1"/>
    <col min="9" max="9" width="12.42578125" customWidth="1"/>
    <col min="10" max="10" width="17.85546875" customWidth="1"/>
    <col min="11" max="12" width="12.7109375" bestFit="1" customWidth="1"/>
    <col min="13" max="13" width="16" customWidth="1"/>
  </cols>
  <sheetData>
    <row r="1" spans="1:13" ht="18.75" x14ac:dyDescent="0.3">
      <c r="B1" s="56" t="s">
        <v>3449</v>
      </c>
      <c r="D1" s="54" t="s">
        <v>3448</v>
      </c>
      <c r="G1" s="55" t="s">
        <v>13</v>
      </c>
    </row>
    <row r="3" spans="1:13" s="39" customFormat="1" ht="39.75" thickBot="1" x14ac:dyDescent="0.3">
      <c r="A3" s="57" t="s">
        <v>784</v>
      </c>
      <c r="B3" s="57" t="s">
        <v>785</v>
      </c>
      <c r="C3" s="57" t="s">
        <v>786</v>
      </c>
      <c r="D3" s="57" t="s">
        <v>787</v>
      </c>
      <c r="E3" s="57" t="s">
        <v>788</v>
      </c>
      <c r="F3" s="57" t="s">
        <v>789</v>
      </c>
      <c r="G3" s="57" t="s">
        <v>790</v>
      </c>
      <c r="H3" s="57" t="s">
        <v>100</v>
      </c>
      <c r="I3" s="57" t="s">
        <v>791</v>
      </c>
      <c r="J3" s="57" t="s">
        <v>792</v>
      </c>
      <c r="K3" s="57" t="s">
        <v>793</v>
      </c>
      <c r="L3" s="57" t="s">
        <v>794</v>
      </c>
      <c r="M3" s="57" t="s">
        <v>795</v>
      </c>
    </row>
    <row r="4" spans="1:13" ht="15.75" thickBot="1" x14ac:dyDescent="0.3">
      <c r="A4" s="44" t="s">
        <v>815</v>
      </c>
      <c r="B4" s="45" t="s">
        <v>816</v>
      </c>
      <c r="C4" s="44" t="s">
        <v>817</v>
      </c>
      <c r="D4" s="46" t="s">
        <v>804</v>
      </c>
      <c r="E4" s="46" t="s">
        <v>805</v>
      </c>
      <c r="F4" s="47">
        <v>1</v>
      </c>
      <c r="G4" s="47">
        <v>0</v>
      </c>
      <c r="H4" s="47">
        <v>0</v>
      </c>
      <c r="I4" s="47">
        <v>1</v>
      </c>
      <c r="J4" s="47">
        <v>2520</v>
      </c>
      <c r="K4" s="73">
        <v>0</v>
      </c>
      <c r="L4" s="47">
        <v>2520</v>
      </c>
      <c r="M4" s="47">
        <v>2344</v>
      </c>
    </row>
    <row r="5" spans="1:13" ht="15.75" thickBot="1" x14ac:dyDescent="0.3">
      <c r="A5" s="44" t="s">
        <v>840</v>
      </c>
      <c r="B5" s="45" t="s">
        <v>841</v>
      </c>
      <c r="C5" s="44" t="s">
        <v>817</v>
      </c>
      <c r="D5" s="46" t="s">
        <v>804</v>
      </c>
      <c r="E5" s="46" t="s">
        <v>805</v>
      </c>
      <c r="F5" s="47">
        <v>1</v>
      </c>
      <c r="G5" s="47">
        <v>0</v>
      </c>
      <c r="H5" s="47">
        <v>0</v>
      </c>
      <c r="I5" s="47">
        <v>1</v>
      </c>
      <c r="J5" s="47">
        <v>2723</v>
      </c>
      <c r="K5" s="73">
        <v>0</v>
      </c>
      <c r="L5" s="47">
        <v>2723</v>
      </c>
      <c r="M5" s="47">
        <v>2288</v>
      </c>
    </row>
    <row r="6" spans="1:13" ht="15.75" thickBot="1" x14ac:dyDescent="0.3">
      <c r="A6" s="44" t="s">
        <v>863</v>
      </c>
      <c r="B6" s="45" t="s">
        <v>864</v>
      </c>
      <c r="C6" s="44" t="s">
        <v>817</v>
      </c>
      <c r="D6" s="46" t="s">
        <v>844</v>
      </c>
      <c r="E6" s="46" t="s">
        <v>845</v>
      </c>
      <c r="F6" s="47">
        <v>1</v>
      </c>
      <c r="G6" s="47">
        <v>0</v>
      </c>
      <c r="H6" s="47">
        <v>0</v>
      </c>
      <c r="I6" s="47">
        <v>1</v>
      </c>
      <c r="J6" s="47">
        <v>2995</v>
      </c>
      <c r="K6" s="73">
        <v>0</v>
      </c>
      <c r="L6" s="47">
        <v>2995</v>
      </c>
      <c r="M6" s="47">
        <v>2400</v>
      </c>
    </row>
    <row r="7" spans="1:13" ht="15.75" thickBot="1" x14ac:dyDescent="0.3">
      <c r="A7" s="44" t="s">
        <v>865</v>
      </c>
      <c r="B7" s="45" t="s">
        <v>866</v>
      </c>
      <c r="C7" s="44" t="s">
        <v>817</v>
      </c>
      <c r="D7" s="46" t="s">
        <v>799</v>
      </c>
      <c r="E7" s="46" t="s">
        <v>800</v>
      </c>
      <c r="F7" s="47">
        <v>1</v>
      </c>
      <c r="G7" s="47">
        <v>0</v>
      </c>
      <c r="H7" s="47">
        <v>0</v>
      </c>
      <c r="I7" s="47">
        <v>1</v>
      </c>
      <c r="J7" s="47">
        <v>4000</v>
      </c>
      <c r="K7" s="73">
        <v>0</v>
      </c>
      <c r="L7" s="47">
        <v>4000</v>
      </c>
      <c r="M7" s="47">
        <v>1871</v>
      </c>
    </row>
    <row r="8" spans="1:13" ht="15.75" thickBot="1" x14ac:dyDescent="0.3">
      <c r="A8" s="44" t="s">
        <v>869</v>
      </c>
      <c r="B8" s="45" t="s">
        <v>870</v>
      </c>
      <c r="C8" s="44" t="s">
        <v>817</v>
      </c>
      <c r="D8" s="46" t="s">
        <v>844</v>
      </c>
      <c r="E8" s="46" t="s">
        <v>845</v>
      </c>
      <c r="F8" s="47">
        <v>1</v>
      </c>
      <c r="G8" s="47">
        <v>0</v>
      </c>
      <c r="H8" s="47">
        <v>0</v>
      </c>
      <c r="I8" s="47">
        <v>1</v>
      </c>
      <c r="J8" s="47">
        <v>880</v>
      </c>
      <c r="K8" s="73">
        <v>0</v>
      </c>
      <c r="L8" s="47">
        <v>880</v>
      </c>
      <c r="M8" s="47">
        <v>1212</v>
      </c>
    </row>
    <row r="9" spans="1:13" ht="15.75" thickBot="1" x14ac:dyDescent="0.3">
      <c r="A9" s="44" t="s">
        <v>873</v>
      </c>
      <c r="B9" s="45" t="s">
        <v>874</v>
      </c>
      <c r="C9" s="44" t="s">
        <v>817</v>
      </c>
      <c r="D9" s="46" t="s">
        <v>804</v>
      </c>
      <c r="E9" s="46" t="s">
        <v>805</v>
      </c>
      <c r="F9" s="47">
        <v>1</v>
      </c>
      <c r="G9" s="47">
        <v>0</v>
      </c>
      <c r="H9" s="47">
        <v>0</v>
      </c>
      <c r="I9" s="47">
        <v>1</v>
      </c>
      <c r="J9" s="47">
        <v>4500</v>
      </c>
      <c r="K9" s="73">
        <v>0</v>
      </c>
      <c r="L9" s="47">
        <v>4500</v>
      </c>
      <c r="M9" s="47">
        <v>2386</v>
      </c>
    </row>
    <row r="10" spans="1:13" ht="15.75" thickBot="1" x14ac:dyDescent="0.3">
      <c r="A10" s="44" t="s">
        <v>875</v>
      </c>
      <c r="B10" s="45" t="s">
        <v>876</v>
      </c>
      <c r="C10" s="44" t="s">
        <v>817</v>
      </c>
      <c r="D10" s="46" t="s">
        <v>804</v>
      </c>
      <c r="E10" s="46" t="s">
        <v>805</v>
      </c>
      <c r="F10" s="47">
        <v>1</v>
      </c>
      <c r="G10" s="47">
        <v>0</v>
      </c>
      <c r="H10" s="47">
        <v>0</v>
      </c>
      <c r="I10" s="47">
        <v>1</v>
      </c>
      <c r="J10" s="47">
        <v>3150</v>
      </c>
      <c r="K10" s="73">
        <v>0</v>
      </c>
      <c r="L10" s="47">
        <v>3150</v>
      </c>
      <c r="M10" s="47">
        <v>2288</v>
      </c>
    </row>
    <row r="11" spans="1:13" ht="15.75" thickBot="1" x14ac:dyDescent="0.3">
      <c r="A11" s="44" t="s">
        <v>883</v>
      </c>
      <c r="B11" s="45" t="s">
        <v>884</v>
      </c>
      <c r="C11" s="44" t="s">
        <v>817</v>
      </c>
      <c r="D11" s="46" t="s">
        <v>885</v>
      </c>
      <c r="E11" s="46" t="s">
        <v>886</v>
      </c>
      <c r="F11" s="47">
        <v>1</v>
      </c>
      <c r="G11" s="47">
        <v>0</v>
      </c>
      <c r="H11" s="47">
        <v>0</v>
      </c>
      <c r="I11" s="47">
        <v>1</v>
      </c>
      <c r="J11" s="47">
        <v>1513</v>
      </c>
      <c r="K11" s="73">
        <v>0</v>
      </c>
      <c r="L11" s="47">
        <v>1513</v>
      </c>
      <c r="M11" s="47">
        <v>1924</v>
      </c>
    </row>
    <row r="12" spans="1:13" ht="15.75" thickBot="1" x14ac:dyDescent="0.3">
      <c r="A12" s="44" t="s">
        <v>915</v>
      </c>
      <c r="B12" s="45" t="s">
        <v>916</v>
      </c>
      <c r="C12" s="44" t="s">
        <v>817</v>
      </c>
      <c r="D12" s="46" t="s">
        <v>885</v>
      </c>
      <c r="E12" s="46" t="s">
        <v>886</v>
      </c>
      <c r="F12" s="47">
        <v>1</v>
      </c>
      <c r="G12" s="47">
        <v>0</v>
      </c>
      <c r="H12" s="47">
        <v>0</v>
      </c>
      <c r="I12" s="47">
        <v>1</v>
      </c>
      <c r="J12" s="47">
        <v>3240</v>
      </c>
      <c r="K12" s="73">
        <v>0</v>
      </c>
      <c r="L12" s="47">
        <v>3240</v>
      </c>
      <c r="M12" s="47">
        <v>1400</v>
      </c>
    </row>
    <row r="13" spans="1:13" ht="15.75" thickBot="1" x14ac:dyDescent="0.3">
      <c r="A13" s="44" t="s">
        <v>929</v>
      </c>
      <c r="B13" s="45" t="s">
        <v>930</v>
      </c>
      <c r="C13" s="44" t="s">
        <v>817</v>
      </c>
      <c r="D13" s="46" t="s">
        <v>844</v>
      </c>
      <c r="E13" s="46" t="s">
        <v>845</v>
      </c>
      <c r="F13" s="47">
        <v>1</v>
      </c>
      <c r="G13" s="47">
        <v>0</v>
      </c>
      <c r="H13" s="47">
        <v>0</v>
      </c>
      <c r="I13" s="47">
        <v>1</v>
      </c>
      <c r="J13" s="47">
        <v>2331</v>
      </c>
      <c r="K13" s="73">
        <v>0</v>
      </c>
      <c r="L13" s="47">
        <v>2331</v>
      </c>
      <c r="M13" s="47">
        <v>801</v>
      </c>
    </row>
    <row r="14" spans="1:13" ht="15.75" thickBot="1" x14ac:dyDescent="0.3">
      <c r="A14" s="44" t="s">
        <v>939</v>
      </c>
      <c r="B14" s="45" t="s">
        <v>940</v>
      </c>
      <c r="C14" s="44" t="s">
        <v>817</v>
      </c>
      <c r="D14" s="46" t="s">
        <v>799</v>
      </c>
      <c r="E14" s="46" t="s">
        <v>800</v>
      </c>
      <c r="F14" s="47">
        <v>1</v>
      </c>
      <c r="G14" s="47">
        <v>0</v>
      </c>
      <c r="H14" s="47">
        <v>0</v>
      </c>
      <c r="I14" s="47">
        <v>1</v>
      </c>
      <c r="J14" s="47">
        <v>5300</v>
      </c>
      <c r="K14" s="73">
        <v>0</v>
      </c>
      <c r="L14" s="47">
        <v>5300</v>
      </c>
      <c r="M14" s="47">
        <v>2340</v>
      </c>
    </row>
    <row r="15" spans="1:13" ht="15.75" thickBot="1" x14ac:dyDescent="0.3">
      <c r="A15" s="44" t="s">
        <v>947</v>
      </c>
      <c r="B15" s="45" t="s">
        <v>948</v>
      </c>
      <c r="C15" s="44" t="s">
        <v>817</v>
      </c>
      <c r="D15" s="46" t="s">
        <v>844</v>
      </c>
      <c r="E15" s="46" t="s">
        <v>845</v>
      </c>
      <c r="F15" s="47">
        <v>1</v>
      </c>
      <c r="G15" s="47">
        <v>0</v>
      </c>
      <c r="H15" s="47">
        <v>0</v>
      </c>
      <c r="I15" s="47">
        <v>1</v>
      </c>
      <c r="J15" s="47">
        <v>3248</v>
      </c>
      <c r="K15" s="73">
        <v>0</v>
      </c>
      <c r="L15" s="47">
        <v>3248</v>
      </c>
      <c r="M15" s="47">
        <v>1756</v>
      </c>
    </row>
    <row r="16" spans="1:13" ht="15.75" thickBot="1" x14ac:dyDescent="0.3">
      <c r="A16" s="44" t="s">
        <v>959</v>
      </c>
      <c r="B16" s="45" t="s">
        <v>960</v>
      </c>
      <c r="C16" s="44" t="s">
        <v>817</v>
      </c>
      <c r="D16" s="46" t="s">
        <v>844</v>
      </c>
      <c r="E16" s="46" t="s">
        <v>845</v>
      </c>
      <c r="F16" s="47">
        <v>1</v>
      </c>
      <c r="G16" s="47">
        <v>0</v>
      </c>
      <c r="H16" s="47">
        <v>0</v>
      </c>
      <c r="I16" s="47">
        <v>1</v>
      </c>
      <c r="J16" s="47">
        <v>6900</v>
      </c>
      <c r="K16" s="73">
        <v>0</v>
      </c>
      <c r="L16" s="47">
        <v>6900</v>
      </c>
      <c r="M16" s="47">
        <v>2236</v>
      </c>
    </row>
    <row r="17" spans="1:13" ht="15.75" thickBot="1" x14ac:dyDescent="0.3">
      <c r="A17" s="44" t="s">
        <v>967</v>
      </c>
      <c r="B17" s="45" t="s">
        <v>968</v>
      </c>
      <c r="C17" s="44" t="s">
        <v>817</v>
      </c>
      <c r="D17" s="46" t="s">
        <v>844</v>
      </c>
      <c r="E17" s="46" t="s">
        <v>845</v>
      </c>
      <c r="F17" s="47">
        <v>1</v>
      </c>
      <c r="G17" s="47">
        <v>0</v>
      </c>
      <c r="H17" s="47">
        <v>0</v>
      </c>
      <c r="I17" s="47">
        <v>1</v>
      </c>
      <c r="J17" s="47">
        <v>8312</v>
      </c>
      <c r="K17" s="73">
        <v>0</v>
      </c>
      <c r="L17" s="47">
        <v>8312</v>
      </c>
      <c r="M17" s="47">
        <v>1872</v>
      </c>
    </row>
    <row r="18" spans="1:13" ht="15.75" thickBot="1" x14ac:dyDescent="0.3">
      <c r="A18" s="44" t="s">
        <v>969</v>
      </c>
      <c r="B18" s="45" t="s">
        <v>970</v>
      </c>
      <c r="C18" s="44" t="s">
        <v>817</v>
      </c>
      <c r="D18" s="46" t="s">
        <v>844</v>
      </c>
      <c r="E18" s="46" t="s">
        <v>845</v>
      </c>
      <c r="F18" s="47">
        <v>1</v>
      </c>
      <c r="G18" s="47">
        <v>0</v>
      </c>
      <c r="H18" s="47">
        <v>0</v>
      </c>
      <c r="I18" s="47">
        <v>1</v>
      </c>
      <c r="J18" s="47">
        <v>3440</v>
      </c>
      <c r="K18" s="73">
        <v>0</v>
      </c>
      <c r="L18" s="47">
        <v>3440</v>
      </c>
      <c r="M18" s="47">
        <v>2017</v>
      </c>
    </row>
    <row r="19" spans="1:13" ht="15.75" thickBot="1" x14ac:dyDescent="0.3">
      <c r="A19" s="44" t="s">
        <v>985</v>
      </c>
      <c r="B19" s="45" t="s">
        <v>986</v>
      </c>
      <c r="C19" s="44" t="s">
        <v>817</v>
      </c>
      <c r="D19" s="46" t="s">
        <v>804</v>
      </c>
      <c r="E19" s="46" t="s">
        <v>805</v>
      </c>
      <c r="F19" s="47">
        <v>1</v>
      </c>
      <c r="G19" s="47">
        <v>1</v>
      </c>
      <c r="H19" s="47">
        <v>0</v>
      </c>
      <c r="I19" s="47">
        <v>2</v>
      </c>
      <c r="J19" s="47">
        <v>3000</v>
      </c>
      <c r="K19" s="73">
        <v>2060</v>
      </c>
      <c r="L19" s="47">
        <v>5060</v>
      </c>
      <c r="M19" s="47">
        <v>2613</v>
      </c>
    </row>
    <row r="20" spans="1:13" ht="15.75" thickBot="1" x14ac:dyDescent="0.3">
      <c r="A20" s="44" t="s">
        <v>987</v>
      </c>
      <c r="B20" s="45" t="s">
        <v>988</v>
      </c>
      <c r="C20" s="44" t="s">
        <v>817</v>
      </c>
      <c r="D20" s="46" t="s">
        <v>844</v>
      </c>
      <c r="E20" s="46" t="s">
        <v>845</v>
      </c>
      <c r="F20" s="47">
        <v>1</v>
      </c>
      <c r="G20" s="47">
        <v>0</v>
      </c>
      <c r="H20" s="47">
        <v>0</v>
      </c>
      <c r="I20" s="47">
        <v>1</v>
      </c>
      <c r="J20" s="47">
        <v>4144</v>
      </c>
      <c r="K20" s="73">
        <v>0</v>
      </c>
      <c r="L20" s="47">
        <v>4144</v>
      </c>
      <c r="M20" s="47">
        <v>1222</v>
      </c>
    </row>
    <row r="21" spans="1:13" ht="15.75" thickBot="1" x14ac:dyDescent="0.3">
      <c r="A21" s="44" t="s">
        <v>989</v>
      </c>
      <c r="B21" s="45" t="s">
        <v>990</v>
      </c>
      <c r="C21" s="44" t="s">
        <v>817</v>
      </c>
      <c r="D21" s="46" t="s">
        <v>799</v>
      </c>
      <c r="E21" s="46" t="s">
        <v>800</v>
      </c>
      <c r="F21" s="47">
        <v>1</v>
      </c>
      <c r="G21" s="47">
        <v>0</v>
      </c>
      <c r="H21" s="47">
        <v>0</v>
      </c>
      <c r="I21" s="47">
        <v>1</v>
      </c>
      <c r="J21" s="47">
        <v>4580</v>
      </c>
      <c r="K21" s="73">
        <v>0</v>
      </c>
      <c r="L21" s="47">
        <v>4580</v>
      </c>
      <c r="M21" s="47">
        <v>2533</v>
      </c>
    </row>
    <row r="22" spans="1:13" ht="15.75" thickBot="1" x14ac:dyDescent="0.3">
      <c r="A22" s="44" t="s">
        <v>991</v>
      </c>
      <c r="B22" s="45" t="s">
        <v>992</v>
      </c>
      <c r="C22" s="44" t="s">
        <v>817</v>
      </c>
      <c r="D22" s="46" t="s">
        <v>799</v>
      </c>
      <c r="E22" s="46" t="s">
        <v>800</v>
      </c>
      <c r="F22" s="47">
        <v>1</v>
      </c>
      <c r="G22" s="47">
        <v>0</v>
      </c>
      <c r="H22" s="47">
        <v>0</v>
      </c>
      <c r="I22" s="47">
        <v>1</v>
      </c>
      <c r="J22" s="47">
        <v>3796</v>
      </c>
      <c r="K22" s="73">
        <v>0</v>
      </c>
      <c r="L22" s="47">
        <v>3796</v>
      </c>
      <c r="M22" s="47">
        <v>1150</v>
      </c>
    </row>
    <row r="23" spans="1:13" ht="15.75" thickBot="1" x14ac:dyDescent="0.3">
      <c r="A23" s="44" t="s">
        <v>993</v>
      </c>
      <c r="B23" s="45" t="s">
        <v>994</v>
      </c>
      <c r="C23" s="44" t="s">
        <v>817</v>
      </c>
      <c r="D23" s="46" t="s">
        <v>804</v>
      </c>
      <c r="E23" s="46" t="s">
        <v>805</v>
      </c>
      <c r="F23" s="47">
        <v>1</v>
      </c>
      <c r="G23" s="47">
        <v>0</v>
      </c>
      <c r="H23" s="47">
        <v>0</v>
      </c>
      <c r="I23" s="47">
        <v>1</v>
      </c>
      <c r="J23" s="47">
        <v>3000</v>
      </c>
      <c r="K23" s="73">
        <v>0</v>
      </c>
      <c r="L23" s="47">
        <v>3000</v>
      </c>
      <c r="M23" s="47">
        <v>1716</v>
      </c>
    </row>
    <row r="24" spans="1:13" ht="15.75" thickBot="1" x14ac:dyDescent="0.3">
      <c r="A24" s="44" t="s">
        <v>1039</v>
      </c>
      <c r="B24" s="45" t="s">
        <v>1040</v>
      </c>
      <c r="C24" s="44" t="s">
        <v>817</v>
      </c>
      <c r="D24" s="46" t="s">
        <v>844</v>
      </c>
      <c r="E24" s="46" t="s">
        <v>845</v>
      </c>
      <c r="F24" s="47">
        <v>1</v>
      </c>
      <c r="G24" s="47">
        <v>0</v>
      </c>
      <c r="H24" s="47">
        <v>0</v>
      </c>
      <c r="I24" s="47">
        <v>1</v>
      </c>
      <c r="J24" s="47">
        <v>912</v>
      </c>
      <c r="K24" s="73">
        <v>0</v>
      </c>
      <c r="L24" s="47">
        <v>912</v>
      </c>
      <c r="M24" s="47">
        <v>1820</v>
      </c>
    </row>
    <row r="25" spans="1:13" ht="15.75" thickBot="1" x14ac:dyDescent="0.3">
      <c r="A25" s="44" t="s">
        <v>1041</v>
      </c>
      <c r="B25" s="45" t="s">
        <v>1042</v>
      </c>
      <c r="C25" s="44" t="s">
        <v>817</v>
      </c>
      <c r="D25" s="46" t="s">
        <v>844</v>
      </c>
      <c r="E25" s="46" t="s">
        <v>845</v>
      </c>
      <c r="F25" s="47">
        <v>1</v>
      </c>
      <c r="G25" s="47">
        <v>0</v>
      </c>
      <c r="H25" s="47">
        <v>0</v>
      </c>
      <c r="I25" s="47">
        <v>1</v>
      </c>
      <c r="J25" s="47">
        <v>3420</v>
      </c>
      <c r="K25" s="73">
        <v>0</v>
      </c>
      <c r="L25" s="47">
        <v>3420</v>
      </c>
      <c r="M25" s="47">
        <v>1042</v>
      </c>
    </row>
    <row r="26" spans="1:13" ht="15.75" thickBot="1" x14ac:dyDescent="0.3">
      <c r="A26" s="44" t="s">
        <v>1049</v>
      </c>
      <c r="B26" s="45" t="s">
        <v>1050</v>
      </c>
      <c r="C26" s="44" t="s">
        <v>817</v>
      </c>
      <c r="D26" s="46" t="s">
        <v>844</v>
      </c>
      <c r="E26" s="46" t="s">
        <v>845</v>
      </c>
      <c r="F26" s="47">
        <v>1</v>
      </c>
      <c r="G26" s="47">
        <v>0</v>
      </c>
      <c r="H26" s="47">
        <v>0</v>
      </c>
      <c r="I26" s="47">
        <v>1</v>
      </c>
      <c r="J26" s="47">
        <v>4288</v>
      </c>
      <c r="K26" s="73">
        <v>0</v>
      </c>
      <c r="L26" s="47">
        <v>4288</v>
      </c>
      <c r="M26" s="47">
        <v>2392</v>
      </c>
    </row>
    <row r="27" spans="1:13" ht="15.75" thickBot="1" x14ac:dyDescent="0.3">
      <c r="A27" s="44" t="s">
        <v>1057</v>
      </c>
      <c r="B27" s="45" t="s">
        <v>1058</v>
      </c>
      <c r="C27" s="44" t="s">
        <v>817</v>
      </c>
      <c r="D27" s="46" t="s">
        <v>799</v>
      </c>
      <c r="E27" s="46" t="s">
        <v>800</v>
      </c>
      <c r="F27" s="47">
        <v>1</v>
      </c>
      <c r="G27" s="47">
        <v>0</v>
      </c>
      <c r="H27" s="47">
        <v>0</v>
      </c>
      <c r="I27" s="47">
        <v>1</v>
      </c>
      <c r="J27" s="47">
        <v>4800</v>
      </c>
      <c r="K27" s="73">
        <v>0</v>
      </c>
      <c r="L27" s="47">
        <v>4800</v>
      </c>
      <c r="M27" s="47">
        <v>2080</v>
      </c>
    </row>
    <row r="28" spans="1:13" ht="15.75" thickBot="1" x14ac:dyDescent="0.3">
      <c r="A28" s="44" t="s">
        <v>1071</v>
      </c>
      <c r="B28" s="45" t="s">
        <v>1072</v>
      </c>
      <c r="C28" s="44" t="s">
        <v>817</v>
      </c>
      <c r="D28" s="46" t="s">
        <v>804</v>
      </c>
      <c r="E28" s="46" t="s">
        <v>805</v>
      </c>
      <c r="F28" s="47">
        <v>1</v>
      </c>
      <c r="G28" s="47">
        <v>0</v>
      </c>
      <c r="H28" s="47">
        <v>0</v>
      </c>
      <c r="I28" s="47">
        <v>1</v>
      </c>
      <c r="J28" s="47">
        <v>1870</v>
      </c>
      <c r="K28" s="73">
        <v>0</v>
      </c>
      <c r="L28" s="47">
        <v>1870</v>
      </c>
      <c r="M28" s="47">
        <v>2200</v>
      </c>
    </row>
    <row r="29" spans="1:13" ht="15.75" thickBot="1" x14ac:dyDescent="0.3">
      <c r="A29" s="44" t="s">
        <v>1083</v>
      </c>
      <c r="B29" s="45" t="s">
        <v>1084</v>
      </c>
      <c r="C29" s="44" t="s">
        <v>817</v>
      </c>
      <c r="D29" s="46" t="s">
        <v>844</v>
      </c>
      <c r="E29" s="46" t="s">
        <v>845</v>
      </c>
      <c r="F29" s="47">
        <v>1</v>
      </c>
      <c r="G29" s="47">
        <v>0</v>
      </c>
      <c r="H29" s="47">
        <v>0</v>
      </c>
      <c r="I29" s="47">
        <v>1</v>
      </c>
      <c r="J29" s="47">
        <v>4290</v>
      </c>
      <c r="K29" s="73">
        <v>0</v>
      </c>
      <c r="L29" s="47">
        <v>4290</v>
      </c>
      <c r="M29" s="47">
        <v>2080</v>
      </c>
    </row>
    <row r="30" spans="1:13" ht="15.75" thickBot="1" x14ac:dyDescent="0.3">
      <c r="A30" s="44" t="s">
        <v>1091</v>
      </c>
      <c r="B30" s="45" t="s">
        <v>1092</v>
      </c>
      <c r="C30" s="44" t="s">
        <v>817</v>
      </c>
      <c r="D30" s="46" t="s">
        <v>844</v>
      </c>
      <c r="E30" s="46" t="s">
        <v>845</v>
      </c>
      <c r="F30" s="47">
        <v>1</v>
      </c>
      <c r="G30" s="47">
        <v>0</v>
      </c>
      <c r="H30" s="47">
        <v>0</v>
      </c>
      <c r="I30" s="47">
        <v>1</v>
      </c>
      <c r="J30" s="47">
        <v>1738</v>
      </c>
      <c r="K30" s="73">
        <v>0</v>
      </c>
      <c r="L30" s="47">
        <v>1738</v>
      </c>
      <c r="M30" s="47">
        <v>1040</v>
      </c>
    </row>
    <row r="31" spans="1:13" ht="15.75" thickBot="1" x14ac:dyDescent="0.3">
      <c r="A31" s="44" t="s">
        <v>1099</v>
      </c>
      <c r="B31" s="45" t="s">
        <v>1100</v>
      </c>
      <c r="C31" s="44" t="s">
        <v>817</v>
      </c>
      <c r="D31" s="46" t="s">
        <v>799</v>
      </c>
      <c r="E31" s="46" t="s">
        <v>800</v>
      </c>
      <c r="F31" s="47">
        <v>1</v>
      </c>
      <c r="G31" s="47">
        <v>0</v>
      </c>
      <c r="H31" s="47">
        <v>0</v>
      </c>
      <c r="I31" s="47">
        <v>1</v>
      </c>
      <c r="J31" s="47">
        <v>3400</v>
      </c>
      <c r="K31" s="73">
        <v>0</v>
      </c>
      <c r="L31" s="47">
        <v>3400</v>
      </c>
      <c r="M31" s="47">
        <v>2392</v>
      </c>
    </row>
    <row r="32" spans="1:13" ht="15.75" thickBot="1" x14ac:dyDescent="0.3">
      <c r="A32" s="44" t="s">
        <v>1101</v>
      </c>
      <c r="B32" s="45" t="s">
        <v>1102</v>
      </c>
      <c r="C32" s="44" t="s">
        <v>817</v>
      </c>
      <c r="D32" s="46" t="s">
        <v>804</v>
      </c>
      <c r="E32" s="46" t="s">
        <v>805</v>
      </c>
      <c r="F32" s="47">
        <v>1</v>
      </c>
      <c r="G32" s="47">
        <v>0</v>
      </c>
      <c r="H32" s="47">
        <v>0</v>
      </c>
      <c r="I32" s="47">
        <v>1</v>
      </c>
      <c r="J32" s="47">
        <v>2500</v>
      </c>
      <c r="K32" s="73">
        <v>0</v>
      </c>
      <c r="L32" s="47">
        <v>2500</v>
      </c>
      <c r="M32" s="47">
        <v>1040</v>
      </c>
    </row>
    <row r="33" spans="1:13" ht="15.75" thickBot="1" x14ac:dyDescent="0.3">
      <c r="A33" s="44" t="s">
        <v>1149</v>
      </c>
      <c r="B33" s="45" t="s">
        <v>1150</v>
      </c>
      <c r="C33" s="44" t="s">
        <v>817</v>
      </c>
      <c r="D33" s="46" t="s">
        <v>799</v>
      </c>
      <c r="E33" s="46" t="s">
        <v>800</v>
      </c>
      <c r="F33" s="47">
        <v>1</v>
      </c>
      <c r="G33" s="47">
        <v>0</v>
      </c>
      <c r="H33" s="47">
        <v>0</v>
      </c>
      <c r="I33" s="47">
        <v>1</v>
      </c>
      <c r="J33" s="47">
        <v>6400</v>
      </c>
      <c r="K33" s="73">
        <v>0</v>
      </c>
      <c r="L33" s="47">
        <v>6400</v>
      </c>
      <c r="M33" s="47">
        <v>2185</v>
      </c>
    </row>
    <row r="34" spans="1:13" ht="15.75" thickBot="1" x14ac:dyDescent="0.3">
      <c r="A34" s="44" t="s">
        <v>1165</v>
      </c>
      <c r="B34" s="45" t="s">
        <v>1166</v>
      </c>
      <c r="C34" s="44" t="s">
        <v>817</v>
      </c>
      <c r="D34" s="46" t="s">
        <v>804</v>
      </c>
      <c r="E34" s="46" t="s">
        <v>805</v>
      </c>
      <c r="F34" s="47">
        <v>1</v>
      </c>
      <c r="G34" s="47">
        <v>0</v>
      </c>
      <c r="H34" s="47">
        <v>0</v>
      </c>
      <c r="I34" s="47">
        <v>1</v>
      </c>
      <c r="J34" s="47">
        <v>5000</v>
      </c>
      <c r="K34" s="73">
        <v>0</v>
      </c>
      <c r="L34" s="47">
        <v>5000</v>
      </c>
      <c r="M34" s="47">
        <v>1820</v>
      </c>
    </row>
    <row r="35" spans="1:13" ht="15.75" thickBot="1" x14ac:dyDescent="0.3">
      <c r="A35" s="44" t="s">
        <v>1195</v>
      </c>
      <c r="B35" s="45" t="s">
        <v>1196</v>
      </c>
      <c r="C35" s="44" t="s">
        <v>817</v>
      </c>
      <c r="D35" s="46" t="s">
        <v>804</v>
      </c>
      <c r="E35" s="46" t="s">
        <v>805</v>
      </c>
      <c r="F35" s="47">
        <v>1</v>
      </c>
      <c r="G35" s="47">
        <v>0</v>
      </c>
      <c r="H35" s="47">
        <v>0</v>
      </c>
      <c r="I35" s="47">
        <v>1</v>
      </c>
      <c r="J35" s="47">
        <v>3100</v>
      </c>
      <c r="K35" s="73">
        <v>0</v>
      </c>
      <c r="L35" s="47">
        <v>3100</v>
      </c>
      <c r="M35" s="47">
        <v>2019</v>
      </c>
    </row>
    <row r="36" spans="1:13" ht="15.75" thickBot="1" x14ac:dyDescent="0.3">
      <c r="A36" s="44" t="s">
        <v>1203</v>
      </c>
      <c r="B36" s="45" t="s">
        <v>1204</v>
      </c>
      <c r="C36" s="44" t="s">
        <v>817</v>
      </c>
      <c r="D36" s="46" t="s">
        <v>885</v>
      </c>
      <c r="E36" s="46" t="s">
        <v>886</v>
      </c>
      <c r="F36" s="47">
        <v>1</v>
      </c>
      <c r="G36" s="47">
        <v>0</v>
      </c>
      <c r="H36" s="47">
        <v>0</v>
      </c>
      <c r="I36" s="47">
        <v>1</v>
      </c>
      <c r="J36" s="47">
        <v>1715</v>
      </c>
      <c r="K36" s="73">
        <v>0</v>
      </c>
      <c r="L36" s="47">
        <v>1715</v>
      </c>
      <c r="M36" s="47">
        <v>1110</v>
      </c>
    </row>
    <row r="37" spans="1:13" ht="15.75" thickBot="1" x14ac:dyDescent="0.3">
      <c r="A37" s="44" t="s">
        <v>1205</v>
      </c>
      <c r="B37" s="45" t="s">
        <v>1206</v>
      </c>
      <c r="C37" s="44" t="s">
        <v>817</v>
      </c>
      <c r="D37" s="46" t="s">
        <v>1037</v>
      </c>
      <c r="E37" s="46" t="s">
        <v>1038</v>
      </c>
      <c r="F37" s="47">
        <v>1</v>
      </c>
      <c r="G37" s="47">
        <v>0</v>
      </c>
      <c r="H37" s="47">
        <v>0</v>
      </c>
      <c r="I37" s="47">
        <v>1</v>
      </c>
      <c r="J37" s="47">
        <v>4932</v>
      </c>
      <c r="K37" s="73">
        <v>0</v>
      </c>
      <c r="L37" s="47">
        <v>4932</v>
      </c>
      <c r="M37" s="47">
        <v>1976</v>
      </c>
    </row>
    <row r="38" spans="1:13" ht="15.75" thickBot="1" x14ac:dyDescent="0.3">
      <c r="A38" s="44" t="s">
        <v>1209</v>
      </c>
      <c r="B38" s="45" t="s">
        <v>1210</v>
      </c>
      <c r="C38" s="44" t="s">
        <v>817</v>
      </c>
      <c r="D38" s="46" t="s">
        <v>844</v>
      </c>
      <c r="E38" s="46" t="s">
        <v>845</v>
      </c>
      <c r="F38" s="47">
        <v>1</v>
      </c>
      <c r="G38" s="47">
        <v>0</v>
      </c>
      <c r="H38" s="47">
        <v>0</v>
      </c>
      <c r="I38" s="47">
        <v>1</v>
      </c>
      <c r="J38" s="47">
        <v>2800</v>
      </c>
      <c r="K38" s="73">
        <v>0</v>
      </c>
      <c r="L38" s="47">
        <v>2800</v>
      </c>
      <c r="M38" s="47">
        <v>1820</v>
      </c>
    </row>
    <row r="39" spans="1:13" ht="15.75" thickBot="1" x14ac:dyDescent="0.3">
      <c r="A39" s="44" t="s">
        <v>1219</v>
      </c>
      <c r="B39" s="45" t="s">
        <v>1220</v>
      </c>
      <c r="C39" s="44" t="s">
        <v>817</v>
      </c>
      <c r="D39" s="46" t="s">
        <v>804</v>
      </c>
      <c r="E39" s="46" t="s">
        <v>805</v>
      </c>
      <c r="F39" s="47">
        <v>1</v>
      </c>
      <c r="G39" s="47">
        <v>0</v>
      </c>
      <c r="H39" s="47">
        <v>0</v>
      </c>
      <c r="I39" s="47">
        <v>1</v>
      </c>
      <c r="J39" s="47">
        <v>1980</v>
      </c>
      <c r="K39" s="73">
        <v>0</v>
      </c>
      <c r="L39" s="47">
        <v>1980</v>
      </c>
      <c r="M39" s="47">
        <v>1352</v>
      </c>
    </row>
    <row r="40" spans="1:13" ht="15.75" thickBot="1" x14ac:dyDescent="0.3">
      <c r="A40" s="44" t="s">
        <v>1225</v>
      </c>
      <c r="B40" s="45" t="s">
        <v>1226</v>
      </c>
      <c r="C40" s="44" t="s">
        <v>817</v>
      </c>
      <c r="D40" s="46" t="s">
        <v>844</v>
      </c>
      <c r="E40" s="46" t="s">
        <v>845</v>
      </c>
      <c r="F40" s="47">
        <v>1</v>
      </c>
      <c r="G40" s="47">
        <v>0</v>
      </c>
      <c r="H40" s="47">
        <v>0</v>
      </c>
      <c r="I40" s="47">
        <v>1</v>
      </c>
      <c r="J40" s="47">
        <v>1000</v>
      </c>
      <c r="K40" s="73">
        <v>0</v>
      </c>
      <c r="L40" s="47">
        <v>1000</v>
      </c>
      <c r="M40" s="47">
        <v>1584</v>
      </c>
    </row>
    <row r="41" spans="1:13" ht="15.75" thickBot="1" x14ac:dyDescent="0.3">
      <c r="A41" s="44" t="s">
        <v>1237</v>
      </c>
      <c r="B41" s="45" t="s">
        <v>1238</v>
      </c>
      <c r="C41" s="44" t="s">
        <v>817</v>
      </c>
      <c r="D41" s="46" t="s">
        <v>1037</v>
      </c>
      <c r="E41" s="46" t="s">
        <v>1038</v>
      </c>
      <c r="F41" s="47">
        <v>1</v>
      </c>
      <c r="G41" s="47">
        <v>0</v>
      </c>
      <c r="H41" s="47">
        <v>0</v>
      </c>
      <c r="I41" s="47">
        <v>1</v>
      </c>
      <c r="J41" s="47">
        <v>2200</v>
      </c>
      <c r="K41" s="73">
        <v>0</v>
      </c>
      <c r="L41" s="47">
        <v>2200</v>
      </c>
      <c r="M41" s="47">
        <v>1716</v>
      </c>
    </row>
    <row r="42" spans="1:13" ht="15.75" thickBot="1" x14ac:dyDescent="0.3">
      <c r="A42" s="44" t="s">
        <v>1243</v>
      </c>
      <c r="B42" s="45" t="s">
        <v>1244</v>
      </c>
      <c r="C42" s="44" t="s">
        <v>817</v>
      </c>
      <c r="D42" s="46" t="s">
        <v>844</v>
      </c>
      <c r="E42" s="46" t="s">
        <v>845</v>
      </c>
      <c r="F42" s="47">
        <v>1</v>
      </c>
      <c r="G42" s="47">
        <v>0</v>
      </c>
      <c r="H42" s="47">
        <v>0</v>
      </c>
      <c r="I42" s="47">
        <v>1</v>
      </c>
      <c r="J42" s="47">
        <v>3360</v>
      </c>
      <c r="K42" s="73">
        <v>0</v>
      </c>
      <c r="L42" s="47">
        <v>3360</v>
      </c>
      <c r="M42" s="47">
        <v>1870</v>
      </c>
    </row>
    <row r="43" spans="1:13" ht="15.75" thickBot="1" x14ac:dyDescent="0.3">
      <c r="A43" s="44" t="s">
        <v>1259</v>
      </c>
      <c r="B43" s="45" t="s">
        <v>1260</v>
      </c>
      <c r="C43" s="44" t="s">
        <v>817</v>
      </c>
      <c r="D43" s="46" t="s">
        <v>799</v>
      </c>
      <c r="E43" s="46" t="s">
        <v>800</v>
      </c>
      <c r="F43" s="47">
        <v>1</v>
      </c>
      <c r="G43" s="47">
        <v>0</v>
      </c>
      <c r="H43" s="47">
        <v>0</v>
      </c>
      <c r="I43" s="47">
        <v>1</v>
      </c>
      <c r="J43" s="47">
        <v>1800</v>
      </c>
      <c r="K43" s="73">
        <v>0</v>
      </c>
      <c r="L43" s="47">
        <v>1800</v>
      </c>
      <c r="M43" s="47">
        <v>1233</v>
      </c>
    </row>
    <row r="44" spans="1:13" ht="15.75" thickBot="1" x14ac:dyDescent="0.3">
      <c r="A44" s="44" t="s">
        <v>1275</v>
      </c>
      <c r="B44" s="45" t="s">
        <v>1276</v>
      </c>
      <c r="C44" s="44" t="s">
        <v>817</v>
      </c>
      <c r="D44" s="46" t="s">
        <v>844</v>
      </c>
      <c r="E44" s="46" t="s">
        <v>845</v>
      </c>
      <c r="F44" s="47">
        <v>1</v>
      </c>
      <c r="G44" s="47">
        <v>0</v>
      </c>
      <c r="H44" s="47">
        <v>0</v>
      </c>
      <c r="I44" s="47">
        <v>1</v>
      </c>
      <c r="J44" s="47">
        <v>1500</v>
      </c>
      <c r="K44" s="73">
        <v>0</v>
      </c>
      <c r="L44" s="47">
        <v>1500</v>
      </c>
      <c r="M44" s="47">
        <v>1196</v>
      </c>
    </row>
    <row r="45" spans="1:13" ht="15.75" thickBot="1" x14ac:dyDescent="0.3">
      <c r="A45" s="44" t="s">
        <v>1283</v>
      </c>
      <c r="B45" s="45" t="s">
        <v>1284</v>
      </c>
      <c r="C45" s="44" t="s">
        <v>817</v>
      </c>
      <c r="D45" s="46" t="s">
        <v>799</v>
      </c>
      <c r="E45" s="46" t="s">
        <v>800</v>
      </c>
      <c r="F45" s="47">
        <v>1</v>
      </c>
      <c r="G45" s="47">
        <v>0</v>
      </c>
      <c r="H45" s="47">
        <v>0</v>
      </c>
      <c r="I45" s="47">
        <v>1</v>
      </c>
      <c r="J45" s="47">
        <v>3125</v>
      </c>
      <c r="K45" s="73">
        <v>0</v>
      </c>
      <c r="L45" s="47">
        <v>3125</v>
      </c>
      <c r="M45" s="47">
        <v>1474</v>
      </c>
    </row>
    <row r="46" spans="1:13" ht="15.75" thickBot="1" x14ac:dyDescent="0.3">
      <c r="A46" s="44" t="s">
        <v>1303</v>
      </c>
      <c r="B46" s="45" t="s">
        <v>1304</v>
      </c>
      <c r="C46" s="44" t="s">
        <v>817</v>
      </c>
      <c r="D46" s="46" t="s">
        <v>844</v>
      </c>
      <c r="E46" s="46" t="s">
        <v>845</v>
      </c>
      <c r="F46" s="47">
        <v>1</v>
      </c>
      <c r="G46" s="47">
        <v>0</v>
      </c>
      <c r="H46" s="47">
        <v>0</v>
      </c>
      <c r="I46" s="47">
        <v>1</v>
      </c>
      <c r="J46" s="47">
        <v>3444</v>
      </c>
      <c r="K46" s="73">
        <v>0</v>
      </c>
      <c r="L46" s="47">
        <v>3444</v>
      </c>
      <c r="M46" s="47">
        <v>970</v>
      </c>
    </row>
    <row r="47" spans="1:13" ht="15.75" thickBot="1" x14ac:dyDescent="0.3">
      <c r="A47" s="44" t="s">
        <v>1319</v>
      </c>
      <c r="B47" s="45" t="s">
        <v>1320</v>
      </c>
      <c r="C47" s="44" t="s">
        <v>817</v>
      </c>
      <c r="D47" s="46" t="s">
        <v>804</v>
      </c>
      <c r="E47" s="46" t="s">
        <v>805</v>
      </c>
      <c r="F47" s="47">
        <v>1</v>
      </c>
      <c r="G47" s="47">
        <v>0</v>
      </c>
      <c r="H47" s="47">
        <v>0</v>
      </c>
      <c r="I47" s="47">
        <v>1</v>
      </c>
      <c r="J47" s="47">
        <v>6300</v>
      </c>
      <c r="K47" s="73">
        <v>0</v>
      </c>
      <c r="L47" s="47">
        <v>6300</v>
      </c>
      <c r="M47" s="47">
        <v>2340</v>
      </c>
    </row>
    <row r="48" spans="1:13" ht="15.75" thickBot="1" x14ac:dyDescent="0.3">
      <c r="A48" s="44" t="s">
        <v>1333</v>
      </c>
      <c r="B48" s="45" t="s">
        <v>1334</v>
      </c>
      <c r="C48" s="44" t="s">
        <v>817</v>
      </c>
      <c r="D48" s="46" t="s">
        <v>895</v>
      </c>
      <c r="E48" s="46" t="s">
        <v>896</v>
      </c>
      <c r="F48" s="47">
        <v>1</v>
      </c>
      <c r="G48" s="47">
        <v>1</v>
      </c>
      <c r="H48" s="47">
        <v>0</v>
      </c>
      <c r="I48" s="47">
        <v>2</v>
      </c>
      <c r="J48" s="47">
        <v>3285</v>
      </c>
      <c r="K48" s="73">
        <v>980</v>
      </c>
      <c r="L48" s="47">
        <v>4265</v>
      </c>
      <c r="M48" s="47">
        <v>2548</v>
      </c>
    </row>
    <row r="49" spans="1:13" ht="15.75" thickBot="1" x14ac:dyDescent="0.3">
      <c r="A49" s="44" t="s">
        <v>1337</v>
      </c>
      <c r="B49" s="45" t="s">
        <v>1338</v>
      </c>
      <c r="C49" s="44" t="s">
        <v>817</v>
      </c>
      <c r="D49" s="46" t="s">
        <v>804</v>
      </c>
      <c r="E49" s="46" t="s">
        <v>805</v>
      </c>
      <c r="F49" s="47">
        <v>1</v>
      </c>
      <c r="G49" s="47">
        <v>0</v>
      </c>
      <c r="H49" s="47">
        <v>0</v>
      </c>
      <c r="I49" s="47">
        <v>1</v>
      </c>
      <c r="J49" s="47">
        <v>1800</v>
      </c>
      <c r="K49" s="73">
        <v>0</v>
      </c>
      <c r="L49" s="47">
        <v>1800</v>
      </c>
      <c r="M49" s="47">
        <v>700</v>
      </c>
    </row>
    <row r="50" spans="1:13" ht="15.75" thickBot="1" x14ac:dyDescent="0.3">
      <c r="A50" s="44" t="s">
        <v>1359</v>
      </c>
      <c r="B50" s="45" t="s">
        <v>1360</v>
      </c>
      <c r="C50" s="44" t="s">
        <v>817</v>
      </c>
      <c r="D50" s="46" t="s">
        <v>844</v>
      </c>
      <c r="E50" s="46" t="s">
        <v>845</v>
      </c>
      <c r="F50" s="47">
        <v>1</v>
      </c>
      <c r="G50" s="47">
        <v>0</v>
      </c>
      <c r="H50" s="47">
        <v>0</v>
      </c>
      <c r="I50" s="47">
        <v>1</v>
      </c>
      <c r="J50" s="47">
        <v>3175</v>
      </c>
      <c r="K50" s="73">
        <v>0</v>
      </c>
      <c r="L50" s="47">
        <v>3175</v>
      </c>
      <c r="M50" s="47">
        <v>2414</v>
      </c>
    </row>
    <row r="51" spans="1:13" ht="15.75" thickBot="1" x14ac:dyDescent="0.3">
      <c r="A51" s="44" t="s">
        <v>1397</v>
      </c>
      <c r="B51" s="45" t="s">
        <v>1398</v>
      </c>
      <c r="C51" s="44" t="s">
        <v>817</v>
      </c>
      <c r="D51" s="46" t="s">
        <v>844</v>
      </c>
      <c r="E51" s="46" t="s">
        <v>845</v>
      </c>
      <c r="F51" s="47">
        <v>1</v>
      </c>
      <c r="G51" s="47">
        <v>0</v>
      </c>
      <c r="H51" s="47">
        <v>0</v>
      </c>
      <c r="I51" s="47">
        <v>1</v>
      </c>
      <c r="J51" s="47">
        <v>1496</v>
      </c>
      <c r="K51" s="73">
        <v>0</v>
      </c>
      <c r="L51" s="47">
        <v>1496</v>
      </c>
      <c r="M51" s="47">
        <v>1462</v>
      </c>
    </row>
    <row r="52" spans="1:13" ht="15.75" thickBot="1" x14ac:dyDescent="0.3">
      <c r="A52" s="44" t="s">
        <v>1407</v>
      </c>
      <c r="B52" s="45" t="s">
        <v>1408</v>
      </c>
      <c r="C52" s="44" t="s">
        <v>817</v>
      </c>
      <c r="D52" s="46" t="s">
        <v>804</v>
      </c>
      <c r="E52" s="46" t="s">
        <v>805</v>
      </c>
      <c r="F52" s="47">
        <v>1</v>
      </c>
      <c r="G52" s="47">
        <v>0</v>
      </c>
      <c r="H52" s="47">
        <v>0</v>
      </c>
      <c r="I52" s="47">
        <v>1</v>
      </c>
      <c r="J52" s="47">
        <v>2538</v>
      </c>
      <c r="K52" s="73">
        <v>0</v>
      </c>
      <c r="L52" s="47">
        <v>2538</v>
      </c>
      <c r="M52" s="47">
        <v>520</v>
      </c>
    </row>
    <row r="53" spans="1:13" ht="15.75" thickBot="1" x14ac:dyDescent="0.3">
      <c r="A53" s="44" t="s">
        <v>1409</v>
      </c>
      <c r="B53" s="45" t="s">
        <v>1410</v>
      </c>
      <c r="C53" s="44" t="s">
        <v>817</v>
      </c>
      <c r="D53" s="46" t="s">
        <v>844</v>
      </c>
      <c r="E53" s="46" t="s">
        <v>845</v>
      </c>
      <c r="F53" s="47">
        <v>1</v>
      </c>
      <c r="G53" s="47">
        <v>0</v>
      </c>
      <c r="H53" s="47">
        <v>0</v>
      </c>
      <c r="I53" s="47">
        <v>1</v>
      </c>
      <c r="J53" s="47">
        <v>1800</v>
      </c>
      <c r="K53" s="73">
        <v>0</v>
      </c>
      <c r="L53" s="47">
        <v>1800</v>
      </c>
      <c r="M53" s="47">
        <v>2132</v>
      </c>
    </row>
    <row r="54" spans="1:13" ht="15.75" thickBot="1" x14ac:dyDescent="0.3">
      <c r="A54" s="44" t="s">
        <v>1413</v>
      </c>
      <c r="B54" s="45" t="s">
        <v>1414</v>
      </c>
      <c r="C54" s="44" t="s">
        <v>817</v>
      </c>
      <c r="D54" s="46" t="s">
        <v>844</v>
      </c>
      <c r="E54" s="46" t="s">
        <v>845</v>
      </c>
      <c r="F54" s="47">
        <v>1</v>
      </c>
      <c r="G54" s="47">
        <v>0</v>
      </c>
      <c r="H54" s="47">
        <v>0</v>
      </c>
      <c r="I54" s="47">
        <v>1</v>
      </c>
      <c r="J54" s="47">
        <v>3000</v>
      </c>
      <c r="K54" s="73">
        <v>0</v>
      </c>
      <c r="L54" s="47">
        <v>3000</v>
      </c>
      <c r="M54" s="47">
        <v>1461</v>
      </c>
    </row>
    <row r="55" spans="1:13" ht="15.75" thickBot="1" x14ac:dyDescent="0.3">
      <c r="A55" s="44" t="s">
        <v>1415</v>
      </c>
      <c r="B55" s="45" t="s">
        <v>1416</v>
      </c>
      <c r="C55" s="44" t="s">
        <v>817</v>
      </c>
      <c r="D55" s="46" t="s">
        <v>844</v>
      </c>
      <c r="E55" s="46" t="s">
        <v>845</v>
      </c>
      <c r="F55" s="47">
        <v>1</v>
      </c>
      <c r="G55" s="47">
        <v>0</v>
      </c>
      <c r="H55" s="47">
        <v>0</v>
      </c>
      <c r="I55" s="47">
        <v>1</v>
      </c>
      <c r="J55" s="47">
        <v>2106</v>
      </c>
      <c r="K55" s="73">
        <v>0</v>
      </c>
      <c r="L55" s="47">
        <v>2106</v>
      </c>
      <c r="M55" s="47">
        <v>1298</v>
      </c>
    </row>
    <row r="56" spans="1:13" ht="15.75" thickBot="1" x14ac:dyDescent="0.3">
      <c r="A56" s="44" t="s">
        <v>1459</v>
      </c>
      <c r="B56" s="45" t="s">
        <v>1460</v>
      </c>
      <c r="C56" s="44" t="s">
        <v>817</v>
      </c>
      <c r="D56" s="46" t="s">
        <v>1037</v>
      </c>
      <c r="E56" s="46" t="s">
        <v>1038</v>
      </c>
      <c r="F56" s="47">
        <v>1</v>
      </c>
      <c r="G56" s="47">
        <v>0</v>
      </c>
      <c r="H56" s="47">
        <v>0</v>
      </c>
      <c r="I56" s="47">
        <v>1</v>
      </c>
      <c r="J56" s="47">
        <v>7800</v>
      </c>
      <c r="K56" s="73">
        <v>0</v>
      </c>
      <c r="L56" s="47">
        <v>7800</v>
      </c>
      <c r="M56" s="47">
        <v>1821</v>
      </c>
    </row>
    <row r="57" spans="1:13" ht="15.75" thickBot="1" x14ac:dyDescent="0.3">
      <c r="A57" s="44" t="s">
        <v>1465</v>
      </c>
      <c r="B57" s="45" t="s">
        <v>1466</v>
      </c>
      <c r="C57" s="44" t="s">
        <v>817</v>
      </c>
      <c r="D57" s="46" t="s">
        <v>844</v>
      </c>
      <c r="E57" s="46" t="s">
        <v>845</v>
      </c>
      <c r="F57" s="47">
        <v>1</v>
      </c>
      <c r="G57" s="47">
        <v>0</v>
      </c>
      <c r="H57" s="47">
        <v>0</v>
      </c>
      <c r="I57" s="47">
        <v>1</v>
      </c>
      <c r="J57" s="47">
        <v>1556</v>
      </c>
      <c r="K57" s="73">
        <v>0</v>
      </c>
      <c r="L57" s="47">
        <v>1556</v>
      </c>
      <c r="M57" s="47">
        <v>1716</v>
      </c>
    </row>
    <row r="58" spans="1:13" ht="15.75" thickBot="1" x14ac:dyDescent="0.3">
      <c r="A58" s="44" t="s">
        <v>1476</v>
      </c>
      <c r="B58" s="45" t="s">
        <v>1477</v>
      </c>
      <c r="C58" s="44" t="s">
        <v>817</v>
      </c>
      <c r="D58" s="46" t="s">
        <v>1037</v>
      </c>
      <c r="E58" s="46" t="s">
        <v>1038</v>
      </c>
      <c r="F58" s="47">
        <v>1</v>
      </c>
      <c r="G58" s="47">
        <v>0</v>
      </c>
      <c r="H58" s="47">
        <v>0</v>
      </c>
      <c r="I58" s="47">
        <v>1</v>
      </c>
      <c r="J58" s="47">
        <v>3600</v>
      </c>
      <c r="K58" s="73">
        <v>0</v>
      </c>
      <c r="L58" s="47">
        <v>3600</v>
      </c>
      <c r="M58" s="47">
        <v>1986</v>
      </c>
    </row>
    <row r="59" spans="1:13" ht="15.75" thickBot="1" x14ac:dyDescent="0.3">
      <c r="A59" s="44" t="s">
        <v>1478</v>
      </c>
      <c r="B59" s="45" t="s">
        <v>1479</v>
      </c>
      <c r="C59" s="44" t="s">
        <v>817</v>
      </c>
      <c r="D59" s="46" t="s">
        <v>844</v>
      </c>
      <c r="E59" s="46" t="s">
        <v>845</v>
      </c>
      <c r="F59" s="47">
        <v>1</v>
      </c>
      <c r="G59" s="47">
        <v>0</v>
      </c>
      <c r="H59" s="47">
        <v>0</v>
      </c>
      <c r="I59" s="47">
        <v>1</v>
      </c>
      <c r="J59" s="47">
        <v>4200</v>
      </c>
      <c r="K59" s="73">
        <v>0</v>
      </c>
      <c r="L59" s="47">
        <v>4200</v>
      </c>
      <c r="M59" s="47">
        <v>0</v>
      </c>
    </row>
    <row r="60" spans="1:13" ht="15.75" thickBot="1" x14ac:dyDescent="0.3">
      <c r="A60" s="44" t="s">
        <v>1500</v>
      </c>
      <c r="B60" s="45" t="s">
        <v>1501</v>
      </c>
      <c r="C60" s="44" t="s">
        <v>817</v>
      </c>
      <c r="D60" s="46" t="s">
        <v>799</v>
      </c>
      <c r="E60" s="46" t="s">
        <v>800</v>
      </c>
      <c r="F60" s="47">
        <v>1</v>
      </c>
      <c r="G60" s="47">
        <v>0</v>
      </c>
      <c r="H60" s="47">
        <v>0</v>
      </c>
      <c r="I60" s="47">
        <v>1</v>
      </c>
      <c r="J60" s="47">
        <v>3500</v>
      </c>
      <c r="K60" s="73">
        <v>0</v>
      </c>
      <c r="L60" s="47">
        <v>3500</v>
      </c>
      <c r="M60" s="47">
        <v>1408</v>
      </c>
    </row>
    <row r="61" spans="1:13" ht="15.75" thickBot="1" x14ac:dyDescent="0.3">
      <c r="A61" s="44" t="s">
        <v>1518</v>
      </c>
      <c r="B61" s="45" t="s">
        <v>1519</v>
      </c>
      <c r="C61" s="44" t="s">
        <v>817</v>
      </c>
      <c r="D61" s="46" t="s">
        <v>844</v>
      </c>
      <c r="E61" s="46" t="s">
        <v>845</v>
      </c>
      <c r="F61" s="47">
        <v>1</v>
      </c>
      <c r="G61" s="47">
        <v>0</v>
      </c>
      <c r="H61" s="47">
        <v>0</v>
      </c>
      <c r="I61" s="47">
        <v>1</v>
      </c>
      <c r="J61" s="47">
        <v>3500</v>
      </c>
      <c r="K61" s="73">
        <v>0</v>
      </c>
      <c r="L61" s="47">
        <v>3500</v>
      </c>
      <c r="M61" s="47">
        <v>1277</v>
      </c>
    </row>
    <row r="62" spans="1:13" ht="15.75" thickBot="1" x14ac:dyDescent="0.3">
      <c r="A62" s="44" t="s">
        <v>1536</v>
      </c>
      <c r="B62" s="45" t="s">
        <v>1537</v>
      </c>
      <c r="C62" s="44" t="s">
        <v>817</v>
      </c>
      <c r="D62" s="46" t="s">
        <v>844</v>
      </c>
      <c r="E62" s="46" t="s">
        <v>845</v>
      </c>
      <c r="F62" s="47">
        <v>1</v>
      </c>
      <c r="G62" s="47">
        <v>0</v>
      </c>
      <c r="H62" s="47">
        <v>0</v>
      </c>
      <c r="I62" s="47">
        <v>1</v>
      </c>
      <c r="J62" s="47">
        <v>1700</v>
      </c>
      <c r="K62" s="73">
        <v>0</v>
      </c>
      <c r="L62" s="47">
        <v>1700</v>
      </c>
      <c r="M62" s="47">
        <v>1664</v>
      </c>
    </row>
    <row r="63" spans="1:13" ht="15.75" thickBot="1" x14ac:dyDescent="0.3">
      <c r="A63" s="44" t="s">
        <v>1548</v>
      </c>
      <c r="B63" s="45" t="s">
        <v>1549</v>
      </c>
      <c r="C63" s="44" t="s">
        <v>817</v>
      </c>
      <c r="D63" s="46" t="s">
        <v>844</v>
      </c>
      <c r="E63" s="46" t="s">
        <v>845</v>
      </c>
      <c r="F63" s="47">
        <v>1</v>
      </c>
      <c r="G63" s="47">
        <v>0</v>
      </c>
      <c r="H63" s="47">
        <v>0</v>
      </c>
      <c r="I63" s="47">
        <v>1</v>
      </c>
      <c r="J63" s="47">
        <v>1938</v>
      </c>
      <c r="K63" s="73">
        <v>0</v>
      </c>
      <c r="L63" s="47">
        <v>1938</v>
      </c>
      <c r="M63" s="47">
        <v>1664</v>
      </c>
    </row>
    <row r="64" spans="1:13" ht="15.75" thickBot="1" x14ac:dyDescent="0.3">
      <c r="A64" s="44" t="s">
        <v>1554</v>
      </c>
      <c r="B64" s="45" t="s">
        <v>1555</v>
      </c>
      <c r="C64" s="44" t="s">
        <v>817</v>
      </c>
      <c r="D64" s="46" t="s">
        <v>804</v>
      </c>
      <c r="E64" s="46" t="s">
        <v>805</v>
      </c>
      <c r="F64" s="47">
        <v>1</v>
      </c>
      <c r="G64" s="47">
        <v>0</v>
      </c>
      <c r="H64" s="47">
        <v>0</v>
      </c>
      <c r="I64" s="47">
        <v>1</v>
      </c>
      <c r="J64" s="47">
        <v>1800</v>
      </c>
      <c r="K64" s="73">
        <v>0</v>
      </c>
      <c r="L64" s="47">
        <v>1800</v>
      </c>
      <c r="M64" s="47">
        <v>1494</v>
      </c>
    </row>
    <row r="65" spans="1:13" ht="15.75" thickBot="1" x14ac:dyDescent="0.3">
      <c r="A65" s="44" t="s">
        <v>1556</v>
      </c>
      <c r="B65" s="45" t="s">
        <v>1557</v>
      </c>
      <c r="C65" s="44" t="s">
        <v>817</v>
      </c>
      <c r="D65" s="46" t="s">
        <v>1031</v>
      </c>
      <c r="E65" s="46" t="s">
        <v>1032</v>
      </c>
      <c r="F65" s="47">
        <v>1</v>
      </c>
      <c r="G65" s="47">
        <v>0</v>
      </c>
      <c r="H65" s="47">
        <v>0</v>
      </c>
      <c r="I65" s="47">
        <v>1</v>
      </c>
      <c r="J65" s="47">
        <v>2400</v>
      </c>
      <c r="K65" s="73">
        <v>0</v>
      </c>
      <c r="L65" s="47">
        <v>2400</v>
      </c>
      <c r="M65" s="47">
        <v>1657</v>
      </c>
    </row>
    <row r="66" spans="1:13" ht="15.75" thickBot="1" x14ac:dyDescent="0.3">
      <c r="A66" s="44" t="s">
        <v>1558</v>
      </c>
      <c r="B66" s="45" t="s">
        <v>1559</v>
      </c>
      <c r="C66" s="44" t="s">
        <v>817</v>
      </c>
      <c r="D66" s="46" t="s">
        <v>804</v>
      </c>
      <c r="E66" s="46" t="s">
        <v>805</v>
      </c>
      <c r="F66" s="47">
        <v>1</v>
      </c>
      <c r="G66" s="47">
        <v>0</v>
      </c>
      <c r="H66" s="47">
        <v>0</v>
      </c>
      <c r="I66" s="47">
        <v>1</v>
      </c>
      <c r="J66" s="47">
        <v>2109</v>
      </c>
      <c r="K66" s="73">
        <v>0</v>
      </c>
      <c r="L66" s="47">
        <v>2109</v>
      </c>
      <c r="M66" s="47">
        <v>780</v>
      </c>
    </row>
    <row r="67" spans="1:13" ht="15.75" thickBot="1" x14ac:dyDescent="0.3">
      <c r="A67" s="44" t="s">
        <v>1568</v>
      </c>
      <c r="B67" s="45" t="s">
        <v>1569</v>
      </c>
      <c r="C67" s="44" t="s">
        <v>817</v>
      </c>
      <c r="D67" s="46" t="s">
        <v>844</v>
      </c>
      <c r="E67" s="46" t="s">
        <v>845</v>
      </c>
      <c r="F67" s="47">
        <v>1</v>
      </c>
      <c r="G67" s="47">
        <v>0</v>
      </c>
      <c r="H67" s="47">
        <v>0</v>
      </c>
      <c r="I67" s="47">
        <v>1</v>
      </c>
      <c r="J67" s="47">
        <v>1069</v>
      </c>
      <c r="K67" s="73">
        <v>0</v>
      </c>
      <c r="L67" s="47">
        <v>1069</v>
      </c>
      <c r="M67" s="47">
        <v>1456</v>
      </c>
    </row>
    <row r="68" spans="1:13" ht="15.75" thickBot="1" x14ac:dyDescent="0.3">
      <c r="A68" s="44" t="s">
        <v>1580</v>
      </c>
      <c r="B68" s="45" t="s">
        <v>1581</v>
      </c>
      <c r="C68" s="44" t="s">
        <v>817</v>
      </c>
      <c r="D68" s="46" t="s">
        <v>804</v>
      </c>
      <c r="E68" s="46" t="s">
        <v>805</v>
      </c>
      <c r="F68" s="47">
        <v>1</v>
      </c>
      <c r="G68" s="47">
        <v>0</v>
      </c>
      <c r="H68" s="47">
        <v>0</v>
      </c>
      <c r="I68" s="47">
        <v>1</v>
      </c>
      <c r="J68" s="47">
        <v>3200</v>
      </c>
      <c r="K68" s="73">
        <v>0</v>
      </c>
      <c r="L68" s="47">
        <v>3200</v>
      </c>
      <c r="M68" s="47">
        <v>1588</v>
      </c>
    </row>
    <row r="69" spans="1:13" ht="15.75" thickBot="1" x14ac:dyDescent="0.3">
      <c r="A69" s="44" t="s">
        <v>1592</v>
      </c>
      <c r="B69" s="45" t="s">
        <v>1593</v>
      </c>
      <c r="C69" s="44" t="s">
        <v>817</v>
      </c>
      <c r="D69" s="46" t="s">
        <v>804</v>
      </c>
      <c r="E69" s="46" t="s">
        <v>805</v>
      </c>
      <c r="F69" s="47">
        <v>1</v>
      </c>
      <c r="G69" s="47">
        <v>0</v>
      </c>
      <c r="H69" s="47">
        <v>0</v>
      </c>
      <c r="I69" s="47">
        <v>1</v>
      </c>
      <c r="J69" s="47">
        <v>2960</v>
      </c>
      <c r="K69" s="73">
        <v>0</v>
      </c>
      <c r="L69" s="47">
        <v>2960</v>
      </c>
      <c r="M69" s="47">
        <v>1560</v>
      </c>
    </row>
    <row r="70" spans="1:13" ht="15.75" thickBot="1" x14ac:dyDescent="0.3">
      <c r="A70" s="44" t="s">
        <v>1600</v>
      </c>
      <c r="B70" s="45" t="s">
        <v>1601</v>
      </c>
      <c r="C70" s="44" t="s">
        <v>817</v>
      </c>
      <c r="D70" s="46" t="s">
        <v>804</v>
      </c>
      <c r="E70" s="46" t="s">
        <v>805</v>
      </c>
      <c r="F70" s="47">
        <v>1</v>
      </c>
      <c r="G70" s="47">
        <v>0</v>
      </c>
      <c r="H70" s="47">
        <v>0</v>
      </c>
      <c r="I70" s="47">
        <v>1</v>
      </c>
      <c r="J70" s="47">
        <v>1400</v>
      </c>
      <c r="K70" s="73">
        <v>0</v>
      </c>
      <c r="L70" s="47">
        <v>1400</v>
      </c>
      <c r="M70" s="47">
        <v>1820</v>
      </c>
    </row>
    <row r="71" spans="1:13" ht="15.75" thickBot="1" x14ac:dyDescent="0.3">
      <c r="A71" s="44" t="s">
        <v>796</v>
      </c>
      <c r="B71" s="45" t="s">
        <v>797</v>
      </c>
      <c r="C71" s="44" t="s">
        <v>798</v>
      </c>
      <c r="D71" s="46" t="s">
        <v>799</v>
      </c>
      <c r="E71" s="46" t="s">
        <v>800</v>
      </c>
      <c r="F71" s="47">
        <v>1</v>
      </c>
      <c r="G71" s="47">
        <v>0</v>
      </c>
      <c r="H71" s="47">
        <v>0</v>
      </c>
      <c r="I71" s="47">
        <v>1</v>
      </c>
      <c r="J71" s="47">
        <v>3000</v>
      </c>
      <c r="K71" s="73">
        <v>0</v>
      </c>
      <c r="L71" s="47">
        <v>3000</v>
      </c>
      <c r="M71" s="47">
        <v>2704</v>
      </c>
    </row>
    <row r="72" spans="1:13" ht="15.75" thickBot="1" x14ac:dyDescent="0.3">
      <c r="A72" s="44" t="s">
        <v>827</v>
      </c>
      <c r="B72" s="45" t="s">
        <v>828</v>
      </c>
      <c r="C72" s="44" t="s">
        <v>798</v>
      </c>
      <c r="D72" s="46" t="s">
        <v>829</v>
      </c>
      <c r="E72" s="46" t="s">
        <v>830</v>
      </c>
      <c r="F72" s="47">
        <v>1</v>
      </c>
      <c r="G72" s="47">
        <v>0</v>
      </c>
      <c r="H72" s="47">
        <v>0</v>
      </c>
      <c r="I72" s="47">
        <v>1</v>
      </c>
      <c r="J72" s="47">
        <v>3658</v>
      </c>
      <c r="K72" s="73">
        <v>0</v>
      </c>
      <c r="L72" s="47">
        <v>3658</v>
      </c>
      <c r="M72" s="47">
        <v>2652</v>
      </c>
    </row>
    <row r="73" spans="1:13" ht="15.75" thickBot="1" x14ac:dyDescent="0.3">
      <c r="A73" s="44" t="s">
        <v>838</v>
      </c>
      <c r="B73" s="45" t="s">
        <v>839</v>
      </c>
      <c r="C73" s="44" t="s">
        <v>798</v>
      </c>
      <c r="D73" s="46" t="s">
        <v>799</v>
      </c>
      <c r="E73" s="46" t="s">
        <v>800</v>
      </c>
      <c r="F73" s="47">
        <v>1</v>
      </c>
      <c r="G73" s="47">
        <v>0</v>
      </c>
      <c r="H73" s="47">
        <v>0</v>
      </c>
      <c r="I73" s="47">
        <v>1</v>
      </c>
      <c r="J73" s="47">
        <v>8000</v>
      </c>
      <c r="K73" s="73">
        <v>0</v>
      </c>
      <c r="L73" s="47">
        <v>8000</v>
      </c>
      <c r="M73" s="47">
        <v>2600</v>
      </c>
    </row>
    <row r="74" spans="1:13" ht="15.75" thickBot="1" x14ac:dyDescent="0.3">
      <c r="A74" s="44" t="s">
        <v>842</v>
      </c>
      <c r="B74" s="45" t="s">
        <v>843</v>
      </c>
      <c r="C74" s="44" t="s">
        <v>798</v>
      </c>
      <c r="D74" s="46" t="s">
        <v>844</v>
      </c>
      <c r="E74" s="46" t="s">
        <v>845</v>
      </c>
      <c r="F74" s="47">
        <v>1</v>
      </c>
      <c r="G74" s="47">
        <v>0</v>
      </c>
      <c r="H74" s="47">
        <v>0</v>
      </c>
      <c r="I74" s="47">
        <v>1</v>
      </c>
      <c r="J74" s="47">
        <v>1600</v>
      </c>
      <c r="K74" s="73">
        <v>0</v>
      </c>
      <c r="L74" s="47">
        <v>1600</v>
      </c>
      <c r="M74" s="47">
        <v>2132</v>
      </c>
    </row>
    <row r="75" spans="1:13" ht="15.75" thickBot="1" x14ac:dyDescent="0.3">
      <c r="A75" s="44" t="s">
        <v>853</v>
      </c>
      <c r="B75" s="45" t="s">
        <v>854</v>
      </c>
      <c r="C75" s="44" t="s">
        <v>798</v>
      </c>
      <c r="D75" s="46" t="s">
        <v>804</v>
      </c>
      <c r="E75" s="46" t="s">
        <v>805</v>
      </c>
      <c r="F75" s="47">
        <v>1</v>
      </c>
      <c r="G75" s="47">
        <v>0</v>
      </c>
      <c r="H75" s="47">
        <v>0</v>
      </c>
      <c r="I75" s="47">
        <v>1</v>
      </c>
      <c r="J75" s="47">
        <v>7500</v>
      </c>
      <c r="K75" s="73">
        <v>0</v>
      </c>
      <c r="L75" s="47">
        <v>7500</v>
      </c>
      <c r="M75" s="47">
        <v>2830</v>
      </c>
    </row>
    <row r="76" spans="1:13" ht="15.75" thickBot="1" x14ac:dyDescent="0.3">
      <c r="A76" s="44" t="s">
        <v>857</v>
      </c>
      <c r="B76" s="45" t="s">
        <v>858</v>
      </c>
      <c r="C76" s="44" t="s">
        <v>798</v>
      </c>
      <c r="D76" s="46" t="s">
        <v>804</v>
      </c>
      <c r="E76" s="46" t="s">
        <v>805</v>
      </c>
      <c r="F76" s="47">
        <v>1</v>
      </c>
      <c r="G76" s="47">
        <v>1</v>
      </c>
      <c r="H76" s="47">
        <v>0</v>
      </c>
      <c r="I76" s="47">
        <v>2</v>
      </c>
      <c r="J76" s="47">
        <v>3600</v>
      </c>
      <c r="K76" s="73">
        <v>900</v>
      </c>
      <c r="L76" s="47">
        <v>4500</v>
      </c>
      <c r="M76" s="47">
        <v>3236</v>
      </c>
    </row>
    <row r="77" spans="1:13" ht="15.75" thickBot="1" x14ac:dyDescent="0.3">
      <c r="A77" s="44" t="s">
        <v>881</v>
      </c>
      <c r="B77" s="45" t="s">
        <v>882</v>
      </c>
      <c r="C77" s="44" t="s">
        <v>798</v>
      </c>
      <c r="D77" s="46" t="s">
        <v>804</v>
      </c>
      <c r="E77" s="46" t="s">
        <v>805</v>
      </c>
      <c r="F77" s="47">
        <v>1</v>
      </c>
      <c r="G77" s="47">
        <v>0</v>
      </c>
      <c r="H77" s="47">
        <v>0</v>
      </c>
      <c r="I77" s="47">
        <v>1</v>
      </c>
      <c r="J77" s="47">
        <v>2406</v>
      </c>
      <c r="K77" s="73">
        <v>0</v>
      </c>
      <c r="L77" s="47">
        <v>2406</v>
      </c>
      <c r="M77" s="47">
        <v>1932</v>
      </c>
    </row>
    <row r="78" spans="1:13" ht="15.75" thickBot="1" x14ac:dyDescent="0.3">
      <c r="A78" s="44" t="s">
        <v>903</v>
      </c>
      <c r="B78" s="45" t="s">
        <v>904</v>
      </c>
      <c r="C78" s="44" t="s">
        <v>798</v>
      </c>
      <c r="D78" s="46" t="s">
        <v>804</v>
      </c>
      <c r="E78" s="46" t="s">
        <v>805</v>
      </c>
      <c r="F78" s="47">
        <v>1</v>
      </c>
      <c r="G78" s="47">
        <v>0</v>
      </c>
      <c r="H78" s="47">
        <v>0</v>
      </c>
      <c r="I78" s="47">
        <v>1</v>
      </c>
      <c r="J78" s="47">
        <v>10000</v>
      </c>
      <c r="K78" s="73">
        <v>0</v>
      </c>
      <c r="L78" s="47">
        <v>10000</v>
      </c>
      <c r="M78" s="47">
        <v>2708</v>
      </c>
    </row>
    <row r="79" spans="1:13" ht="15.75" thickBot="1" x14ac:dyDescent="0.3">
      <c r="A79" s="44" t="s">
        <v>909</v>
      </c>
      <c r="B79" s="45" t="s">
        <v>910</v>
      </c>
      <c r="C79" s="44" t="s">
        <v>798</v>
      </c>
      <c r="D79" s="46" t="s">
        <v>895</v>
      </c>
      <c r="E79" s="46" t="s">
        <v>896</v>
      </c>
      <c r="F79" s="47">
        <v>1</v>
      </c>
      <c r="G79" s="47">
        <v>0</v>
      </c>
      <c r="H79" s="47">
        <v>0</v>
      </c>
      <c r="I79" s="47">
        <v>1</v>
      </c>
      <c r="J79" s="47">
        <v>1300</v>
      </c>
      <c r="K79" s="73">
        <v>0</v>
      </c>
      <c r="L79" s="47">
        <v>1300</v>
      </c>
      <c r="M79" s="47">
        <v>1648</v>
      </c>
    </row>
    <row r="80" spans="1:13" ht="15.75" thickBot="1" x14ac:dyDescent="0.3">
      <c r="A80" s="44" t="s">
        <v>921</v>
      </c>
      <c r="B80" s="45" t="s">
        <v>922</v>
      </c>
      <c r="C80" s="44" t="s">
        <v>798</v>
      </c>
      <c r="D80" s="46" t="s">
        <v>844</v>
      </c>
      <c r="E80" s="46" t="s">
        <v>845</v>
      </c>
      <c r="F80" s="47">
        <v>1</v>
      </c>
      <c r="G80" s="47">
        <v>0</v>
      </c>
      <c r="H80" s="47">
        <v>0</v>
      </c>
      <c r="I80" s="47">
        <v>1</v>
      </c>
      <c r="J80" s="47">
        <v>1728</v>
      </c>
      <c r="K80" s="73">
        <v>0</v>
      </c>
      <c r="L80" s="47">
        <v>1728</v>
      </c>
      <c r="M80" s="47">
        <v>1274</v>
      </c>
    </row>
    <row r="81" spans="1:13" ht="15.75" thickBot="1" x14ac:dyDescent="0.3">
      <c r="A81" s="44" t="s">
        <v>963</v>
      </c>
      <c r="B81" s="45" t="s">
        <v>964</v>
      </c>
      <c r="C81" s="44" t="s">
        <v>798</v>
      </c>
      <c r="D81" s="46" t="s">
        <v>799</v>
      </c>
      <c r="E81" s="46" t="s">
        <v>800</v>
      </c>
      <c r="F81" s="47">
        <v>1</v>
      </c>
      <c r="G81" s="47">
        <v>0</v>
      </c>
      <c r="H81" s="47">
        <v>0</v>
      </c>
      <c r="I81" s="47">
        <v>1</v>
      </c>
      <c r="J81" s="47">
        <v>8000</v>
      </c>
      <c r="K81" s="73">
        <v>0</v>
      </c>
      <c r="L81" s="47">
        <v>8000</v>
      </c>
      <c r="M81" s="47">
        <v>1812</v>
      </c>
    </row>
    <row r="82" spans="1:13" ht="15.75" thickBot="1" x14ac:dyDescent="0.3">
      <c r="A82" s="44" t="s">
        <v>977</v>
      </c>
      <c r="B82" s="45" t="s">
        <v>978</v>
      </c>
      <c r="C82" s="44" t="s">
        <v>798</v>
      </c>
      <c r="D82" s="46" t="s">
        <v>799</v>
      </c>
      <c r="E82" s="46" t="s">
        <v>800</v>
      </c>
      <c r="F82" s="47">
        <v>1</v>
      </c>
      <c r="G82" s="47">
        <v>0</v>
      </c>
      <c r="H82" s="47">
        <v>0</v>
      </c>
      <c r="I82" s="47">
        <v>1</v>
      </c>
      <c r="J82" s="47">
        <v>3672</v>
      </c>
      <c r="K82" s="73">
        <v>0</v>
      </c>
      <c r="L82" s="47">
        <v>3672</v>
      </c>
      <c r="M82" s="47">
        <v>2367</v>
      </c>
    </row>
    <row r="83" spans="1:13" ht="15.75" thickBot="1" x14ac:dyDescent="0.3">
      <c r="A83" s="44" t="s">
        <v>999</v>
      </c>
      <c r="B83" s="45" t="s">
        <v>1000</v>
      </c>
      <c r="C83" s="44" t="s">
        <v>798</v>
      </c>
      <c r="D83" s="46" t="s">
        <v>844</v>
      </c>
      <c r="E83" s="46" t="s">
        <v>845</v>
      </c>
      <c r="F83" s="47">
        <v>1</v>
      </c>
      <c r="G83" s="47">
        <v>0</v>
      </c>
      <c r="H83" s="47">
        <v>0</v>
      </c>
      <c r="I83" s="47">
        <v>1</v>
      </c>
      <c r="J83" s="47">
        <v>1913</v>
      </c>
      <c r="K83" s="73">
        <v>0</v>
      </c>
      <c r="L83" s="47">
        <v>1913</v>
      </c>
      <c r="M83" s="47">
        <v>1504</v>
      </c>
    </row>
    <row r="84" spans="1:13" ht="15.75" thickBot="1" x14ac:dyDescent="0.3">
      <c r="A84" s="44" t="s">
        <v>1013</v>
      </c>
      <c r="B84" s="45" t="s">
        <v>1014</v>
      </c>
      <c r="C84" s="44" t="s">
        <v>798</v>
      </c>
      <c r="D84" s="46" t="s">
        <v>799</v>
      </c>
      <c r="E84" s="46" t="s">
        <v>800</v>
      </c>
      <c r="F84" s="47">
        <v>1</v>
      </c>
      <c r="G84" s="47">
        <v>0</v>
      </c>
      <c r="H84" s="47">
        <v>0</v>
      </c>
      <c r="I84" s="47">
        <v>1</v>
      </c>
      <c r="J84" s="47">
        <v>2400</v>
      </c>
      <c r="K84" s="73">
        <v>0</v>
      </c>
      <c r="L84" s="47">
        <v>2400</v>
      </c>
      <c r="M84" s="47">
        <v>1846</v>
      </c>
    </row>
    <row r="85" spans="1:13" ht="15.75" thickBot="1" x14ac:dyDescent="0.3">
      <c r="A85" s="44" t="s">
        <v>1019</v>
      </c>
      <c r="B85" s="45" t="s">
        <v>1020</v>
      </c>
      <c r="C85" s="44" t="s">
        <v>798</v>
      </c>
      <c r="D85" s="46" t="s">
        <v>844</v>
      </c>
      <c r="E85" s="46" t="s">
        <v>845</v>
      </c>
      <c r="F85" s="47">
        <v>1</v>
      </c>
      <c r="G85" s="47">
        <v>0</v>
      </c>
      <c r="H85" s="47">
        <v>0</v>
      </c>
      <c r="I85" s="47">
        <v>1</v>
      </c>
      <c r="J85" s="47">
        <v>1650</v>
      </c>
      <c r="K85" s="73">
        <v>0</v>
      </c>
      <c r="L85" s="47">
        <v>1650</v>
      </c>
      <c r="M85" s="47">
        <v>1800</v>
      </c>
    </row>
    <row r="86" spans="1:13" ht="15.75" thickBot="1" x14ac:dyDescent="0.3">
      <c r="A86" s="44" t="s">
        <v>1021</v>
      </c>
      <c r="B86" s="45" t="s">
        <v>1022</v>
      </c>
      <c r="C86" s="44" t="s">
        <v>798</v>
      </c>
      <c r="D86" s="46" t="s">
        <v>804</v>
      </c>
      <c r="E86" s="46" t="s">
        <v>805</v>
      </c>
      <c r="F86" s="47">
        <v>1</v>
      </c>
      <c r="G86" s="47">
        <v>0</v>
      </c>
      <c r="H86" s="47">
        <v>0</v>
      </c>
      <c r="I86" s="47">
        <v>1</v>
      </c>
      <c r="J86" s="47">
        <v>5700</v>
      </c>
      <c r="K86" s="73">
        <v>0</v>
      </c>
      <c r="L86" s="47">
        <v>5700</v>
      </c>
      <c r="M86" s="47">
        <v>1795</v>
      </c>
    </row>
    <row r="87" spans="1:13" ht="15.75" thickBot="1" x14ac:dyDescent="0.3">
      <c r="A87" s="44" t="s">
        <v>1035</v>
      </c>
      <c r="B87" s="45" t="s">
        <v>1036</v>
      </c>
      <c r="C87" s="44" t="s">
        <v>798</v>
      </c>
      <c r="D87" s="46" t="s">
        <v>1037</v>
      </c>
      <c r="E87" s="46" t="s">
        <v>1038</v>
      </c>
      <c r="F87" s="47">
        <v>1</v>
      </c>
      <c r="G87" s="47">
        <v>0</v>
      </c>
      <c r="H87" s="47">
        <v>0</v>
      </c>
      <c r="I87" s="47">
        <v>1</v>
      </c>
      <c r="J87" s="47">
        <v>6500</v>
      </c>
      <c r="K87" s="73">
        <v>0</v>
      </c>
      <c r="L87" s="47">
        <v>6500</v>
      </c>
      <c r="M87" s="47">
        <v>3016</v>
      </c>
    </row>
    <row r="88" spans="1:13" ht="15.75" thickBot="1" x14ac:dyDescent="0.3">
      <c r="A88" s="44" t="s">
        <v>1065</v>
      </c>
      <c r="B88" s="45" t="s">
        <v>1066</v>
      </c>
      <c r="C88" s="44" t="s">
        <v>798</v>
      </c>
      <c r="D88" s="46" t="s">
        <v>844</v>
      </c>
      <c r="E88" s="46" t="s">
        <v>845</v>
      </c>
      <c r="F88" s="47">
        <v>1</v>
      </c>
      <c r="G88" s="47">
        <v>0</v>
      </c>
      <c r="H88" s="47">
        <v>0</v>
      </c>
      <c r="I88" s="47">
        <v>1</v>
      </c>
      <c r="J88" s="47">
        <v>4112</v>
      </c>
      <c r="K88" s="73">
        <v>0</v>
      </c>
      <c r="L88" s="47">
        <v>4112</v>
      </c>
      <c r="M88" s="47">
        <v>2023</v>
      </c>
    </row>
    <row r="89" spans="1:13" ht="15.75" thickBot="1" x14ac:dyDescent="0.3">
      <c r="A89" s="44" t="s">
        <v>1075</v>
      </c>
      <c r="B89" s="45" t="s">
        <v>1076</v>
      </c>
      <c r="C89" s="44" t="s">
        <v>798</v>
      </c>
      <c r="D89" s="46" t="s">
        <v>804</v>
      </c>
      <c r="E89" s="46" t="s">
        <v>805</v>
      </c>
      <c r="F89" s="47">
        <v>1</v>
      </c>
      <c r="G89" s="47">
        <v>0</v>
      </c>
      <c r="H89" s="47">
        <v>0</v>
      </c>
      <c r="I89" s="47">
        <v>1</v>
      </c>
      <c r="J89" s="47">
        <v>2160</v>
      </c>
      <c r="K89" s="73">
        <v>0</v>
      </c>
      <c r="L89" s="47">
        <v>2160</v>
      </c>
      <c r="M89" s="47">
        <v>1569</v>
      </c>
    </row>
    <row r="90" spans="1:13" ht="15.75" thickBot="1" x14ac:dyDescent="0.3">
      <c r="A90" s="44" t="s">
        <v>1119</v>
      </c>
      <c r="B90" s="45" t="s">
        <v>1120</v>
      </c>
      <c r="C90" s="44" t="s">
        <v>798</v>
      </c>
      <c r="D90" s="46" t="s">
        <v>804</v>
      </c>
      <c r="E90" s="46" t="s">
        <v>805</v>
      </c>
      <c r="F90" s="47">
        <v>1</v>
      </c>
      <c r="G90" s="47">
        <v>0</v>
      </c>
      <c r="H90" s="47">
        <v>0</v>
      </c>
      <c r="I90" s="47">
        <v>1</v>
      </c>
      <c r="J90" s="47">
        <v>4330</v>
      </c>
      <c r="K90" s="73">
        <v>0</v>
      </c>
      <c r="L90" s="47">
        <v>4330</v>
      </c>
      <c r="M90" s="47">
        <v>2440</v>
      </c>
    </row>
    <row r="91" spans="1:13" ht="15.75" thickBot="1" x14ac:dyDescent="0.3">
      <c r="A91" s="44" t="s">
        <v>1129</v>
      </c>
      <c r="B91" s="45" t="s">
        <v>1130</v>
      </c>
      <c r="C91" s="44" t="s">
        <v>798</v>
      </c>
      <c r="D91" s="46" t="s">
        <v>799</v>
      </c>
      <c r="E91" s="46" t="s">
        <v>800</v>
      </c>
      <c r="F91" s="47">
        <v>1</v>
      </c>
      <c r="G91" s="47">
        <v>0</v>
      </c>
      <c r="H91" s="47">
        <v>0</v>
      </c>
      <c r="I91" s="47">
        <v>1</v>
      </c>
      <c r="J91" s="47">
        <v>4400</v>
      </c>
      <c r="K91" s="73">
        <v>0</v>
      </c>
      <c r="L91" s="47">
        <v>4400</v>
      </c>
      <c r="M91" s="47">
        <v>2340</v>
      </c>
    </row>
    <row r="92" spans="1:13" ht="15.75" thickBot="1" x14ac:dyDescent="0.3">
      <c r="A92" s="44" t="s">
        <v>1139</v>
      </c>
      <c r="B92" s="45" t="s">
        <v>1140</v>
      </c>
      <c r="C92" s="44" t="s">
        <v>798</v>
      </c>
      <c r="D92" s="46" t="s">
        <v>804</v>
      </c>
      <c r="E92" s="46" t="s">
        <v>805</v>
      </c>
      <c r="F92" s="47">
        <v>1</v>
      </c>
      <c r="G92" s="47">
        <v>0</v>
      </c>
      <c r="H92" s="47">
        <v>0</v>
      </c>
      <c r="I92" s="47">
        <v>1</v>
      </c>
      <c r="J92" s="47">
        <v>11900</v>
      </c>
      <c r="K92" s="73">
        <v>0</v>
      </c>
      <c r="L92" s="47">
        <v>11900</v>
      </c>
      <c r="M92" s="47">
        <v>2448</v>
      </c>
    </row>
    <row r="93" spans="1:13" ht="15.75" thickBot="1" x14ac:dyDescent="0.3">
      <c r="A93" s="44" t="s">
        <v>1147</v>
      </c>
      <c r="B93" s="45" t="s">
        <v>1148</v>
      </c>
      <c r="C93" s="44" t="s">
        <v>798</v>
      </c>
      <c r="D93" s="46" t="s">
        <v>804</v>
      </c>
      <c r="E93" s="46" t="s">
        <v>805</v>
      </c>
      <c r="F93" s="47">
        <v>1</v>
      </c>
      <c r="G93" s="47">
        <v>0</v>
      </c>
      <c r="H93" s="47">
        <v>0</v>
      </c>
      <c r="I93" s="47">
        <v>1</v>
      </c>
      <c r="J93" s="47">
        <v>4140</v>
      </c>
      <c r="K93" s="73">
        <v>0</v>
      </c>
      <c r="L93" s="47">
        <v>4140</v>
      </c>
      <c r="M93" s="47">
        <v>1608</v>
      </c>
    </row>
    <row r="94" spans="1:13" ht="15.75" thickBot="1" x14ac:dyDescent="0.3">
      <c r="A94" s="44" t="s">
        <v>1151</v>
      </c>
      <c r="B94" s="45" t="s">
        <v>1152</v>
      </c>
      <c r="C94" s="44" t="s">
        <v>798</v>
      </c>
      <c r="D94" s="46" t="s">
        <v>799</v>
      </c>
      <c r="E94" s="46" t="s">
        <v>800</v>
      </c>
      <c r="F94" s="47">
        <v>1</v>
      </c>
      <c r="G94" s="47">
        <v>0</v>
      </c>
      <c r="H94" s="47">
        <v>0</v>
      </c>
      <c r="I94" s="47">
        <v>1</v>
      </c>
      <c r="J94" s="47">
        <v>2231</v>
      </c>
      <c r="K94" s="73">
        <v>0</v>
      </c>
      <c r="L94" s="47">
        <v>2231</v>
      </c>
      <c r="M94" s="47">
        <v>1886</v>
      </c>
    </row>
    <row r="95" spans="1:13" ht="15.75" thickBot="1" x14ac:dyDescent="0.3">
      <c r="A95" s="44" t="s">
        <v>1157</v>
      </c>
      <c r="B95" s="45" t="s">
        <v>1158</v>
      </c>
      <c r="C95" s="44" t="s">
        <v>798</v>
      </c>
      <c r="D95" s="46" t="s">
        <v>1037</v>
      </c>
      <c r="E95" s="46" t="s">
        <v>1038</v>
      </c>
      <c r="F95" s="47">
        <v>1</v>
      </c>
      <c r="G95" s="47">
        <v>0</v>
      </c>
      <c r="H95" s="47">
        <v>0</v>
      </c>
      <c r="I95" s="47">
        <v>1</v>
      </c>
      <c r="J95" s="47">
        <v>2937</v>
      </c>
      <c r="K95" s="73">
        <v>0</v>
      </c>
      <c r="L95" s="47">
        <v>2937</v>
      </c>
      <c r="M95" s="47">
        <v>1716</v>
      </c>
    </row>
    <row r="96" spans="1:13" ht="15.75" thickBot="1" x14ac:dyDescent="0.3">
      <c r="A96" s="44" t="s">
        <v>1161</v>
      </c>
      <c r="B96" s="45" t="s">
        <v>1162</v>
      </c>
      <c r="C96" s="44" t="s">
        <v>798</v>
      </c>
      <c r="D96" s="46" t="s">
        <v>804</v>
      </c>
      <c r="E96" s="46" t="s">
        <v>886</v>
      </c>
      <c r="F96" s="47">
        <v>1</v>
      </c>
      <c r="G96" s="47">
        <v>0</v>
      </c>
      <c r="H96" s="47">
        <v>0</v>
      </c>
      <c r="I96" s="47">
        <v>1</v>
      </c>
      <c r="J96" s="47">
        <v>4900</v>
      </c>
      <c r="K96" s="73">
        <v>0</v>
      </c>
      <c r="L96" s="47">
        <v>4900</v>
      </c>
      <c r="M96" s="47">
        <v>2080</v>
      </c>
    </row>
    <row r="97" spans="1:13" ht="15.75" thickBot="1" x14ac:dyDescent="0.3">
      <c r="A97" s="44" t="s">
        <v>1167</v>
      </c>
      <c r="B97" s="45" t="s">
        <v>1168</v>
      </c>
      <c r="C97" s="44" t="s">
        <v>798</v>
      </c>
      <c r="D97" s="46" t="s">
        <v>799</v>
      </c>
      <c r="E97" s="46" t="s">
        <v>800</v>
      </c>
      <c r="F97" s="47">
        <v>1</v>
      </c>
      <c r="G97" s="47">
        <v>0</v>
      </c>
      <c r="H97" s="47">
        <v>0</v>
      </c>
      <c r="I97" s="47">
        <v>1</v>
      </c>
      <c r="J97" s="47">
        <v>3300</v>
      </c>
      <c r="K97" s="73">
        <v>0</v>
      </c>
      <c r="L97" s="47">
        <v>3300</v>
      </c>
      <c r="M97" s="47">
        <v>2808</v>
      </c>
    </row>
    <row r="98" spans="1:13" ht="15.75" thickBot="1" x14ac:dyDescent="0.3">
      <c r="A98" s="44" t="s">
        <v>1173</v>
      </c>
      <c r="B98" s="45" t="s">
        <v>1174</v>
      </c>
      <c r="C98" s="44" t="s">
        <v>798</v>
      </c>
      <c r="D98" s="46" t="s">
        <v>804</v>
      </c>
      <c r="E98" s="46" t="s">
        <v>805</v>
      </c>
      <c r="F98" s="47">
        <v>1</v>
      </c>
      <c r="G98" s="47">
        <v>0</v>
      </c>
      <c r="H98" s="47">
        <v>0</v>
      </c>
      <c r="I98" s="47">
        <v>1</v>
      </c>
      <c r="J98" s="47">
        <v>2744</v>
      </c>
      <c r="K98" s="73">
        <v>0</v>
      </c>
      <c r="L98" s="47">
        <v>2744</v>
      </c>
      <c r="M98" s="47">
        <v>1770</v>
      </c>
    </row>
    <row r="99" spans="1:13" ht="15.75" thickBot="1" x14ac:dyDescent="0.3">
      <c r="A99" s="44" t="s">
        <v>1177</v>
      </c>
      <c r="B99" s="45" t="s">
        <v>1178</v>
      </c>
      <c r="C99" s="44" t="s">
        <v>798</v>
      </c>
      <c r="D99" s="46" t="s">
        <v>804</v>
      </c>
      <c r="E99" s="46" t="s">
        <v>805</v>
      </c>
      <c r="F99" s="47">
        <v>1</v>
      </c>
      <c r="G99" s="47">
        <v>0</v>
      </c>
      <c r="H99" s="47">
        <v>0</v>
      </c>
      <c r="I99" s="47">
        <v>1</v>
      </c>
      <c r="J99" s="47">
        <v>3200</v>
      </c>
      <c r="K99" s="73">
        <v>0</v>
      </c>
      <c r="L99" s="47">
        <v>3200</v>
      </c>
      <c r="M99" s="47">
        <v>1646</v>
      </c>
    </row>
    <row r="100" spans="1:13" ht="15.75" thickBot="1" x14ac:dyDescent="0.3">
      <c r="A100" s="44" t="s">
        <v>1181</v>
      </c>
      <c r="B100" s="45" t="s">
        <v>1182</v>
      </c>
      <c r="C100" s="44" t="s">
        <v>798</v>
      </c>
      <c r="D100" s="46" t="s">
        <v>804</v>
      </c>
      <c r="E100" s="46" t="s">
        <v>805</v>
      </c>
      <c r="F100" s="47">
        <v>1</v>
      </c>
      <c r="G100" s="47">
        <v>0</v>
      </c>
      <c r="H100" s="47">
        <v>0</v>
      </c>
      <c r="I100" s="47">
        <v>1</v>
      </c>
      <c r="J100" s="47">
        <v>3142</v>
      </c>
      <c r="K100" s="73">
        <v>0</v>
      </c>
      <c r="L100" s="47">
        <v>3142</v>
      </c>
      <c r="M100" s="47">
        <v>1595</v>
      </c>
    </row>
    <row r="101" spans="1:13" ht="15.75" thickBot="1" x14ac:dyDescent="0.3">
      <c r="A101" s="44" t="s">
        <v>1183</v>
      </c>
      <c r="B101" s="45" t="s">
        <v>1184</v>
      </c>
      <c r="C101" s="44" t="s">
        <v>798</v>
      </c>
      <c r="D101" s="46" t="s">
        <v>799</v>
      </c>
      <c r="E101" s="46" t="s">
        <v>800</v>
      </c>
      <c r="F101" s="47">
        <v>1</v>
      </c>
      <c r="G101" s="47">
        <v>0</v>
      </c>
      <c r="H101" s="47">
        <v>0</v>
      </c>
      <c r="I101" s="47">
        <v>1</v>
      </c>
      <c r="J101" s="47">
        <v>5600</v>
      </c>
      <c r="K101" s="73">
        <v>0</v>
      </c>
      <c r="L101" s="47">
        <v>5600</v>
      </c>
      <c r="M101" s="47">
        <v>2332</v>
      </c>
    </row>
    <row r="102" spans="1:13" ht="15.75" thickBot="1" x14ac:dyDescent="0.3">
      <c r="A102" s="44" t="s">
        <v>1185</v>
      </c>
      <c r="B102" s="45" t="s">
        <v>1186</v>
      </c>
      <c r="C102" s="44" t="s">
        <v>798</v>
      </c>
      <c r="D102" s="46" t="s">
        <v>804</v>
      </c>
      <c r="E102" s="46" t="s">
        <v>805</v>
      </c>
      <c r="F102" s="47">
        <v>1</v>
      </c>
      <c r="G102" s="47">
        <v>0</v>
      </c>
      <c r="H102" s="47">
        <v>0</v>
      </c>
      <c r="I102" s="47">
        <v>1</v>
      </c>
      <c r="J102" s="47">
        <v>10000</v>
      </c>
      <c r="K102" s="73">
        <v>0</v>
      </c>
      <c r="L102" s="47">
        <v>10000</v>
      </c>
      <c r="M102" s="47">
        <v>2808</v>
      </c>
    </row>
    <row r="103" spans="1:13" ht="15.75" thickBot="1" x14ac:dyDescent="0.3">
      <c r="A103" s="44" t="s">
        <v>1197</v>
      </c>
      <c r="B103" s="45" t="s">
        <v>1198</v>
      </c>
      <c r="C103" s="44" t="s">
        <v>798</v>
      </c>
      <c r="D103" s="46" t="s">
        <v>1037</v>
      </c>
      <c r="E103" s="46" t="s">
        <v>1038</v>
      </c>
      <c r="F103" s="47">
        <v>1</v>
      </c>
      <c r="G103" s="47">
        <v>0</v>
      </c>
      <c r="H103" s="47">
        <v>0</v>
      </c>
      <c r="I103" s="47">
        <v>1</v>
      </c>
      <c r="J103" s="47">
        <v>8000</v>
      </c>
      <c r="K103" s="73">
        <v>0</v>
      </c>
      <c r="L103" s="47">
        <v>8000</v>
      </c>
      <c r="M103" s="47">
        <v>1939</v>
      </c>
    </row>
    <row r="104" spans="1:13" ht="15.75" thickBot="1" x14ac:dyDescent="0.3">
      <c r="A104" s="44" t="s">
        <v>1211</v>
      </c>
      <c r="B104" s="45" t="s">
        <v>1212</v>
      </c>
      <c r="C104" s="44" t="s">
        <v>798</v>
      </c>
      <c r="D104" s="46" t="s">
        <v>844</v>
      </c>
      <c r="E104" s="46" t="s">
        <v>845</v>
      </c>
      <c r="F104" s="47">
        <v>1</v>
      </c>
      <c r="G104" s="47">
        <v>0</v>
      </c>
      <c r="H104" s="47">
        <v>0</v>
      </c>
      <c r="I104" s="47">
        <v>1</v>
      </c>
      <c r="J104" s="47">
        <v>7608</v>
      </c>
      <c r="K104" s="73">
        <v>0</v>
      </c>
      <c r="L104" s="47">
        <v>7608</v>
      </c>
      <c r="M104" s="47">
        <v>1974</v>
      </c>
    </row>
    <row r="105" spans="1:13" ht="15.75" thickBot="1" x14ac:dyDescent="0.3">
      <c r="A105" s="44" t="s">
        <v>1213</v>
      </c>
      <c r="B105" s="45" t="s">
        <v>1214</v>
      </c>
      <c r="C105" s="44" t="s">
        <v>798</v>
      </c>
      <c r="D105" s="46" t="s">
        <v>844</v>
      </c>
      <c r="E105" s="46" t="s">
        <v>845</v>
      </c>
      <c r="F105" s="47">
        <v>1</v>
      </c>
      <c r="G105" s="47">
        <v>0</v>
      </c>
      <c r="H105" s="47">
        <v>0</v>
      </c>
      <c r="I105" s="47">
        <v>1</v>
      </c>
      <c r="J105" s="47">
        <v>6052</v>
      </c>
      <c r="K105" s="73">
        <v>0</v>
      </c>
      <c r="L105" s="47">
        <v>6052</v>
      </c>
      <c r="M105" s="47">
        <v>2080</v>
      </c>
    </row>
    <row r="106" spans="1:13" ht="15.75" thickBot="1" x14ac:dyDescent="0.3">
      <c r="A106" s="44" t="s">
        <v>1233</v>
      </c>
      <c r="B106" s="45" t="s">
        <v>1234</v>
      </c>
      <c r="C106" s="44" t="s">
        <v>798</v>
      </c>
      <c r="D106" s="46" t="s">
        <v>844</v>
      </c>
      <c r="E106" s="46" t="s">
        <v>845</v>
      </c>
      <c r="F106" s="47">
        <v>1</v>
      </c>
      <c r="G106" s="47">
        <v>0</v>
      </c>
      <c r="H106" s="47">
        <v>0</v>
      </c>
      <c r="I106" s="47">
        <v>1</v>
      </c>
      <c r="J106" s="47">
        <v>3600</v>
      </c>
      <c r="K106" s="73">
        <v>0</v>
      </c>
      <c r="L106" s="47">
        <v>3600</v>
      </c>
      <c r="M106" s="47">
        <v>1820</v>
      </c>
    </row>
    <row r="107" spans="1:13" ht="15.75" thickBot="1" x14ac:dyDescent="0.3">
      <c r="A107" s="44" t="s">
        <v>1239</v>
      </c>
      <c r="B107" s="45" t="s">
        <v>1240</v>
      </c>
      <c r="C107" s="44" t="s">
        <v>798</v>
      </c>
      <c r="D107" s="46" t="s">
        <v>1037</v>
      </c>
      <c r="E107" s="46" t="s">
        <v>1038</v>
      </c>
      <c r="F107" s="47">
        <v>1</v>
      </c>
      <c r="G107" s="47">
        <v>0</v>
      </c>
      <c r="H107" s="47">
        <v>0</v>
      </c>
      <c r="I107" s="47">
        <v>1</v>
      </c>
      <c r="J107" s="47">
        <v>4224</v>
      </c>
      <c r="K107" s="73">
        <v>0</v>
      </c>
      <c r="L107" s="47">
        <v>4224</v>
      </c>
      <c r="M107" s="47">
        <v>1898</v>
      </c>
    </row>
    <row r="108" spans="1:13" ht="15.75" thickBot="1" x14ac:dyDescent="0.3">
      <c r="A108" s="44" t="s">
        <v>1245</v>
      </c>
      <c r="B108" s="45" t="s">
        <v>1246</v>
      </c>
      <c r="C108" s="44" t="s">
        <v>798</v>
      </c>
      <c r="D108" s="46" t="s">
        <v>804</v>
      </c>
      <c r="E108" s="46" t="s">
        <v>805</v>
      </c>
      <c r="F108" s="47">
        <v>1</v>
      </c>
      <c r="G108" s="47">
        <v>2</v>
      </c>
      <c r="H108" s="47">
        <v>0</v>
      </c>
      <c r="I108" s="47">
        <v>3</v>
      </c>
      <c r="J108" s="47">
        <v>7600</v>
      </c>
      <c r="K108" s="73">
        <v>1250</v>
      </c>
      <c r="L108" s="47">
        <v>8850</v>
      </c>
      <c r="M108" s="47">
        <v>3088</v>
      </c>
    </row>
    <row r="109" spans="1:13" ht="15.75" thickBot="1" x14ac:dyDescent="0.3">
      <c r="A109" s="44" t="s">
        <v>1249</v>
      </c>
      <c r="B109" s="45" t="s">
        <v>1250</v>
      </c>
      <c r="C109" s="44" t="s">
        <v>798</v>
      </c>
      <c r="D109" s="46" t="s">
        <v>844</v>
      </c>
      <c r="E109" s="46" t="s">
        <v>845</v>
      </c>
      <c r="F109" s="47">
        <v>1</v>
      </c>
      <c r="G109" s="47">
        <v>0</v>
      </c>
      <c r="H109" s="47">
        <v>0</v>
      </c>
      <c r="I109" s="47">
        <v>1</v>
      </c>
      <c r="J109" s="47">
        <v>2376</v>
      </c>
      <c r="K109" s="74">
        <v>0</v>
      </c>
      <c r="L109" s="47">
        <v>2376</v>
      </c>
      <c r="M109" s="47">
        <v>2120</v>
      </c>
    </row>
    <row r="110" spans="1:13" ht="15.75" thickBot="1" x14ac:dyDescent="0.3">
      <c r="A110" s="44" t="s">
        <v>1261</v>
      </c>
      <c r="B110" s="45" t="s">
        <v>1262</v>
      </c>
      <c r="C110" s="44" t="s">
        <v>798</v>
      </c>
      <c r="D110" s="46" t="s">
        <v>804</v>
      </c>
      <c r="E110" s="46" t="s">
        <v>805</v>
      </c>
      <c r="F110" s="47">
        <v>1</v>
      </c>
      <c r="G110" s="47">
        <v>0</v>
      </c>
      <c r="H110" s="47">
        <v>0</v>
      </c>
      <c r="I110" s="47">
        <v>1</v>
      </c>
      <c r="J110" s="47">
        <v>3200</v>
      </c>
      <c r="K110" s="73">
        <v>0</v>
      </c>
      <c r="L110" s="47">
        <v>3200</v>
      </c>
      <c r="M110" s="47">
        <v>2444</v>
      </c>
    </row>
    <row r="111" spans="1:13" ht="15.75" thickBot="1" x14ac:dyDescent="0.3">
      <c r="A111" s="44" t="s">
        <v>1263</v>
      </c>
      <c r="B111" s="45" t="s">
        <v>1264</v>
      </c>
      <c r="C111" s="44" t="s">
        <v>798</v>
      </c>
      <c r="D111" s="46" t="s">
        <v>844</v>
      </c>
      <c r="E111" s="46" t="s">
        <v>845</v>
      </c>
      <c r="F111" s="47">
        <v>1</v>
      </c>
      <c r="G111" s="47">
        <v>0</v>
      </c>
      <c r="H111" s="47">
        <v>0</v>
      </c>
      <c r="I111" s="47">
        <v>1</v>
      </c>
      <c r="J111" s="47">
        <v>4500</v>
      </c>
      <c r="K111" s="73">
        <v>0</v>
      </c>
      <c r="L111" s="47">
        <v>4500</v>
      </c>
      <c r="M111" s="47">
        <v>2240</v>
      </c>
    </row>
    <row r="112" spans="1:13" ht="15.75" thickBot="1" x14ac:dyDescent="0.3">
      <c r="A112" s="44" t="s">
        <v>1271</v>
      </c>
      <c r="B112" s="45" t="s">
        <v>1272</v>
      </c>
      <c r="C112" s="44" t="s">
        <v>798</v>
      </c>
      <c r="D112" s="46" t="s">
        <v>804</v>
      </c>
      <c r="E112" s="46" t="s">
        <v>805</v>
      </c>
      <c r="F112" s="47">
        <v>1</v>
      </c>
      <c r="G112" s="47">
        <v>0</v>
      </c>
      <c r="H112" s="47">
        <v>0</v>
      </c>
      <c r="I112" s="47">
        <v>1</v>
      </c>
      <c r="J112" s="47">
        <v>5612</v>
      </c>
      <c r="K112" s="73">
        <v>0</v>
      </c>
      <c r="L112" s="47">
        <v>5612</v>
      </c>
      <c r="M112" s="47">
        <v>2346</v>
      </c>
    </row>
    <row r="113" spans="1:13" ht="15.75" thickBot="1" x14ac:dyDescent="0.3">
      <c r="A113" s="44" t="s">
        <v>1273</v>
      </c>
      <c r="B113" s="45" t="s">
        <v>1274</v>
      </c>
      <c r="C113" s="44" t="s">
        <v>798</v>
      </c>
      <c r="D113" s="46" t="s">
        <v>804</v>
      </c>
      <c r="E113" s="46" t="s">
        <v>805</v>
      </c>
      <c r="F113" s="47">
        <v>1</v>
      </c>
      <c r="G113" s="47">
        <v>0</v>
      </c>
      <c r="H113" s="47">
        <v>0</v>
      </c>
      <c r="I113" s="47">
        <v>1</v>
      </c>
      <c r="J113" s="47">
        <v>7025</v>
      </c>
      <c r="K113" s="73">
        <v>0</v>
      </c>
      <c r="L113" s="47">
        <v>7025</v>
      </c>
      <c r="M113" s="47">
        <v>2638</v>
      </c>
    </row>
    <row r="114" spans="1:13" ht="15.75" thickBot="1" x14ac:dyDescent="0.3">
      <c r="A114" s="44" t="s">
        <v>1279</v>
      </c>
      <c r="B114" s="45" t="s">
        <v>1280</v>
      </c>
      <c r="C114" s="44" t="s">
        <v>798</v>
      </c>
      <c r="D114" s="46" t="s">
        <v>844</v>
      </c>
      <c r="E114" s="46" t="s">
        <v>845</v>
      </c>
      <c r="F114" s="47">
        <v>1</v>
      </c>
      <c r="G114" s="47">
        <v>0</v>
      </c>
      <c r="H114" s="47">
        <v>0</v>
      </c>
      <c r="I114" s="47">
        <v>1</v>
      </c>
      <c r="J114" s="47">
        <v>1800</v>
      </c>
      <c r="K114" s="73">
        <v>0</v>
      </c>
      <c r="L114" s="47">
        <v>1800</v>
      </c>
      <c r="M114" s="47">
        <v>1820</v>
      </c>
    </row>
    <row r="115" spans="1:13" ht="15.75" thickBot="1" x14ac:dyDescent="0.3">
      <c r="A115" s="44" t="s">
        <v>1297</v>
      </c>
      <c r="B115" s="45" t="s">
        <v>1298</v>
      </c>
      <c r="C115" s="44" t="s">
        <v>798</v>
      </c>
      <c r="D115" s="46" t="s">
        <v>799</v>
      </c>
      <c r="E115" s="46" t="s">
        <v>800</v>
      </c>
      <c r="F115" s="47">
        <v>1</v>
      </c>
      <c r="G115" s="47">
        <v>0</v>
      </c>
      <c r="H115" s="47">
        <v>0</v>
      </c>
      <c r="I115" s="47">
        <v>1</v>
      </c>
      <c r="J115" s="47">
        <v>3750</v>
      </c>
      <c r="K115" s="73">
        <v>0</v>
      </c>
      <c r="L115" s="47">
        <v>3750</v>
      </c>
      <c r="M115" s="47">
        <v>2184</v>
      </c>
    </row>
    <row r="116" spans="1:13" ht="15.75" thickBot="1" x14ac:dyDescent="0.3">
      <c r="A116" s="44" t="s">
        <v>1299</v>
      </c>
      <c r="B116" s="45" t="s">
        <v>1300</v>
      </c>
      <c r="C116" s="44" t="s">
        <v>798</v>
      </c>
      <c r="D116" s="46" t="s">
        <v>804</v>
      </c>
      <c r="E116" s="46" t="s">
        <v>805</v>
      </c>
      <c r="F116" s="47">
        <v>1</v>
      </c>
      <c r="G116" s="47">
        <v>0</v>
      </c>
      <c r="H116" s="47">
        <v>0</v>
      </c>
      <c r="I116" s="47">
        <v>1</v>
      </c>
      <c r="J116" s="47">
        <v>15000</v>
      </c>
      <c r="K116" s="73">
        <v>0</v>
      </c>
      <c r="L116" s="47">
        <v>15000</v>
      </c>
      <c r="M116" s="47">
        <v>1690</v>
      </c>
    </row>
    <row r="117" spans="1:13" ht="15.75" thickBot="1" x14ac:dyDescent="0.3">
      <c r="A117" s="44" t="s">
        <v>1311</v>
      </c>
      <c r="B117" s="45" t="s">
        <v>1312</v>
      </c>
      <c r="C117" s="44" t="s">
        <v>798</v>
      </c>
      <c r="D117" s="46" t="s">
        <v>799</v>
      </c>
      <c r="E117" s="46" t="s">
        <v>800</v>
      </c>
      <c r="F117" s="47">
        <v>1</v>
      </c>
      <c r="G117" s="47">
        <v>0</v>
      </c>
      <c r="H117" s="47">
        <v>0</v>
      </c>
      <c r="I117" s="47">
        <v>1</v>
      </c>
      <c r="J117" s="47">
        <v>18000</v>
      </c>
      <c r="K117" s="73">
        <v>0</v>
      </c>
      <c r="L117" s="47">
        <v>18000</v>
      </c>
      <c r="M117" s="47">
        <v>2652</v>
      </c>
    </row>
    <row r="118" spans="1:13" ht="15.75" thickBot="1" x14ac:dyDescent="0.3">
      <c r="A118" s="44" t="s">
        <v>1313</v>
      </c>
      <c r="B118" s="45" t="s">
        <v>1314</v>
      </c>
      <c r="C118" s="44" t="s">
        <v>798</v>
      </c>
      <c r="D118" s="46" t="s">
        <v>799</v>
      </c>
      <c r="E118" s="46" t="s">
        <v>800</v>
      </c>
      <c r="F118" s="47">
        <v>1</v>
      </c>
      <c r="G118" s="47">
        <v>0</v>
      </c>
      <c r="H118" s="47">
        <v>0</v>
      </c>
      <c r="I118" s="47">
        <v>1</v>
      </c>
      <c r="J118" s="47">
        <v>10990</v>
      </c>
      <c r="K118" s="73">
        <v>0</v>
      </c>
      <c r="L118" s="47">
        <v>10990</v>
      </c>
      <c r="M118" s="47">
        <v>2140</v>
      </c>
    </row>
    <row r="119" spans="1:13" ht="15.75" thickBot="1" x14ac:dyDescent="0.3">
      <c r="A119" s="44" t="s">
        <v>1317</v>
      </c>
      <c r="B119" s="45" t="s">
        <v>1318</v>
      </c>
      <c r="C119" s="44" t="s">
        <v>798</v>
      </c>
      <c r="D119" s="46" t="s">
        <v>804</v>
      </c>
      <c r="E119" s="46" t="s">
        <v>805</v>
      </c>
      <c r="F119" s="47">
        <v>1</v>
      </c>
      <c r="G119" s="47">
        <v>0</v>
      </c>
      <c r="H119" s="47">
        <v>0</v>
      </c>
      <c r="I119" s="47">
        <v>1</v>
      </c>
      <c r="J119" s="47">
        <v>1375</v>
      </c>
      <c r="K119" s="73">
        <v>0</v>
      </c>
      <c r="L119" s="47">
        <v>1375</v>
      </c>
      <c r="M119" s="47">
        <v>1560</v>
      </c>
    </row>
    <row r="120" spans="1:13" ht="15.75" thickBot="1" x14ac:dyDescent="0.3">
      <c r="A120" s="44" t="s">
        <v>1325</v>
      </c>
      <c r="B120" s="45" t="s">
        <v>1326</v>
      </c>
      <c r="C120" s="44" t="s">
        <v>798</v>
      </c>
      <c r="D120" s="46" t="s">
        <v>804</v>
      </c>
      <c r="E120" s="46" t="s">
        <v>805</v>
      </c>
      <c r="F120" s="47">
        <v>1</v>
      </c>
      <c r="G120" s="47">
        <v>0</v>
      </c>
      <c r="H120" s="47">
        <v>0</v>
      </c>
      <c r="I120" s="47">
        <v>1</v>
      </c>
      <c r="J120" s="47">
        <v>7400</v>
      </c>
      <c r="K120" s="73">
        <v>0</v>
      </c>
      <c r="L120" s="47">
        <v>7400</v>
      </c>
      <c r="M120" s="47">
        <v>2151</v>
      </c>
    </row>
    <row r="121" spans="1:13" ht="15.75" thickBot="1" x14ac:dyDescent="0.3">
      <c r="A121" s="44" t="s">
        <v>1345</v>
      </c>
      <c r="B121" s="45" t="s">
        <v>1346</v>
      </c>
      <c r="C121" s="44" t="s">
        <v>798</v>
      </c>
      <c r="D121" s="46" t="s">
        <v>804</v>
      </c>
      <c r="E121" s="46" t="s">
        <v>805</v>
      </c>
      <c r="F121" s="47">
        <v>1</v>
      </c>
      <c r="G121" s="47">
        <v>0</v>
      </c>
      <c r="H121" s="47">
        <v>0</v>
      </c>
      <c r="I121" s="47">
        <v>1</v>
      </c>
      <c r="J121" s="47">
        <v>3700</v>
      </c>
      <c r="K121" s="73">
        <v>0</v>
      </c>
      <c r="L121" s="47">
        <v>3700</v>
      </c>
      <c r="M121" s="47">
        <v>2080</v>
      </c>
    </row>
    <row r="122" spans="1:13" ht="15.75" thickBot="1" x14ac:dyDescent="0.3">
      <c r="A122" s="44" t="s">
        <v>1351</v>
      </c>
      <c r="B122" s="45" t="s">
        <v>1352</v>
      </c>
      <c r="C122" s="44" t="s">
        <v>798</v>
      </c>
      <c r="D122" s="46" t="s">
        <v>844</v>
      </c>
      <c r="E122" s="46" t="s">
        <v>845</v>
      </c>
      <c r="F122" s="47">
        <v>1</v>
      </c>
      <c r="G122" s="47">
        <v>0</v>
      </c>
      <c r="H122" s="47">
        <v>0</v>
      </c>
      <c r="I122" s="47">
        <v>1</v>
      </c>
      <c r="J122" s="47">
        <v>2473</v>
      </c>
      <c r="K122" s="73">
        <v>0</v>
      </c>
      <c r="L122" s="47">
        <v>2473</v>
      </c>
      <c r="M122" s="47">
        <v>2076</v>
      </c>
    </row>
    <row r="123" spans="1:13" ht="15.75" thickBot="1" x14ac:dyDescent="0.3">
      <c r="A123" s="44" t="s">
        <v>1357</v>
      </c>
      <c r="B123" s="45" t="s">
        <v>1358</v>
      </c>
      <c r="C123" s="44" t="s">
        <v>798</v>
      </c>
      <c r="D123" s="46" t="s">
        <v>804</v>
      </c>
      <c r="E123" s="46" t="s">
        <v>805</v>
      </c>
      <c r="F123" s="47">
        <v>1</v>
      </c>
      <c r="G123" s="47">
        <v>0</v>
      </c>
      <c r="H123" s="47">
        <v>0</v>
      </c>
      <c r="I123" s="47">
        <v>1</v>
      </c>
      <c r="J123" s="47">
        <v>5370</v>
      </c>
      <c r="K123" s="73">
        <v>0</v>
      </c>
      <c r="L123" s="47">
        <v>5370</v>
      </c>
      <c r="M123" s="47">
        <v>2678</v>
      </c>
    </row>
    <row r="124" spans="1:13" ht="15.75" thickBot="1" x14ac:dyDescent="0.3">
      <c r="A124" s="44" t="s">
        <v>1367</v>
      </c>
      <c r="B124" s="45" t="s">
        <v>1368</v>
      </c>
      <c r="C124" s="44" t="s">
        <v>798</v>
      </c>
      <c r="D124" s="46" t="s">
        <v>804</v>
      </c>
      <c r="E124" s="46" t="s">
        <v>805</v>
      </c>
      <c r="F124" s="47">
        <v>1</v>
      </c>
      <c r="G124" s="47">
        <v>0</v>
      </c>
      <c r="H124" s="47">
        <v>0</v>
      </c>
      <c r="I124" s="47">
        <v>1</v>
      </c>
      <c r="J124" s="47">
        <v>7000</v>
      </c>
      <c r="K124" s="73">
        <v>0</v>
      </c>
      <c r="L124" s="47">
        <v>7000</v>
      </c>
      <c r="M124" s="47">
        <v>2548</v>
      </c>
    </row>
    <row r="125" spans="1:13" ht="15.75" thickBot="1" x14ac:dyDescent="0.3">
      <c r="A125" s="44" t="s">
        <v>1371</v>
      </c>
      <c r="B125" s="45" t="s">
        <v>1372</v>
      </c>
      <c r="C125" s="44" t="s">
        <v>798</v>
      </c>
      <c r="D125" s="46" t="s">
        <v>804</v>
      </c>
      <c r="E125" s="46" t="s">
        <v>805</v>
      </c>
      <c r="F125" s="47">
        <v>1</v>
      </c>
      <c r="G125" s="47">
        <v>0</v>
      </c>
      <c r="H125" s="47">
        <v>0</v>
      </c>
      <c r="I125" s="47">
        <v>1</v>
      </c>
      <c r="J125" s="47">
        <v>1750</v>
      </c>
      <c r="K125" s="73">
        <v>0</v>
      </c>
      <c r="L125" s="47">
        <v>1750</v>
      </c>
      <c r="M125" s="47">
        <v>1352</v>
      </c>
    </row>
    <row r="126" spans="1:13" ht="15.75" thickBot="1" x14ac:dyDescent="0.3">
      <c r="A126" s="44" t="s">
        <v>1377</v>
      </c>
      <c r="B126" s="45" t="s">
        <v>1378</v>
      </c>
      <c r="C126" s="44" t="s">
        <v>798</v>
      </c>
      <c r="D126" s="46" t="s">
        <v>844</v>
      </c>
      <c r="E126" s="46" t="s">
        <v>845</v>
      </c>
      <c r="F126" s="47">
        <v>1</v>
      </c>
      <c r="G126" s="47">
        <v>0</v>
      </c>
      <c r="H126" s="47">
        <v>0</v>
      </c>
      <c r="I126" s="47">
        <v>1</v>
      </c>
      <c r="J126" s="47">
        <v>2200</v>
      </c>
      <c r="K126" s="73">
        <v>0</v>
      </c>
      <c r="L126" s="47">
        <v>2200</v>
      </c>
      <c r="M126" s="47">
        <v>2288</v>
      </c>
    </row>
    <row r="127" spans="1:13" ht="15.75" thickBot="1" x14ac:dyDescent="0.3">
      <c r="A127" s="44" t="s">
        <v>1385</v>
      </c>
      <c r="B127" s="45" t="s">
        <v>1386</v>
      </c>
      <c r="C127" s="44" t="s">
        <v>798</v>
      </c>
      <c r="D127" s="46" t="s">
        <v>804</v>
      </c>
      <c r="E127" s="46" t="s">
        <v>805</v>
      </c>
      <c r="F127" s="47">
        <v>1</v>
      </c>
      <c r="G127" s="47">
        <v>0</v>
      </c>
      <c r="H127" s="47">
        <v>0</v>
      </c>
      <c r="I127" s="47">
        <v>1</v>
      </c>
      <c r="J127" s="47">
        <v>2500</v>
      </c>
      <c r="K127" s="73">
        <v>0</v>
      </c>
      <c r="L127" s="47">
        <v>2500</v>
      </c>
      <c r="M127" s="47">
        <v>1612</v>
      </c>
    </row>
    <row r="128" spans="1:13" ht="15.75" thickBot="1" x14ac:dyDescent="0.3">
      <c r="A128" s="44" t="s">
        <v>1391</v>
      </c>
      <c r="B128" s="45" t="s">
        <v>1392</v>
      </c>
      <c r="C128" s="44" t="s">
        <v>798</v>
      </c>
      <c r="D128" s="46" t="s">
        <v>844</v>
      </c>
      <c r="E128" s="46" t="s">
        <v>845</v>
      </c>
      <c r="F128" s="47">
        <v>1</v>
      </c>
      <c r="G128" s="47">
        <v>0</v>
      </c>
      <c r="H128" s="47">
        <v>0</v>
      </c>
      <c r="I128" s="47">
        <v>1</v>
      </c>
      <c r="J128" s="47">
        <v>2560</v>
      </c>
      <c r="K128" s="73">
        <v>0</v>
      </c>
      <c r="L128" s="47">
        <v>2560</v>
      </c>
      <c r="M128" s="47">
        <v>1837</v>
      </c>
    </row>
    <row r="129" spans="1:13" ht="15.75" thickBot="1" x14ac:dyDescent="0.3">
      <c r="A129" s="44" t="s">
        <v>1393</v>
      </c>
      <c r="B129" s="45" t="s">
        <v>1394</v>
      </c>
      <c r="C129" s="44" t="s">
        <v>798</v>
      </c>
      <c r="D129" s="46" t="s">
        <v>844</v>
      </c>
      <c r="E129" s="46" t="s">
        <v>845</v>
      </c>
      <c r="F129" s="47">
        <v>1</v>
      </c>
      <c r="G129" s="47">
        <v>0</v>
      </c>
      <c r="H129" s="47">
        <v>0</v>
      </c>
      <c r="I129" s="47">
        <v>1</v>
      </c>
      <c r="J129" s="47">
        <v>5300</v>
      </c>
      <c r="K129" s="73">
        <v>0</v>
      </c>
      <c r="L129" s="47">
        <v>5300</v>
      </c>
      <c r="M129" s="47">
        <v>2036</v>
      </c>
    </row>
    <row r="130" spans="1:13" ht="15.75" thickBot="1" x14ac:dyDescent="0.3">
      <c r="A130" s="44" t="s">
        <v>1399</v>
      </c>
      <c r="B130" s="45" t="s">
        <v>1400</v>
      </c>
      <c r="C130" s="44" t="s">
        <v>798</v>
      </c>
      <c r="D130" s="46" t="s">
        <v>804</v>
      </c>
      <c r="E130" s="46" t="s">
        <v>805</v>
      </c>
      <c r="F130" s="47">
        <v>1</v>
      </c>
      <c r="G130" s="47">
        <v>0</v>
      </c>
      <c r="H130" s="47">
        <v>0</v>
      </c>
      <c r="I130" s="47">
        <v>1</v>
      </c>
      <c r="J130" s="47">
        <v>2400</v>
      </c>
      <c r="K130" s="73">
        <v>0</v>
      </c>
      <c r="L130" s="47">
        <v>2400</v>
      </c>
      <c r="M130" s="47">
        <v>1703</v>
      </c>
    </row>
    <row r="131" spans="1:13" ht="15.75" thickBot="1" x14ac:dyDescent="0.3">
      <c r="A131" s="44" t="s">
        <v>1405</v>
      </c>
      <c r="B131" s="45" t="s">
        <v>1406</v>
      </c>
      <c r="C131" s="44" t="s">
        <v>798</v>
      </c>
      <c r="D131" s="46" t="s">
        <v>799</v>
      </c>
      <c r="E131" s="46" t="s">
        <v>800</v>
      </c>
      <c r="F131" s="47">
        <v>1</v>
      </c>
      <c r="G131" s="47">
        <v>0</v>
      </c>
      <c r="H131" s="47">
        <v>0</v>
      </c>
      <c r="I131" s="47">
        <v>1</v>
      </c>
      <c r="J131" s="47">
        <v>5065</v>
      </c>
      <c r="K131" s="73">
        <v>0</v>
      </c>
      <c r="L131" s="47">
        <v>5065</v>
      </c>
      <c r="M131" s="47">
        <v>2392</v>
      </c>
    </row>
    <row r="132" spans="1:13" ht="15.75" thickBot="1" x14ac:dyDescent="0.3">
      <c r="A132" s="44" t="s">
        <v>1417</v>
      </c>
      <c r="B132" s="45" t="s">
        <v>1418</v>
      </c>
      <c r="C132" s="44" t="s">
        <v>798</v>
      </c>
      <c r="D132" s="46" t="s">
        <v>885</v>
      </c>
      <c r="E132" s="46" t="s">
        <v>886</v>
      </c>
      <c r="F132" s="47">
        <v>1</v>
      </c>
      <c r="G132" s="47">
        <v>0</v>
      </c>
      <c r="H132" s="47">
        <v>0</v>
      </c>
      <c r="I132" s="47">
        <v>1</v>
      </c>
      <c r="J132" s="47">
        <v>6000</v>
      </c>
      <c r="K132" s="73">
        <v>0</v>
      </c>
      <c r="L132" s="47">
        <v>6000</v>
      </c>
      <c r="M132" s="47">
        <v>1664</v>
      </c>
    </row>
    <row r="133" spans="1:13" ht="15.75" thickBot="1" x14ac:dyDescent="0.3">
      <c r="A133" s="44" t="s">
        <v>1429</v>
      </c>
      <c r="B133" s="45" t="s">
        <v>1430</v>
      </c>
      <c r="C133" s="44" t="s">
        <v>798</v>
      </c>
      <c r="D133" s="46" t="s">
        <v>885</v>
      </c>
      <c r="E133" s="46" t="s">
        <v>886</v>
      </c>
      <c r="F133" s="47">
        <v>1</v>
      </c>
      <c r="G133" s="47">
        <v>1</v>
      </c>
      <c r="H133" s="47">
        <v>0</v>
      </c>
      <c r="I133" s="47">
        <v>2</v>
      </c>
      <c r="J133" s="47">
        <v>9077</v>
      </c>
      <c r="K133" s="73">
        <v>500</v>
      </c>
      <c r="L133" s="47">
        <v>9577</v>
      </c>
      <c r="M133" s="47">
        <v>3562</v>
      </c>
    </row>
    <row r="134" spans="1:13" ht="15.75" thickBot="1" x14ac:dyDescent="0.3">
      <c r="A134" s="44" t="s">
        <v>1443</v>
      </c>
      <c r="B134" s="45" t="s">
        <v>1444</v>
      </c>
      <c r="C134" s="44" t="s">
        <v>798</v>
      </c>
      <c r="D134" s="46" t="s">
        <v>799</v>
      </c>
      <c r="E134" s="46" t="s">
        <v>800</v>
      </c>
      <c r="F134" s="47">
        <v>1</v>
      </c>
      <c r="G134" s="47">
        <v>0</v>
      </c>
      <c r="H134" s="47">
        <v>0</v>
      </c>
      <c r="I134" s="47">
        <v>1</v>
      </c>
      <c r="J134" s="47">
        <v>7000</v>
      </c>
      <c r="K134" s="73">
        <v>0</v>
      </c>
      <c r="L134" s="47">
        <v>7000</v>
      </c>
      <c r="M134" s="47">
        <v>2392</v>
      </c>
    </row>
    <row r="135" spans="1:13" ht="15.75" thickBot="1" x14ac:dyDescent="0.3">
      <c r="A135" s="44" t="s">
        <v>1453</v>
      </c>
      <c r="B135" s="45" t="s">
        <v>1454</v>
      </c>
      <c r="C135" s="44" t="s">
        <v>798</v>
      </c>
      <c r="D135" s="46" t="s">
        <v>799</v>
      </c>
      <c r="E135" s="46" t="s">
        <v>800</v>
      </c>
      <c r="F135" s="47">
        <v>1</v>
      </c>
      <c r="G135" s="47">
        <v>0</v>
      </c>
      <c r="H135" s="47">
        <v>0</v>
      </c>
      <c r="I135" s="47">
        <v>1</v>
      </c>
      <c r="J135" s="47">
        <v>4752</v>
      </c>
      <c r="K135" s="73">
        <v>0</v>
      </c>
      <c r="L135" s="47">
        <v>4752</v>
      </c>
      <c r="M135" s="47">
        <v>1916</v>
      </c>
    </row>
    <row r="136" spans="1:13" ht="15.75" thickBot="1" x14ac:dyDescent="0.3">
      <c r="A136" s="44" t="s">
        <v>1457</v>
      </c>
      <c r="B136" s="45" t="s">
        <v>1458</v>
      </c>
      <c r="C136" s="44" t="s">
        <v>798</v>
      </c>
      <c r="D136" s="46" t="s">
        <v>804</v>
      </c>
      <c r="E136" s="46" t="s">
        <v>805</v>
      </c>
      <c r="F136" s="47">
        <v>1</v>
      </c>
      <c r="G136" s="47">
        <v>0</v>
      </c>
      <c r="H136" s="47">
        <v>0</v>
      </c>
      <c r="I136" s="47">
        <v>1</v>
      </c>
      <c r="J136" s="47">
        <v>5494</v>
      </c>
      <c r="K136" s="73">
        <v>0</v>
      </c>
      <c r="L136" s="47">
        <v>5494</v>
      </c>
      <c r="M136" s="47">
        <v>2357</v>
      </c>
    </row>
    <row r="137" spans="1:13" ht="15.75" thickBot="1" x14ac:dyDescent="0.3">
      <c r="A137" s="44" t="s">
        <v>1463</v>
      </c>
      <c r="B137" s="45" t="s">
        <v>1464</v>
      </c>
      <c r="C137" s="44" t="s">
        <v>798</v>
      </c>
      <c r="D137" s="46" t="s">
        <v>844</v>
      </c>
      <c r="E137" s="46" t="s">
        <v>845</v>
      </c>
      <c r="F137" s="47">
        <v>1</v>
      </c>
      <c r="G137" s="47">
        <v>0</v>
      </c>
      <c r="H137" s="47">
        <v>0</v>
      </c>
      <c r="I137" s="47">
        <v>1</v>
      </c>
      <c r="J137" s="47">
        <v>13130</v>
      </c>
      <c r="K137" s="73">
        <v>0</v>
      </c>
      <c r="L137" s="47">
        <v>13130</v>
      </c>
      <c r="M137" s="47">
        <v>1716</v>
      </c>
    </row>
    <row r="138" spans="1:13" ht="15.75" thickBot="1" x14ac:dyDescent="0.3">
      <c r="A138" s="44" t="s">
        <v>1472</v>
      </c>
      <c r="B138" s="45" t="s">
        <v>1473</v>
      </c>
      <c r="C138" s="44" t="s">
        <v>798</v>
      </c>
      <c r="D138" s="46" t="s">
        <v>844</v>
      </c>
      <c r="E138" s="46" t="s">
        <v>845</v>
      </c>
      <c r="F138" s="47">
        <v>1</v>
      </c>
      <c r="G138" s="47">
        <v>0</v>
      </c>
      <c r="H138" s="47">
        <v>0</v>
      </c>
      <c r="I138" s="47">
        <v>1</v>
      </c>
      <c r="J138" s="47">
        <v>906</v>
      </c>
      <c r="K138" s="73">
        <v>0</v>
      </c>
      <c r="L138" s="47">
        <v>906</v>
      </c>
      <c r="M138" s="47">
        <v>1976</v>
      </c>
    </row>
    <row r="139" spans="1:13" ht="15.75" thickBot="1" x14ac:dyDescent="0.3">
      <c r="A139" s="44" t="s">
        <v>1494</v>
      </c>
      <c r="B139" s="45" t="s">
        <v>1495</v>
      </c>
      <c r="C139" s="44" t="s">
        <v>798</v>
      </c>
      <c r="D139" s="46" t="s">
        <v>804</v>
      </c>
      <c r="E139" s="46" t="s">
        <v>805</v>
      </c>
      <c r="F139" s="47">
        <v>1</v>
      </c>
      <c r="G139" s="47">
        <v>0</v>
      </c>
      <c r="H139" s="47">
        <v>0</v>
      </c>
      <c r="I139" s="47">
        <v>1</v>
      </c>
      <c r="J139" s="47">
        <v>5300</v>
      </c>
      <c r="K139" s="73">
        <v>0</v>
      </c>
      <c r="L139" s="47">
        <v>5300</v>
      </c>
      <c r="M139" s="47">
        <v>1657</v>
      </c>
    </row>
    <row r="140" spans="1:13" ht="15.75" thickBot="1" x14ac:dyDescent="0.3">
      <c r="A140" s="44" t="s">
        <v>1506</v>
      </c>
      <c r="B140" s="45" t="s">
        <v>1507</v>
      </c>
      <c r="C140" s="44" t="s">
        <v>798</v>
      </c>
      <c r="D140" s="46" t="s">
        <v>804</v>
      </c>
      <c r="E140" s="46" t="s">
        <v>805</v>
      </c>
      <c r="F140" s="47">
        <v>1</v>
      </c>
      <c r="G140" s="47">
        <v>0</v>
      </c>
      <c r="H140" s="47">
        <v>0</v>
      </c>
      <c r="I140" s="47">
        <v>1</v>
      </c>
      <c r="J140" s="47">
        <v>4776</v>
      </c>
      <c r="K140" s="73">
        <v>0</v>
      </c>
      <c r="L140" s="47">
        <v>4776</v>
      </c>
      <c r="M140" s="47">
        <v>2262</v>
      </c>
    </row>
    <row r="141" spans="1:13" ht="15.75" thickBot="1" x14ac:dyDescent="0.3">
      <c r="A141" s="44" t="s">
        <v>1514</v>
      </c>
      <c r="B141" s="45" t="s">
        <v>1515</v>
      </c>
      <c r="C141" s="44" t="s">
        <v>798</v>
      </c>
      <c r="D141" s="46" t="s">
        <v>804</v>
      </c>
      <c r="E141" s="46" t="s">
        <v>805</v>
      </c>
      <c r="F141" s="47">
        <v>1</v>
      </c>
      <c r="G141" s="47">
        <v>0</v>
      </c>
      <c r="H141" s="47">
        <v>0</v>
      </c>
      <c r="I141" s="47">
        <v>1</v>
      </c>
      <c r="J141" s="47">
        <v>2600</v>
      </c>
      <c r="K141" s="73">
        <v>0</v>
      </c>
      <c r="L141" s="47">
        <v>2600</v>
      </c>
      <c r="M141" s="47">
        <v>1508</v>
      </c>
    </row>
    <row r="142" spans="1:13" ht="15.75" thickBot="1" x14ac:dyDescent="0.3">
      <c r="A142" s="44" t="s">
        <v>1522</v>
      </c>
      <c r="B142" s="45" t="s">
        <v>1523</v>
      </c>
      <c r="C142" s="44" t="s">
        <v>798</v>
      </c>
      <c r="D142" s="46" t="s">
        <v>844</v>
      </c>
      <c r="E142" s="46" t="s">
        <v>845</v>
      </c>
      <c r="F142" s="47">
        <v>1</v>
      </c>
      <c r="G142" s="47">
        <v>0</v>
      </c>
      <c r="H142" s="47">
        <v>0</v>
      </c>
      <c r="I142" s="47">
        <v>1</v>
      </c>
      <c r="J142" s="47">
        <v>2000</v>
      </c>
      <c r="K142" s="74">
        <v>0</v>
      </c>
      <c r="L142" s="47">
        <v>2000</v>
      </c>
      <c r="M142" s="47">
        <v>2124</v>
      </c>
    </row>
    <row r="143" spans="1:13" ht="15.75" thickBot="1" x14ac:dyDescent="0.3">
      <c r="A143" s="44" t="s">
        <v>1530</v>
      </c>
      <c r="B143" s="45" t="s">
        <v>1531</v>
      </c>
      <c r="C143" s="44" t="s">
        <v>798</v>
      </c>
      <c r="D143" s="46" t="s">
        <v>844</v>
      </c>
      <c r="E143" s="46" t="s">
        <v>845</v>
      </c>
      <c r="F143" s="47">
        <v>1</v>
      </c>
      <c r="G143" s="47">
        <v>0</v>
      </c>
      <c r="H143" s="47">
        <v>0</v>
      </c>
      <c r="I143" s="47">
        <v>1</v>
      </c>
      <c r="J143" s="47">
        <v>9000</v>
      </c>
      <c r="K143" s="73">
        <v>0</v>
      </c>
      <c r="L143" s="47">
        <v>9000</v>
      </c>
      <c r="M143" s="47">
        <v>2155</v>
      </c>
    </row>
    <row r="144" spans="1:13" ht="15.75" thickBot="1" x14ac:dyDescent="0.3">
      <c r="A144" s="44" t="s">
        <v>1544</v>
      </c>
      <c r="B144" s="45" t="s">
        <v>1545</v>
      </c>
      <c r="C144" s="44" t="s">
        <v>798</v>
      </c>
      <c r="D144" s="46" t="s">
        <v>804</v>
      </c>
      <c r="E144" s="46" t="s">
        <v>805</v>
      </c>
      <c r="F144" s="47">
        <v>1</v>
      </c>
      <c r="G144" s="47">
        <v>0</v>
      </c>
      <c r="H144" s="47">
        <v>0</v>
      </c>
      <c r="I144" s="47">
        <v>1</v>
      </c>
      <c r="J144" s="47">
        <v>3000</v>
      </c>
      <c r="K144" s="73">
        <v>0</v>
      </c>
      <c r="L144" s="47">
        <v>3000</v>
      </c>
      <c r="M144" s="47">
        <v>1924</v>
      </c>
    </row>
    <row r="145" spans="1:13" ht="15.75" thickBot="1" x14ac:dyDescent="0.3">
      <c r="A145" s="44" t="s">
        <v>1550</v>
      </c>
      <c r="B145" s="45" t="s">
        <v>1551</v>
      </c>
      <c r="C145" s="44" t="s">
        <v>798</v>
      </c>
      <c r="D145" s="46" t="s">
        <v>799</v>
      </c>
      <c r="E145" s="46" t="s">
        <v>800</v>
      </c>
      <c r="F145" s="47">
        <v>1</v>
      </c>
      <c r="G145" s="47">
        <v>0</v>
      </c>
      <c r="H145" s="47">
        <v>0</v>
      </c>
      <c r="I145" s="47">
        <v>1</v>
      </c>
      <c r="J145" s="47">
        <v>5500</v>
      </c>
      <c r="K145" s="73">
        <v>0</v>
      </c>
      <c r="L145" s="47">
        <v>5500</v>
      </c>
      <c r="M145" s="47">
        <v>1976</v>
      </c>
    </row>
    <row r="146" spans="1:13" ht="15.75" thickBot="1" x14ac:dyDescent="0.3">
      <c r="A146" s="44" t="s">
        <v>1560</v>
      </c>
      <c r="B146" s="45" t="s">
        <v>1561</v>
      </c>
      <c r="C146" s="44" t="s">
        <v>798</v>
      </c>
      <c r="D146" s="46" t="s">
        <v>804</v>
      </c>
      <c r="E146" s="46" t="s">
        <v>805</v>
      </c>
      <c r="F146" s="47">
        <v>1</v>
      </c>
      <c r="G146" s="47">
        <v>0</v>
      </c>
      <c r="H146" s="47">
        <v>0</v>
      </c>
      <c r="I146" s="47">
        <v>1</v>
      </c>
      <c r="J146" s="47">
        <v>6400</v>
      </c>
      <c r="K146" s="73">
        <v>0</v>
      </c>
      <c r="L146" s="47">
        <v>6400</v>
      </c>
      <c r="M146" s="47">
        <v>2782</v>
      </c>
    </row>
    <row r="147" spans="1:13" ht="15.75" thickBot="1" x14ac:dyDescent="0.3">
      <c r="A147" s="44" t="s">
        <v>1570</v>
      </c>
      <c r="B147" s="45" t="s">
        <v>1571</v>
      </c>
      <c r="C147" s="44" t="s">
        <v>798</v>
      </c>
      <c r="D147" s="46" t="s">
        <v>804</v>
      </c>
      <c r="E147" s="46" t="s">
        <v>805</v>
      </c>
      <c r="F147" s="47">
        <v>1</v>
      </c>
      <c r="G147" s="47">
        <v>0</v>
      </c>
      <c r="H147" s="47">
        <v>0</v>
      </c>
      <c r="I147" s="47">
        <v>1</v>
      </c>
      <c r="J147" s="47">
        <v>10272</v>
      </c>
      <c r="K147" s="74">
        <v>0</v>
      </c>
      <c r="L147" s="47">
        <v>10272</v>
      </c>
      <c r="M147" s="47">
        <v>2444</v>
      </c>
    </row>
    <row r="148" spans="1:13" ht="15.75" thickBot="1" x14ac:dyDescent="0.3">
      <c r="A148" s="44" t="s">
        <v>1588</v>
      </c>
      <c r="B148" s="45" t="s">
        <v>1589</v>
      </c>
      <c r="C148" s="44" t="s">
        <v>798</v>
      </c>
      <c r="D148" s="46" t="s">
        <v>804</v>
      </c>
      <c r="E148" s="46" t="s">
        <v>805</v>
      </c>
      <c r="F148" s="47">
        <v>1</v>
      </c>
      <c r="G148" s="47">
        <v>0</v>
      </c>
      <c r="H148" s="47">
        <v>0</v>
      </c>
      <c r="I148" s="47">
        <v>1</v>
      </c>
      <c r="J148" s="47">
        <v>6600</v>
      </c>
      <c r="K148" s="73">
        <v>0</v>
      </c>
      <c r="L148" s="47">
        <v>6600</v>
      </c>
      <c r="M148" s="47">
        <v>2548</v>
      </c>
    </row>
    <row r="149" spans="1:13" ht="15.75" thickBot="1" x14ac:dyDescent="0.3">
      <c r="A149" s="44" t="s">
        <v>806</v>
      </c>
      <c r="B149" s="45" t="s">
        <v>807</v>
      </c>
      <c r="C149" s="44" t="s">
        <v>808</v>
      </c>
      <c r="D149" s="46" t="s">
        <v>804</v>
      </c>
      <c r="E149" s="46" t="s">
        <v>805</v>
      </c>
      <c r="F149" s="47">
        <v>1</v>
      </c>
      <c r="G149" s="47">
        <v>0</v>
      </c>
      <c r="H149" s="47">
        <v>0</v>
      </c>
      <c r="I149" s="47">
        <v>1</v>
      </c>
      <c r="J149" s="47">
        <v>12000</v>
      </c>
      <c r="K149" s="73">
        <v>0</v>
      </c>
      <c r="L149" s="47">
        <v>12000</v>
      </c>
      <c r="M149" s="47">
        <v>2360</v>
      </c>
    </row>
    <row r="150" spans="1:13" ht="15.75" thickBot="1" x14ac:dyDescent="0.3">
      <c r="A150" s="44" t="s">
        <v>809</v>
      </c>
      <c r="B150" s="45" t="s">
        <v>810</v>
      </c>
      <c r="C150" s="44" t="s">
        <v>808</v>
      </c>
      <c r="D150" s="46" t="s">
        <v>804</v>
      </c>
      <c r="E150" s="46" t="s">
        <v>805</v>
      </c>
      <c r="F150" s="47">
        <v>1</v>
      </c>
      <c r="G150" s="47">
        <v>0</v>
      </c>
      <c r="H150" s="47">
        <v>0</v>
      </c>
      <c r="I150" s="47">
        <v>1</v>
      </c>
      <c r="J150" s="47">
        <v>2177</v>
      </c>
      <c r="K150" s="73">
        <v>0</v>
      </c>
      <c r="L150" s="47">
        <v>2177</v>
      </c>
      <c r="M150" s="47">
        <v>2184</v>
      </c>
    </row>
    <row r="151" spans="1:13" ht="15.75" thickBot="1" x14ac:dyDescent="0.3">
      <c r="A151" s="44" t="s">
        <v>811</v>
      </c>
      <c r="B151" s="45" t="s">
        <v>812</v>
      </c>
      <c r="C151" s="44" t="s">
        <v>808</v>
      </c>
      <c r="D151" s="46" t="s">
        <v>799</v>
      </c>
      <c r="E151" s="46" t="s">
        <v>800</v>
      </c>
      <c r="F151" s="47">
        <v>1</v>
      </c>
      <c r="G151" s="47">
        <v>0</v>
      </c>
      <c r="H151" s="47">
        <v>0</v>
      </c>
      <c r="I151" s="47">
        <v>1</v>
      </c>
      <c r="J151" s="47">
        <v>16898</v>
      </c>
      <c r="K151" s="73">
        <v>0</v>
      </c>
      <c r="L151" s="47">
        <v>16898</v>
      </c>
      <c r="M151" s="47">
        <v>2224</v>
      </c>
    </row>
    <row r="152" spans="1:13" ht="15.75" thickBot="1" x14ac:dyDescent="0.3">
      <c r="A152" s="44" t="s">
        <v>813</v>
      </c>
      <c r="B152" s="45" t="s">
        <v>814</v>
      </c>
      <c r="C152" s="44" t="s">
        <v>808</v>
      </c>
      <c r="D152" s="46" t="s">
        <v>799</v>
      </c>
      <c r="E152" s="46" t="s">
        <v>800</v>
      </c>
      <c r="F152" s="47">
        <v>1</v>
      </c>
      <c r="G152" s="47">
        <v>3</v>
      </c>
      <c r="H152" s="47">
        <v>0</v>
      </c>
      <c r="I152" s="47">
        <v>4</v>
      </c>
      <c r="J152" s="47">
        <v>8200</v>
      </c>
      <c r="K152" s="73">
        <v>3600</v>
      </c>
      <c r="L152" s="47">
        <v>11800</v>
      </c>
      <c r="M152" s="47">
        <v>5880</v>
      </c>
    </row>
    <row r="153" spans="1:13" ht="15.75" thickBot="1" x14ac:dyDescent="0.3">
      <c r="A153" s="44" t="s">
        <v>825</v>
      </c>
      <c r="B153" s="45" t="s">
        <v>826</v>
      </c>
      <c r="C153" s="44" t="s">
        <v>808</v>
      </c>
      <c r="D153" s="46" t="s">
        <v>804</v>
      </c>
      <c r="E153" s="46" t="s">
        <v>805</v>
      </c>
      <c r="F153" s="47">
        <v>1</v>
      </c>
      <c r="G153" s="47">
        <v>0</v>
      </c>
      <c r="H153" s="47">
        <v>0</v>
      </c>
      <c r="I153" s="47">
        <v>1</v>
      </c>
      <c r="J153" s="47">
        <v>26000</v>
      </c>
      <c r="K153" s="73">
        <v>0</v>
      </c>
      <c r="L153" s="47">
        <v>26000</v>
      </c>
      <c r="M153" s="47">
        <v>3137</v>
      </c>
    </row>
    <row r="154" spans="1:13" ht="15.75" thickBot="1" x14ac:dyDescent="0.3">
      <c r="A154" s="44" t="s">
        <v>833</v>
      </c>
      <c r="B154" s="45" t="s">
        <v>834</v>
      </c>
      <c r="C154" s="44" t="s">
        <v>808</v>
      </c>
      <c r="D154" s="46" t="s">
        <v>804</v>
      </c>
      <c r="E154" s="46" t="s">
        <v>805</v>
      </c>
      <c r="F154" s="47">
        <v>1</v>
      </c>
      <c r="G154" s="47">
        <v>0</v>
      </c>
      <c r="H154" s="47">
        <v>0</v>
      </c>
      <c r="I154" s="47">
        <v>1</v>
      </c>
      <c r="J154" s="47">
        <v>13600</v>
      </c>
      <c r="K154" s="73">
        <v>0</v>
      </c>
      <c r="L154" s="47">
        <v>13600</v>
      </c>
      <c r="M154" s="47">
        <v>2051</v>
      </c>
    </row>
    <row r="155" spans="1:13" ht="15.75" thickBot="1" x14ac:dyDescent="0.3">
      <c r="A155" s="44" t="s">
        <v>848</v>
      </c>
      <c r="B155" s="45" t="s">
        <v>849</v>
      </c>
      <c r="C155" s="44" t="s">
        <v>808</v>
      </c>
      <c r="D155" s="46" t="s">
        <v>799</v>
      </c>
      <c r="E155" s="46" t="s">
        <v>800</v>
      </c>
      <c r="F155" s="47">
        <v>1</v>
      </c>
      <c r="G155" s="47">
        <v>0</v>
      </c>
      <c r="H155" s="47">
        <v>0</v>
      </c>
      <c r="I155" s="47">
        <v>1</v>
      </c>
      <c r="J155" s="47">
        <v>2300</v>
      </c>
      <c r="K155" s="74">
        <v>0</v>
      </c>
      <c r="L155" s="47">
        <v>2300</v>
      </c>
      <c r="M155" s="47">
        <v>2101</v>
      </c>
    </row>
    <row r="156" spans="1:13" ht="15.75" thickBot="1" x14ac:dyDescent="0.3">
      <c r="A156" s="44" t="s">
        <v>859</v>
      </c>
      <c r="B156" s="45" t="s">
        <v>860</v>
      </c>
      <c r="C156" s="44" t="s">
        <v>808</v>
      </c>
      <c r="D156" s="46" t="s">
        <v>799</v>
      </c>
      <c r="E156" s="46" t="s">
        <v>800</v>
      </c>
      <c r="F156" s="47">
        <v>1</v>
      </c>
      <c r="G156" s="47">
        <v>0</v>
      </c>
      <c r="H156" s="47">
        <v>0</v>
      </c>
      <c r="I156" s="47">
        <v>1</v>
      </c>
      <c r="J156" s="47">
        <v>2400</v>
      </c>
      <c r="K156" s="73">
        <v>0</v>
      </c>
      <c r="L156" s="47">
        <v>2400</v>
      </c>
      <c r="M156" s="47">
        <v>2076</v>
      </c>
    </row>
    <row r="157" spans="1:13" ht="15.75" thickBot="1" x14ac:dyDescent="0.3">
      <c r="A157" s="44" t="s">
        <v>879</v>
      </c>
      <c r="B157" s="45" t="s">
        <v>880</v>
      </c>
      <c r="C157" s="44" t="s">
        <v>808</v>
      </c>
      <c r="D157" s="46" t="s">
        <v>844</v>
      </c>
      <c r="E157" s="46" t="s">
        <v>845</v>
      </c>
      <c r="F157" s="47">
        <v>1</v>
      </c>
      <c r="G157" s="47">
        <v>0</v>
      </c>
      <c r="H157" s="47">
        <v>0</v>
      </c>
      <c r="I157" s="47">
        <v>1</v>
      </c>
      <c r="J157" s="47">
        <v>12250</v>
      </c>
      <c r="K157" s="73">
        <v>0</v>
      </c>
      <c r="L157" s="47">
        <v>12250</v>
      </c>
      <c r="M157" s="47">
        <v>2754</v>
      </c>
    </row>
    <row r="158" spans="1:13" ht="15.75" thickBot="1" x14ac:dyDescent="0.3">
      <c r="A158" s="44" t="s">
        <v>889</v>
      </c>
      <c r="B158" s="45" t="s">
        <v>890</v>
      </c>
      <c r="C158" s="44" t="s">
        <v>808</v>
      </c>
      <c r="D158" s="46" t="s">
        <v>804</v>
      </c>
      <c r="E158" s="46" t="s">
        <v>805</v>
      </c>
      <c r="F158" s="47">
        <v>1</v>
      </c>
      <c r="G158" s="47">
        <v>0</v>
      </c>
      <c r="H158" s="47">
        <v>0</v>
      </c>
      <c r="I158" s="47">
        <v>1</v>
      </c>
      <c r="J158" s="47">
        <v>10825</v>
      </c>
      <c r="K158" s="73">
        <v>0</v>
      </c>
      <c r="L158" s="47">
        <v>10825</v>
      </c>
      <c r="M158" s="47">
        <v>1976</v>
      </c>
    </row>
    <row r="159" spans="1:13" ht="15.75" thickBot="1" x14ac:dyDescent="0.3">
      <c r="A159" s="44" t="s">
        <v>893</v>
      </c>
      <c r="B159" s="45" t="s">
        <v>894</v>
      </c>
      <c r="C159" s="44" t="s">
        <v>808</v>
      </c>
      <c r="D159" s="46" t="s">
        <v>895</v>
      </c>
      <c r="E159" s="46" t="s">
        <v>896</v>
      </c>
      <c r="F159" s="47">
        <v>1</v>
      </c>
      <c r="G159" s="47">
        <v>0</v>
      </c>
      <c r="H159" s="47">
        <v>1</v>
      </c>
      <c r="I159" s="47">
        <v>2</v>
      </c>
      <c r="J159" s="47">
        <v>12000</v>
      </c>
      <c r="K159" s="73">
        <v>0</v>
      </c>
      <c r="L159" s="47">
        <v>12000</v>
      </c>
      <c r="M159" s="47">
        <v>3278</v>
      </c>
    </row>
    <row r="160" spans="1:13" ht="15.75" thickBot="1" x14ac:dyDescent="0.3">
      <c r="A160" s="44" t="s">
        <v>911</v>
      </c>
      <c r="B160" s="45" t="s">
        <v>912</v>
      </c>
      <c r="C160" s="44" t="s">
        <v>808</v>
      </c>
      <c r="D160" s="46" t="s">
        <v>804</v>
      </c>
      <c r="E160" s="46" t="s">
        <v>805</v>
      </c>
      <c r="F160" s="47">
        <v>1</v>
      </c>
      <c r="G160" s="47">
        <v>0</v>
      </c>
      <c r="H160" s="47">
        <v>0</v>
      </c>
      <c r="I160" s="47">
        <v>1</v>
      </c>
      <c r="J160" s="47">
        <v>11509</v>
      </c>
      <c r="K160" s="73">
        <v>0</v>
      </c>
      <c r="L160" s="47">
        <v>11509</v>
      </c>
      <c r="M160" s="47">
        <v>2735</v>
      </c>
    </row>
    <row r="161" spans="1:13" ht="15.75" thickBot="1" x14ac:dyDescent="0.3">
      <c r="A161" s="44" t="s">
        <v>913</v>
      </c>
      <c r="B161" s="45" t="s">
        <v>914</v>
      </c>
      <c r="C161" s="44" t="s">
        <v>808</v>
      </c>
      <c r="D161" s="46" t="s">
        <v>804</v>
      </c>
      <c r="E161" s="46" t="s">
        <v>805</v>
      </c>
      <c r="F161" s="47">
        <v>1</v>
      </c>
      <c r="G161" s="47">
        <v>0</v>
      </c>
      <c r="H161" s="47">
        <v>0</v>
      </c>
      <c r="I161" s="47">
        <v>1</v>
      </c>
      <c r="J161" s="47">
        <v>9100</v>
      </c>
      <c r="K161" s="73">
        <v>0</v>
      </c>
      <c r="L161" s="47">
        <v>9100</v>
      </c>
      <c r="M161" s="47">
        <v>2392</v>
      </c>
    </row>
    <row r="162" spans="1:13" ht="15.75" thickBot="1" x14ac:dyDescent="0.3">
      <c r="A162" s="44" t="s">
        <v>919</v>
      </c>
      <c r="B162" s="45" t="s">
        <v>920</v>
      </c>
      <c r="C162" s="44" t="s">
        <v>808</v>
      </c>
      <c r="D162" s="46" t="s">
        <v>804</v>
      </c>
      <c r="E162" s="46" t="s">
        <v>805</v>
      </c>
      <c r="F162" s="47">
        <v>1</v>
      </c>
      <c r="G162" s="47">
        <v>0</v>
      </c>
      <c r="H162" s="47">
        <v>0</v>
      </c>
      <c r="I162" s="47">
        <v>1</v>
      </c>
      <c r="J162" s="47">
        <v>7380</v>
      </c>
      <c r="K162" s="73">
        <v>0</v>
      </c>
      <c r="L162" s="47">
        <v>7380</v>
      </c>
      <c r="M162" s="47">
        <v>2015</v>
      </c>
    </row>
    <row r="163" spans="1:13" ht="15.75" thickBot="1" x14ac:dyDescent="0.3">
      <c r="A163" s="44" t="s">
        <v>927</v>
      </c>
      <c r="B163" s="45" t="s">
        <v>928</v>
      </c>
      <c r="C163" s="44" t="s">
        <v>808</v>
      </c>
      <c r="D163" s="46" t="s">
        <v>799</v>
      </c>
      <c r="E163" s="46" t="s">
        <v>800</v>
      </c>
      <c r="F163" s="47">
        <v>1</v>
      </c>
      <c r="G163" s="47">
        <v>0</v>
      </c>
      <c r="H163" s="47">
        <v>0</v>
      </c>
      <c r="I163" s="47">
        <v>1</v>
      </c>
      <c r="J163" s="47">
        <v>15000</v>
      </c>
      <c r="K163" s="73">
        <v>0</v>
      </c>
      <c r="L163" s="47">
        <v>15000</v>
      </c>
      <c r="M163" s="47">
        <v>3267</v>
      </c>
    </row>
    <row r="164" spans="1:13" ht="15.75" thickBot="1" x14ac:dyDescent="0.3">
      <c r="A164" s="44" t="s">
        <v>931</v>
      </c>
      <c r="B164" s="45" t="s">
        <v>932</v>
      </c>
      <c r="C164" s="44" t="s">
        <v>808</v>
      </c>
      <c r="D164" s="46" t="s">
        <v>804</v>
      </c>
      <c r="E164" s="46" t="s">
        <v>805</v>
      </c>
      <c r="F164" s="47">
        <v>1</v>
      </c>
      <c r="G164" s="47">
        <v>1</v>
      </c>
      <c r="H164" s="47">
        <v>0</v>
      </c>
      <c r="I164" s="47">
        <v>2</v>
      </c>
      <c r="J164" s="47">
        <v>6400</v>
      </c>
      <c r="K164" s="73">
        <v>2610</v>
      </c>
      <c r="L164" s="47">
        <v>9010</v>
      </c>
      <c r="M164" s="47">
        <v>4112</v>
      </c>
    </row>
    <row r="165" spans="1:13" ht="15.75" thickBot="1" x14ac:dyDescent="0.3">
      <c r="A165" s="44" t="s">
        <v>935</v>
      </c>
      <c r="B165" s="45" t="s">
        <v>936</v>
      </c>
      <c r="C165" s="44" t="s">
        <v>808</v>
      </c>
      <c r="D165" s="46" t="s">
        <v>804</v>
      </c>
      <c r="E165" s="46" t="s">
        <v>805</v>
      </c>
      <c r="F165" s="47">
        <v>1</v>
      </c>
      <c r="G165" s="47">
        <v>0</v>
      </c>
      <c r="H165" s="47">
        <v>0</v>
      </c>
      <c r="I165" s="47">
        <v>1</v>
      </c>
      <c r="J165" s="47">
        <v>10016</v>
      </c>
      <c r="K165" s="73">
        <v>0</v>
      </c>
      <c r="L165" s="47">
        <v>10016</v>
      </c>
      <c r="M165" s="47">
        <v>2098</v>
      </c>
    </row>
    <row r="166" spans="1:13" ht="15.75" thickBot="1" x14ac:dyDescent="0.3">
      <c r="A166" s="44" t="s">
        <v>937</v>
      </c>
      <c r="B166" s="45" t="s">
        <v>938</v>
      </c>
      <c r="C166" s="44" t="s">
        <v>808</v>
      </c>
      <c r="D166" s="46" t="s">
        <v>804</v>
      </c>
      <c r="E166" s="46" t="s">
        <v>805</v>
      </c>
      <c r="F166" s="47">
        <v>1</v>
      </c>
      <c r="G166" s="47">
        <v>0</v>
      </c>
      <c r="H166" s="47">
        <v>0</v>
      </c>
      <c r="I166" s="47">
        <v>1</v>
      </c>
      <c r="J166" s="47">
        <v>7940</v>
      </c>
      <c r="K166" s="73">
        <v>0</v>
      </c>
      <c r="L166" s="47">
        <v>7940</v>
      </c>
      <c r="M166" s="47">
        <v>2184</v>
      </c>
    </row>
    <row r="167" spans="1:13" ht="15.75" thickBot="1" x14ac:dyDescent="0.3">
      <c r="A167" s="44" t="s">
        <v>943</v>
      </c>
      <c r="B167" s="45" t="s">
        <v>944</v>
      </c>
      <c r="C167" s="44" t="s">
        <v>808</v>
      </c>
      <c r="D167" s="46" t="s">
        <v>804</v>
      </c>
      <c r="E167" s="46" t="s">
        <v>805</v>
      </c>
      <c r="F167" s="47">
        <v>1</v>
      </c>
      <c r="G167" s="47">
        <v>0</v>
      </c>
      <c r="H167" s="47">
        <v>0</v>
      </c>
      <c r="I167" s="47">
        <v>1</v>
      </c>
      <c r="J167" s="47">
        <v>34000</v>
      </c>
      <c r="K167" s="73">
        <v>0</v>
      </c>
      <c r="L167" s="47">
        <v>34000</v>
      </c>
      <c r="M167" s="47">
        <v>2931</v>
      </c>
    </row>
    <row r="168" spans="1:13" ht="15.75" thickBot="1" x14ac:dyDescent="0.3">
      <c r="A168" s="44" t="s">
        <v>979</v>
      </c>
      <c r="B168" s="45" t="s">
        <v>980</v>
      </c>
      <c r="C168" s="44" t="s">
        <v>808</v>
      </c>
      <c r="D168" s="46" t="s">
        <v>804</v>
      </c>
      <c r="E168" s="46" t="s">
        <v>805</v>
      </c>
      <c r="F168" s="47">
        <v>1</v>
      </c>
      <c r="G168" s="47">
        <v>0</v>
      </c>
      <c r="H168" s="47">
        <v>0</v>
      </c>
      <c r="I168" s="47">
        <v>1</v>
      </c>
      <c r="J168" s="47">
        <v>9200</v>
      </c>
      <c r="K168" s="73">
        <v>0</v>
      </c>
      <c r="L168" s="47">
        <v>9200</v>
      </c>
      <c r="M168" s="47">
        <v>2184</v>
      </c>
    </row>
    <row r="169" spans="1:13" ht="15.75" thickBot="1" x14ac:dyDescent="0.3">
      <c r="A169" s="44" t="s">
        <v>1003</v>
      </c>
      <c r="B169" s="45" t="s">
        <v>1004</v>
      </c>
      <c r="C169" s="44" t="s">
        <v>808</v>
      </c>
      <c r="D169" s="46" t="s">
        <v>844</v>
      </c>
      <c r="E169" s="46" t="s">
        <v>845</v>
      </c>
      <c r="F169" s="47">
        <v>1</v>
      </c>
      <c r="G169" s="47">
        <v>0</v>
      </c>
      <c r="H169" s="47">
        <v>0</v>
      </c>
      <c r="I169" s="47">
        <v>1</v>
      </c>
      <c r="J169" s="47">
        <v>7680</v>
      </c>
      <c r="K169" s="73">
        <v>0</v>
      </c>
      <c r="L169" s="47">
        <v>7680</v>
      </c>
      <c r="M169" s="47">
        <v>2392</v>
      </c>
    </row>
    <row r="170" spans="1:13" ht="15.75" thickBot="1" x14ac:dyDescent="0.3">
      <c r="A170" s="44" t="s">
        <v>1015</v>
      </c>
      <c r="B170" s="45" t="s">
        <v>1016</v>
      </c>
      <c r="C170" s="44" t="s">
        <v>808</v>
      </c>
      <c r="D170" s="46" t="s">
        <v>844</v>
      </c>
      <c r="E170" s="46" t="s">
        <v>845</v>
      </c>
      <c r="F170" s="47">
        <v>1</v>
      </c>
      <c r="G170" s="47">
        <v>0</v>
      </c>
      <c r="H170" s="47">
        <v>0</v>
      </c>
      <c r="I170" s="47">
        <v>1</v>
      </c>
      <c r="J170" s="47">
        <v>7100</v>
      </c>
      <c r="K170" s="73">
        <v>0</v>
      </c>
      <c r="L170" s="47">
        <v>7100</v>
      </c>
      <c r="M170" s="47">
        <v>2091</v>
      </c>
    </row>
    <row r="171" spans="1:13" ht="15.75" thickBot="1" x14ac:dyDescent="0.3">
      <c r="A171" s="44" t="s">
        <v>1029</v>
      </c>
      <c r="B171" s="45" t="s">
        <v>1030</v>
      </c>
      <c r="C171" s="44" t="s">
        <v>808</v>
      </c>
      <c r="D171" s="46" t="s">
        <v>1031</v>
      </c>
      <c r="E171" s="46" t="s">
        <v>1032</v>
      </c>
      <c r="F171" s="47">
        <v>1</v>
      </c>
      <c r="G171" s="47">
        <v>0</v>
      </c>
      <c r="H171" s="47">
        <v>0</v>
      </c>
      <c r="I171" s="47">
        <v>1</v>
      </c>
      <c r="J171" s="47">
        <v>7320</v>
      </c>
      <c r="K171" s="73">
        <v>0</v>
      </c>
      <c r="L171" s="47">
        <v>7320</v>
      </c>
      <c r="M171" s="47">
        <v>2393</v>
      </c>
    </row>
    <row r="172" spans="1:13" ht="15.75" thickBot="1" x14ac:dyDescent="0.3">
      <c r="A172" s="44" t="s">
        <v>1033</v>
      </c>
      <c r="B172" s="45" t="s">
        <v>1034</v>
      </c>
      <c r="C172" s="44" t="s">
        <v>808</v>
      </c>
      <c r="D172" s="46" t="s">
        <v>804</v>
      </c>
      <c r="E172" s="46" t="s">
        <v>805</v>
      </c>
      <c r="F172" s="47">
        <v>1</v>
      </c>
      <c r="G172" s="47">
        <v>0</v>
      </c>
      <c r="H172" s="47">
        <v>0</v>
      </c>
      <c r="I172" s="47">
        <v>1</v>
      </c>
      <c r="J172" s="47">
        <v>7696</v>
      </c>
      <c r="K172" s="73">
        <v>0</v>
      </c>
      <c r="L172" s="47">
        <v>7696</v>
      </c>
      <c r="M172" s="47">
        <v>1404</v>
      </c>
    </row>
    <row r="173" spans="1:13" ht="15.75" thickBot="1" x14ac:dyDescent="0.3">
      <c r="A173" s="44" t="s">
        <v>1045</v>
      </c>
      <c r="B173" s="45" t="s">
        <v>1046</v>
      </c>
      <c r="C173" s="44" t="s">
        <v>808</v>
      </c>
      <c r="D173" s="46" t="s">
        <v>1047</v>
      </c>
      <c r="E173" s="46" t="s">
        <v>1048</v>
      </c>
      <c r="F173" s="47">
        <v>1</v>
      </c>
      <c r="G173" s="47">
        <v>0</v>
      </c>
      <c r="H173" s="47">
        <v>0</v>
      </c>
      <c r="I173" s="47">
        <v>1</v>
      </c>
      <c r="J173" s="47">
        <v>9065</v>
      </c>
      <c r="K173" s="73">
        <v>0</v>
      </c>
      <c r="L173" s="47">
        <v>9065</v>
      </c>
      <c r="M173" s="47">
        <v>2028</v>
      </c>
    </row>
    <row r="174" spans="1:13" ht="15.75" thickBot="1" x14ac:dyDescent="0.3">
      <c r="A174" s="44" t="s">
        <v>1069</v>
      </c>
      <c r="B174" s="45" t="s">
        <v>1070</v>
      </c>
      <c r="C174" s="44" t="s">
        <v>808</v>
      </c>
      <c r="D174" s="46" t="s">
        <v>804</v>
      </c>
      <c r="E174" s="46" t="s">
        <v>805</v>
      </c>
      <c r="F174" s="47">
        <v>1</v>
      </c>
      <c r="G174" s="47">
        <v>0</v>
      </c>
      <c r="H174" s="47">
        <v>0</v>
      </c>
      <c r="I174" s="47">
        <v>1</v>
      </c>
      <c r="J174" s="47">
        <v>14400</v>
      </c>
      <c r="K174" s="73">
        <v>0</v>
      </c>
      <c r="L174" s="47">
        <v>14400</v>
      </c>
      <c r="M174" s="47">
        <v>3210</v>
      </c>
    </row>
    <row r="175" spans="1:13" ht="15.75" thickBot="1" x14ac:dyDescent="0.3">
      <c r="A175" s="44" t="s">
        <v>1081</v>
      </c>
      <c r="B175" s="45" t="s">
        <v>1082</v>
      </c>
      <c r="C175" s="44" t="s">
        <v>808</v>
      </c>
      <c r="D175" s="46" t="s">
        <v>804</v>
      </c>
      <c r="E175" s="46" t="s">
        <v>805</v>
      </c>
      <c r="F175" s="47">
        <v>1</v>
      </c>
      <c r="G175" s="47">
        <v>0</v>
      </c>
      <c r="H175" s="47">
        <v>0</v>
      </c>
      <c r="I175" s="47">
        <v>1</v>
      </c>
      <c r="J175" s="47">
        <v>5400</v>
      </c>
      <c r="K175" s="73">
        <v>0</v>
      </c>
      <c r="L175" s="47">
        <v>5400</v>
      </c>
      <c r="M175" s="47">
        <v>1612</v>
      </c>
    </row>
    <row r="176" spans="1:13" ht="15.75" thickBot="1" x14ac:dyDescent="0.3">
      <c r="A176" s="44" t="s">
        <v>1087</v>
      </c>
      <c r="B176" s="45" t="s">
        <v>1088</v>
      </c>
      <c r="C176" s="44" t="s">
        <v>808</v>
      </c>
      <c r="D176" s="46" t="s">
        <v>804</v>
      </c>
      <c r="E176" s="46" t="s">
        <v>805</v>
      </c>
      <c r="F176" s="47">
        <v>1</v>
      </c>
      <c r="G176" s="47">
        <v>0</v>
      </c>
      <c r="H176" s="47">
        <v>0</v>
      </c>
      <c r="I176" s="47">
        <v>1</v>
      </c>
      <c r="J176" s="47">
        <v>16800</v>
      </c>
      <c r="K176" s="73">
        <v>0</v>
      </c>
      <c r="L176" s="47">
        <v>16800</v>
      </c>
      <c r="M176" s="47">
        <v>2337</v>
      </c>
    </row>
    <row r="177" spans="1:13" ht="15.75" thickBot="1" x14ac:dyDescent="0.3">
      <c r="A177" s="44" t="s">
        <v>1095</v>
      </c>
      <c r="B177" s="45" t="s">
        <v>1096</v>
      </c>
      <c r="C177" s="44" t="s">
        <v>808</v>
      </c>
      <c r="D177" s="46" t="s">
        <v>804</v>
      </c>
      <c r="E177" s="46" t="s">
        <v>805</v>
      </c>
      <c r="F177" s="47">
        <v>1</v>
      </c>
      <c r="G177" s="47">
        <v>0</v>
      </c>
      <c r="H177" s="47">
        <v>0</v>
      </c>
      <c r="I177" s="47">
        <v>1</v>
      </c>
      <c r="J177" s="47">
        <v>3562</v>
      </c>
      <c r="K177" s="73">
        <v>0</v>
      </c>
      <c r="L177" s="47">
        <v>3562</v>
      </c>
      <c r="M177" s="47">
        <v>2194</v>
      </c>
    </row>
    <row r="178" spans="1:13" ht="15.75" thickBot="1" x14ac:dyDescent="0.3">
      <c r="A178" s="44" t="s">
        <v>1109</v>
      </c>
      <c r="B178" s="45" t="s">
        <v>1110</v>
      </c>
      <c r="C178" s="44" t="s">
        <v>808</v>
      </c>
      <c r="D178" s="46" t="s">
        <v>804</v>
      </c>
      <c r="E178" s="46" t="s">
        <v>805</v>
      </c>
      <c r="F178" s="47">
        <v>1</v>
      </c>
      <c r="G178" s="47">
        <v>0</v>
      </c>
      <c r="H178" s="47">
        <v>0</v>
      </c>
      <c r="I178" s="47">
        <v>1</v>
      </c>
      <c r="J178" s="47">
        <v>15000</v>
      </c>
      <c r="K178" s="73">
        <v>0</v>
      </c>
      <c r="L178" s="47">
        <v>15000</v>
      </c>
      <c r="M178" s="47">
        <v>2500</v>
      </c>
    </row>
    <row r="179" spans="1:13" ht="15.75" thickBot="1" x14ac:dyDescent="0.3">
      <c r="A179" s="44" t="s">
        <v>1127</v>
      </c>
      <c r="B179" s="45" t="s">
        <v>1128</v>
      </c>
      <c r="C179" s="44" t="s">
        <v>808</v>
      </c>
      <c r="D179" s="46" t="s">
        <v>844</v>
      </c>
      <c r="E179" s="46" t="s">
        <v>845</v>
      </c>
      <c r="F179" s="47">
        <v>1</v>
      </c>
      <c r="G179" s="47">
        <v>0</v>
      </c>
      <c r="H179" s="47">
        <v>0</v>
      </c>
      <c r="I179" s="47">
        <v>1</v>
      </c>
      <c r="J179" s="47">
        <v>7000</v>
      </c>
      <c r="K179" s="73">
        <v>0</v>
      </c>
      <c r="L179" s="47">
        <v>7000</v>
      </c>
      <c r="M179" s="47">
        <v>2607</v>
      </c>
    </row>
    <row r="180" spans="1:13" ht="15.75" thickBot="1" x14ac:dyDescent="0.3">
      <c r="A180" s="44" t="s">
        <v>1135</v>
      </c>
      <c r="B180" s="45" t="s">
        <v>1136</v>
      </c>
      <c r="C180" s="44" t="s">
        <v>808</v>
      </c>
      <c r="D180" s="46" t="s">
        <v>799</v>
      </c>
      <c r="E180" s="46" t="s">
        <v>800</v>
      </c>
      <c r="F180" s="47">
        <v>1</v>
      </c>
      <c r="G180" s="47">
        <v>0</v>
      </c>
      <c r="H180" s="47">
        <v>0</v>
      </c>
      <c r="I180" s="47">
        <v>1</v>
      </c>
      <c r="J180" s="47">
        <v>4150</v>
      </c>
      <c r="K180" s="73">
        <v>0</v>
      </c>
      <c r="L180" s="47">
        <v>4150</v>
      </c>
      <c r="M180" s="47">
        <v>2652</v>
      </c>
    </row>
    <row r="181" spans="1:13" ht="15.75" thickBot="1" x14ac:dyDescent="0.3">
      <c r="A181" s="44" t="s">
        <v>1143</v>
      </c>
      <c r="B181" s="45" t="s">
        <v>1144</v>
      </c>
      <c r="C181" s="44" t="s">
        <v>808</v>
      </c>
      <c r="D181" s="46" t="s">
        <v>804</v>
      </c>
      <c r="E181" s="46" t="s">
        <v>805</v>
      </c>
      <c r="F181" s="47">
        <v>1</v>
      </c>
      <c r="G181" s="47">
        <v>0</v>
      </c>
      <c r="H181" s="47">
        <v>0</v>
      </c>
      <c r="I181" s="47">
        <v>1</v>
      </c>
      <c r="J181" s="47">
        <v>17060</v>
      </c>
      <c r="K181" s="73">
        <v>0</v>
      </c>
      <c r="L181" s="47">
        <v>17060</v>
      </c>
      <c r="M181" s="47">
        <v>2496</v>
      </c>
    </row>
    <row r="182" spans="1:13" ht="15.75" thickBot="1" x14ac:dyDescent="0.3">
      <c r="A182" s="44" t="s">
        <v>1163</v>
      </c>
      <c r="B182" s="45" t="s">
        <v>1164</v>
      </c>
      <c r="C182" s="44" t="s">
        <v>808</v>
      </c>
      <c r="D182" s="46" t="s">
        <v>885</v>
      </c>
      <c r="E182" s="46" t="s">
        <v>886</v>
      </c>
      <c r="F182" s="47">
        <v>1</v>
      </c>
      <c r="G182" s="47">
        <v>0</v>
      </c>
      <c r="H182" s="47">
        <v>0</v>
      </c>
      <c r="I182" s="47">
        <v>1</v>
      </c>
      <c r="J182" s="47">
        <v>10952</v>
      </c>
      <c r="K182" s="73">
        <v>0</v>
      </c>
      <c r="L182" s="47">
        <v>10952</v>
      </c>
      <c r="M182" s="47">
        <v>2652</v>
      </c>
    </row>
    <row r="183" spans="1:13" ht="15.75" thickBot="1" x14ac:dyDescent="0.3">
      <c r="A183" s="44" t="s">
        <v>1193</v>
      </c>
      <c r="B183" s="45" t="s">
        <v>1194</v>
      </c>
      <c r="C183" s="44" t="s">
        <v>808</v>
      </c>
      <c r="D183" s="46" t="s">
        <v>804</v>
      </c>
      <c r="E183" s="46" t="s">
        <v>805</v>
      </c>
      <c r="F183" s="47">
        <v>1</v>
      </c>
      <c r="G183" s="47">
        <v>0</v>
      </c>
      <c r="H183" s="47">
        <v>0</v>
      </c>
      <c r="I183" s="47">
        <v>1</v>
      </c>
      <c r="J183" s="47">
        <v>2000</v>
      </c>
      <c r="K183" s="74">
        <v>0</v>
      </c>
      <c r="L183" s="47">
        <v>2000</v>
      </c>
      <c r="M183" s="47">
        <v>2080</v>
      </c>
    </row>
    <row r="184" spans="1:13" ht="15.75" thickBot="1" x14ac:dyDescent="0.3">
      <c r="A184" s="44" t="s">
        <v>1199</v>
      </c>
      <c r="B184" s="45" t="s">
        <v>1200</v>
      </c>
      <c r="C184" s="44" t="s">
        <v>808</v>
      </c>
      <c r="D184" s="46" t="s">
        <v>804</v>
      </c>
      <c r="E184" s="46" t="s">
        <v>805</v>
      </c>
      <c r="F184" s="47">
        <v>1</v>
      </c>
      <c r="G184" s="47">
        <v>0</v>
      </c>
      <c r="H184" s="47">
        <v>0</v>
      </c>
      <c r="I184" s="47">
        <v>1</v>
      </c>
      <c r="J184" s="47">
        <v>4416</v>
      </c>
      <c r="K184" s="73">
        <v>0</v>
      </c>
      <c r="L184" s="47">
        <v>4416</v>
      </c>
      <c r="M184" s="47">
        <v>1276</v>
      </c>
    </row>
    <row r="185" spans="1:13" ht="15.75" thickBot="1" x14ac:dyDescent="0.3">
      <c r="A185" s="44" t="s">
        <v>1217</v>
      </c>
      <c r="B185" s="45" t="s">
        <v>1218</v>
      </c>
      <c r="C185" s="44" t="s">
        <v>808</v>
      </c>
      <c r="D185" s="46" t="s">
        <v>804</v>
      </c>
      <c r="E185" s="46" t="s">
        <v>805</v>
      </c>
      <c r="F185" s="47">
        <v>1</v>
      </c>
      <c r="G185" s="47">
        <v>0</v>
      </c>
      <c r="H185" s="47">
        <v>0</v>
      </c>
      <c r="I185" s="47">
        <v>1</v>
      </c>
      <c r="J185" s="47">
        <v>2440</v>
      </c>
      <c r="K185" s="73">
        <v>0</v>
      </c>
      <c r="L185" s="47">
        <v>2440</v>
      </c>
      <c r="M185" s="47">
        <v>2562</v>
      </c>
    </row>
    <row r="186" spans="1:13" ht="15.75" thickBot="1" x14ac:dyDescent="0.3">
      <c r="A186" s="44" t="s">
        <v>1229</v>
      </c>
      <c r="B186" s="45" t="s">
        <v>1230</v>
      </c>
      <c r="C186" s="44" t="s">
        <v>808</v>
      </c>
      <c r="D186" s="46" t="s">
        <v>804</v>
      </c>
      <c r="E186" s="46" t="s">
        <v>805</v>
      </c>
      <c r="F186" s="47">
        <v>1</v>
      </c>
      <c r="G186" s="47">
        <v>0</v>
      </c>
      <c r="H186" s="47">
        <v>0</v>
      </c>
      <c r="I186" s="47">
        <v>1</v>
      </c>
      <c r="J186" s="47">
        <v>7300</v>
      </c>
      <c r="K186" s="74">
        <v>0</v>
      </c>
      <c r="L186" s="47">
        <v>7300</v>
      </c>
      <c r="M186" s="47">
        <v>2288</v>
      </c>
    </row>
    <row r="187" spans="1:13" ht="15.75" thickBot="1" x14ac:dyDescent="0.3">
      <c r="A187" s="44" t="s">
        <v>1251</v>
      </c>
      <c r="B187" s="45" t="s">
        <v>1252</v>
      </c>
      <c r="C187" s="44" t="s">
        <v>808</v>
      </c>
      <c r="D187" s="46" t="s">
        <v>1253</v>
      </c>
      <c r="E187" s="46" t="s">
        <v>1254</v>
      </c>
      <c r="F187" s="47">
        <v>1</v>
      </c>
      <c r="G187" s="47">
        <v>0</v>
      </c>
      <c r="H187" s="47">
        <v>0</v>
      </c>
      <c r="I187" s="47">
        <v>1</v>
      </c>
      <c r="J187" s="47">
        <v>5926</v>
      </c>
      <c r="K187" s="73">
        <v>0</v>
      </c>
      <c r="L187" s="47">
        <v>5926</v>
      </c>
      <c r="M187" s="47">
        <v>2704</v>
      </c>
    </row>
    <row r="188" spans="1:13" ht="15.75" thickBot="1" x14ac:dyDescent="0.3">
      <c r="A188" s="44" t="s">
        <v>1257</v>
      </c>
      <c r="B188" s="45" t="s">
        <v>1258</v>
      </c>
      <c r="C188" s="44" t="s">
        <v>808</v>
      </c>
      <c r="D188" s="46" t="s">
        <v>804</v>
      </c>
      <c r="E188" s="46" t="s">
        <v>805</v>
      </c>
      <c r="F188" s="47">
        <v>1</v>
      </c>
      <c r="G188" s="47">
        <v>0</v>
      </c>
      <c r="H188" s="47">
        <v>0</v>
      </c>
      <c r="I188" s="47">
        <v>1</v>
      </c>
      <c r="J188" s="47">
        <v>7284</v>
      </c>
      <c r="K188" s="73">
        <v>0</v>
      </c>
      <c r="L188" s="47">
        <v>7284</v>
      </c>
      <c r="M188" s="47">
        <v>2600</v>
      </c>
    </row>
    <row r="189" spans="1:13" ht="15.75" thickBot="1" x14ac:dyDescent="0.3">
      <c r="A189" s="44" t="s">
        <v>1277</v>
      </c>
      <c r="B189" s="45" t="s">
        <v>1278</v>
      </c>
      <c r="C189" s="44" t="s">
        <v>808</v>
      </c>
      <c r="D189" s="46" t="s">
        <v>885</v>
      </c>
      <c r="E189" s="46" t="s">
        <v>886</v>
      </c>
      <c r="F189" s="47">
        <v>1</v>
      </c>
      <c r="G189" s="47">
        <v>0</v>
      </c>
      <c r="H189" s="47">
        <v>0</v>
      </c>
      <c r="I189" s="47">
        <v>1</v>
      </c>
      <c r="J189" s="47">
        <v>6000</v>
      </c>
      <c r="K189" s="73">
        <v>0</v>
      </c>
      <c r="L189" s="47">
        <v>6000</v>
      </c>
      <c r="M189" s="47">
        <v>1655</v>
      </c>
    </row>
    <row r="190" spans="1:13" ht="15.75" thickBot="1" x14ac:dyDescent="0.3">
      <c r="A190" s="44" t="s">
        <v>1289</v>
      </c>
      <c r="B190" s="45" t="s">
        <v>1290</v>
      </c>
      <c r="C190" s="44" t="s">
        <v>808</v>
      </c>
      <c r="D190" s="46" t="s">
        <v>844</v>
      </c>
      <c r="E190" s="46" t="s">
        <v>845</v>
      </c>
      <c r="F190" s="47">
        <v>1</v>
      </c>
      <c r="G190" s="47">
        <v>0</v>
      </c>
      <c r="H190" s="47">
        <v>0</v>
      </c>
      <c r="I190" s="47">
        <v>1</v>
      </c>
      <c r="J190" s="47">
        <v>5520</v>
      </c>
      <c r="K190" s="73">
        <v>0</v>
      </c>
      <c r="L190" s="47">
        <v>5520</v>
      </c>
      <c r="M190" s="47">
        <v>2867</v>
      </c>
    </row>
    <row r="191" spans="1:13" ht="15.75" thickBot="1" x14ac:dyDescent="0.3">
      <c r="A191" s="44" t="s">
        <v>1295</v>
      </c>
      <c r="B191" s="45" t="s">
        <v>1296</v>
      </c>
      <c r="C191" s="44" t="s">
        <v>808</v>
      </c>
      <c r="D191" s="46" t="s">
        <v>799</v>
      </c>
      <c r="E191" s="46" t="s">
        <v>800</v>
      </c>
      <c r="F191" s="47">
        <v>1</v>
      </c>
      <c r="G191" s="47">
        <v>2</v>
      </c>
      <c r="H191" s="47">
        <v>0</v>
      </c>
      <c r="I191" s="47">
        <v>3</v>
      </c>
      <c r="J191" s="47">
        <v>1808</v>
      </c>
      <c r="K191" s="73">
        <v>9024</v>
      </c>
      <c r="L191" s="47">
        <v>10832</v>
      </c>
      <c r="M191" s="47">
        <v>6240</v>
      </c>
    </row>
    <row r="192" spans="1:13" ht="15.75" thickBot="1" x14ac:dyDescent="0.3">
      <c r="A192" s="44" t="s">
        <v>1305</v>
      </c>
      <c r="B192" s="45" t="s">
        <v>1306</v>
      </c>
      <c r="C192" s="44" t="s">
        <v>808</v>
      </c>
      <c r="D192" s="46" t="s">
        <v>804</v>
      </c>
      <c r="E192" s="46" t="s">
        <v>805</v>
      </c>
      <c r="F192" s="47">
        <v>1</v>
      </c>
      <c r="G192" s="47">
        <v>0</v>
      </c>
      <c r="H192" s="47">
        <v>0</v>
      </c>
      <c r="I192" s="47">
        <v>1</v>
      </c>
      <c r="J192" s="47">
        <v>4690</v>
      </c>
      <c r="K192" s="73">
        <v>0</v>
      </c>
      <c r="L192" s="47">
        <v>4690</v>
      </c>
      <c r="M192" s="47">
        <v>2194</v>
      </c>
    </row>
    <row r="193" spans="1:13" ht="15.75" thickBot="1" x14ac:dyDescent="0.3">
      <c r="A193" s="44" t="s">
        <v>1309</v>
      </c>
      <c r="B193" s="45" t="s">
        <v>1310</v>
      </c>
      <c r="C193" s="44" t="s">
        <v>808</v>
      </c>
      <c r="D193" s="46" t="s">
        <v>799</v>
      </c>
      <c r="E193" s="46" t="s">
        <v>800</v>
      </c>
      <c r="F193" s="47">
        <v>1</v>
      </c>
      <c r="G193" s="47">
        <v>0</v>
      </c>
      <c r="H193" s="47">
        <v>0</v>
      </c>
      <c r="I193" s="47">
        <v>1</v>
      </c>
      <c r="J193" s="47">
        <v>4169</v>
      </c>
      <c r="K193" s="73">
        <v>0</v>
      </c>
      <c r="L193" s="47">
        <v>4169</v>
      </c>
      <c r="M193" s="47">
        <v>2198</v>
      </c>
    </row>
    <row r="194" spans="1:13" ht="15.75" thickBot="1" x14ac:dyDescent="0.3">
      <c r="A194" s="44" t="s">
        <v>1321</v>
      </c>
      <c r="B194" s="45" t="s">
        <v>1322</v>
      </c>
      <c r="C194" s="44" t="s">
        <v>808</v>
      </c>
      <c r="D194" s="46" t="s">
        <v>804</v>
      </c>
      <c r="E194" s="46" t="s">
        <v>805</v>
      </c>
      <c r="F194" s="47">
        <v>1</v>
      </c>
      <c r="G194" s="47">
        <v>0</v>
      </c>
      <c r="H194" s="47">
        <v>0</v>
      </c>
      <c r="I194" s="47">
        <v>1</v>
      </c>
      <c r="J194" s="47">
        <v>4300</v>
      </c>
      <c r="K194" s="73">
        <v>0</v>
      </c>
      <c r="L194" s="47">
        <v>4300</v>
      </c>
      <c r="M194" s="47">
        <v>2652</v>
      </c>
    </row>
    <row r="195" spans="1:13" ht="15.75" thickBot="1" x14ac:dyDescent="0.3">
      <c r="A195" s="44" t="s">
        <v>1339</v>
      </c>
      <c r="B195" s="45" t="s">
        <v>1340</v>
      </c>
      <c r="C195" s="44" t="s">
        <v>808</v>
      </c>
      <c r="D195" s="46" t="s">
        <v>799</v>
      </c>
      <c r="E195" s="46" t="s">
        <v>800</v>
      </c>
      <c r="F195" s="47">
        <v>1</v>
      </c>
      <c r="G195" s="47">
        <v>1</v>
      </c>
      <c r="H195" s="47">
        <v>0</v>
      </c>
      <c r="I195" s="47">
        <v>2</v>
      </c>
      <c r="J195" s="47">
        <v>5800</v>
      </c>
      <c r="K195" s="73">
        <v>2500</v>
      </c>
      <c r="L195" s="47">
        <v>8300</v>
      </c>
      <c r="M195" s="47">
        <v>3475</v>
      </c>
    </row>
    <row r="196" spans="1:13" ht="15.75" thickBot="1" x14ac:dyDescent="0.3">
      <c r="A196" s="44" t="s">
        <v>1349</v>
      </c>
      <c r="B196" s="45" t="s">
        <v>1350</v>
      </c>
      <c r="C196" s="44" t="s">
        <v>808</v>
      </c>
      <c r="D196" s="46" t="s">
        <v>885</v>
      </c>
      <c r="E196" s="46" t="s">
        <v>886</v>
      </c>
      <c r="F196" s="47">
        <v>1</v>
      </c>
      <c r="G196" s="47">
        <v>0</v>
      </c>
      <c r="H196" s="47">
        <v>0</v>
      </c>
      <c r="I196" s="47">
        <v>1</v>
      </c>
      <c r="J196" s="47">
        <v>17350</v>
      </c>
      <c r="K196" s="73">
        <v>0</v>
      </c>
      <c r="L196" s="47">
        <v>17350</v>
      </c>
      <c r="M196" s="47">
        <v>2695</v>
      </c>
    </row>
    <row r="197" spans="1:13" ht="15.75" thickBot="1" x14ac:dyDescent="0.3">
      <c r="A197" s="44" t="s">
        <v>1353</v>
      </c>
      <c r="B197" s="45" t="s">
        <v>1354</v>
      </c>
      <c r="C197" s="44" t="s">
        <v>808</v>
      </c>
      <c r="D197" s="46" t="s">
        <v>844</v>
      </c>
      <c r="E197" s="46" t="s">
        <v>845</v>
      </c>
      <c r="F197" s="47">
        <v>1</v>
      </c>
      <c r="G197" s="47">
        <v>0</v>
      </c>
      <c r="H197" s="47">
        <v>0</v>
      </c>
      <c r="I197" s="47">
        <v>1</v>
      </c>
      <c r="J197" s="47">
        <v>12000</v>
      </c>
      <c r="K197" s="73">
        <v>0</v>
      </c>
      <c r="L197" s="47">
        <v>12000</v>
      </c>
      <c r="M197" s="47">
        <v>1812</v>
      </c>
    </row>
    <row r="198" spans="1:13" ht="15.75" thickBot="1" x14ac:dyDescent="0.3">
      <c r="A198" s="44" t="s">
        <v>1361</v>
      </c>
      <c r="B198" s="45" t="s">
        <v>1362</v>
      </c>
      <c r="C198" s="44" t="s">
        <v>808</v>
      </c>
      <c r="D198" s="46" t="s">
        <v>804</v>
      </c>
      <c r="E198" s="46" t="s">
        <v>805</v>
      </c>
      <c r="F198" s="47">
        <v>1</v>
      </c>
      <c r="G198" s="47">
        <v>0</v>
      </c>
      <c r="H198" s="47">
        <v>0</v>
      </c>
      <c r="I198" s="47">
        <v>1</v>
      </c>
      <c r="J198" s="47">
        <v>20000</v>
      </c>
      <c r="K198" s="73">
        <v>0</v>
      </c>
      <c r="L198" s="47">
        <v>20000</v>
      </c>
      <c r="M198" s="47">
        <v>2288</v>
      </c>
    </row>
    <row r="199" spans="1:13" ht="15.75" thickBot="1" x14ac:dyDescent="0.3">
      <c r="A199" s="44" t="s">
        <v>1369</v>
      </c>
      <c r="B199" s="45" t="s">
        <v>1370</v>
      </c>
      <c r="C199" s="44" t="s">
        <v>808</v>
      </c>
      <c r="D199" s="46" t="s">
        <v>799</v>
      </c>
      <c r="E199" s="46" t="s">
        <v>800</v>
      </c>
      <c r="F199" s="47">
        <v>1</v>
      </c>
      <c r="G199" s="47">
        <v>0</v>
      </c>
      <c r="H199" s="47">
        <v>0</v>
      </c>
      <c r="I199" s="47">
        <v>1</v>
      </c>
      <c r="J199" s="47">
        <v>14321</v>
      </c>
      <c r="K199" s="73">
        <v>0</v>
      </c>
      <c r="L199" s="47">
        <v>14321</v>
      </c>
      <c r="M199" s="47">
        <v>2600</v>
      </c>
    </row>
    <row r="200" spans="1:13" ht="15.75" thickBot="1" x14ac:dyDescent="0.3">
      <c r="A200" s="44" t="s">
        <v>1395</v>
      </c>
      <c r="B200" s="45" t="s">
        <v>1396</v>
      </c>
      <c r="C200" s="44" t="s">
        <v>808</v>
      </c>
      <c r="D200" s="46" t="s">
        <v>799</v>
      </c>
      <c r="E200" s="46" t="s">
        <v>800</v>
      </c>
      <c r="F200" s="47">
        <v>1</v>
      </c>
      <c r="G200" s="47">
        <v>0</v>
      </c>
      <c r="H200" s="47">
        <v>0</v>
      </c>
      <c r="I200" s="47">
        <v>1</v>
      </c>
      <c r="J200" s="47">
        <v>7500</v>
      </c>
      <c r="K200" s="73">
        <v>0</v>
      </c>
      <c r="L200" s="47">
        <v>7500</v>
      </c>
      <c r="M200" s="47">
        <v>3120</v>
      </c>
    </row>
    <row r="201" spans="1:13" ht="15.75" thickBot="1" x14ac:dyDescent="0.3">
      <c r="A201" s="44" t="s">
        <v>1403</v>
      </c>
      <c r="B201" s="45" t="s">
        <v>1404</v>
      </c>
      <c r="C201" s="44" t="s">
        <v>808</v>
      </c>
      <c r="D201" s="46" t="s">
        <v>804</v>
      </c>
      <c r="E201" s="46" t="s">
        <v>805</v>
      </c>
      <c r="F201" s="47">
        <v>1</v>
      </c>
      <c r="G201" s="47">
        <v>0</v>
      </c>
      <c r="H201" s="47">
        <v>0</v>
      </c>
      <c r="I201" s="47">
        <v>1</v>
      </c>
      <c r="J201" s="47">
        <v>4649</v>
      </c>
      <c r="K201" s="73">
        <v>0</v>
      </c>
      <c r="L201" s="47">
        <v>4649</v>
      </c>
      <c r="M201" s="47">
        <v>1856</v>
      </c>
    </row>
    <row r="202" spans="1:13" ht="15.75" thickBot="1" x14ac:dyDescent="0.3">
      <c r="A202" s="44" t="s">
        <v>1411</v>
      </c>
      <c r="B202" s="45" t="s">
        <v>1412</v>
      </c>
      <c r="C202" s="44" t="s">
        <v>808</v>
      </c>
      <c r="D202" s="46" t="s">
        <v>885</v>
      </c>
      <c r="E202" s="46" t="s">
        <v>886</v>
      </c>
      <c r="F202" s="47">
        <v>1</v>
      </c>
      <c r="G202" s="47">
        <v>0</v>
      </c>
      <c r="H202" s="47">
        <v>0</v>
      </c>
      <c r="I202" s="47">
        <v>1</v>
      </c>
      <c r="J202" s="47">
        <v>11000</v>
      </c>
      <c r="K202" s="73">
        <v>0</v>
      </c>
      <c r="L202" s="47">
        <v>11000</v>
      </c>
      <c r="M202" s="47">
        <v>1883</v>
      </c>
    </row>
    <row r="203" spans="1:13" ht="15.75" thickBot="1" x14ac:dyDescent="0.3">
      <c r="A203" s="44" t="s">
        <v>1419</v>
      </c>
      <c r="B203" s="45" t="s">
        <v>1420</v>
      </c>
      <c r="C203" s="44" t="s">
        <v>808</v>
      </c>
      <c r="D203" s="46" t="s">
        <v>804</v>
      </c>
      <c r="E203" s="46" t="s">
        <v>805</v>
      </c>
      <c r="F203" s="47">
        <v>1</v>
      </c>
      <c r="G203" s="47">
        <v>0</v>
      </c>
      <c r="H203" s="47">
        <v>0</v>
      </c>
      <c r="I203" s="47">
        <v>1</v>
      </c>
      <c r="J203" s="47">
        <v>6400</v>
      </c>
      <c r="K203" s="73">
        <v>0</v>
      </c>
      <c r="L203" s="47">
        <v>6400</v>
      </c>
      <c r="M203" s="47">
        <v>1562</v>
      </c>
    </row>
    <row r="204" spans="1:13" ht="15.75" thickBot="1" x14ac:dyDescent="0.3">
      <c r="A204" s="44" t="s">
        <v>1435</v>
      </c>
      <c r="B204" s="45" t="s">
        <v>1436</v>
      </c>
      <c r="C204" s="44" t="s">
        <v>808</v>
      </c>
      <c r="D204" s="46" t="s">
        <v>799</v>
      </c>
      <c r="E204" s="46" t="s">
        <v>800</v>
      </c>
      <c r="F204" s="47">
        <v>1</v>
      </c>
      <c r="G204" s="47">
        <v>1</v>
      </c>
      <c r="H204" s="47">
        <v>0</v>
      </c>
      <c r="I204" s="47">
        <v>2</v>
      </c>
      <c r="J204" s="47">
        <v>9400</v>
      </c>
      <c r="K204" s="73">
        <v>800</v>
      </c>
      <c r="L204" s="47">
        <v>10200</v>
      </c>
      <c r="M204" s="47">
        <v>3381</v>
      </c>
    </row>
    <row r="205" spans="1:13" ht="15.75" thickBot="1" x14ac:dyDescent="0.3">
      <c r="A205" s="44" t="s">
        <v>1437</v>
      </c>
      <c r="B205" s="45" t="s">
        <v>1438</v>
      </c>
      <c r="C205" s="44" t="s">
        <v>808</v>
      </c>
      <c r="D205" s="46" t="s">
        <v>844</v>
      </c>
      <c r="E205" s="46" t="s">
        <v>845</v>
      </c>
      <c r="F205" s="47">
        <v>1</v>
      </c>
      <c r="G205" s="47">
        <v>0</v>
      </c>
      <c r="H205" s="47">
        <v>0</v>
      </c>
      <c r="I205" s="47">
        <v>1</v>
      </c>
      <c r="J205" s="47">
        <v>7986</v>
      </c>
      <c r="K205" s="73">
        <v>0</v>
      </c>
      <c r="L205" s="47">
        <v>7986</v>
      </c>
      <c r="M205" s="47">
        <v>2236</v>
      </c>
    </row>
    <row r="206" spans="1:13" ht="15.75" thickBot="1" x14ac:dyDescent="0.3">
      <c r="A206" s="44" t="s">
        <v>1445</v>
      </c>
      <c r="B206" s="45" t="s">
        <v>1446</v>
      </c>
      <c r="C206" s="44" t="s">
        <v>808</v>
      </c>
      <c r="D206" s="46" t="s">
        <v>804</v>
      </c>
      <c r="E206" s="46" t="s">
        <v>805</v>
      </c>
      <c r="F206" s="47">
        <v>1</v>
      </c>
      <c r="G206" s="47">
        <v>0</v>
      </c>
      <c r="H206" s="47">
        <v>0</v>
      </c>
      <c r="I206" s="47">
        <v>1</v>
      </c>
      <c r="J206" s="47">
        <v>5600</v>
      </c>
      <c r="K206" s="73">
        <v>0</v>
      </c>
      <c r="L206" s="47">
        <v>5600</v>
      </c>
      <c r="M206" s="47">
        <v>2120</v>
      </c>
    </row>
    <row r="207" spans="1:13" ht="15.75" thickBot="1" x14ac:dyDescent="0.3">
      <c r="A207" s="44" t="s">
        <v>1451</v>
      </c>
      <c r="B207" s="45" t="s">
        <v>1452</v>
      </c>
      <c r="C207" s="44" t="s">
        <v>808</v>
      </c>
      <c r="D207" s="46" t="s">
        <v>799</v>
      </c>
      <c r="E207" s="46" t="s">
        <v>800</v>
      </c>
      <c r="F207" s="47">
        <v>1</v>
      </c>
      <c r="G207" s="47">
        <v>0</v>
      </c>
      <c r="H207" s="47">
        <v>0</v>
      </c>
      <c r="I207" s="47">
        <v>1</v>
      </c>
      <c r="J207" s="47">
        <v>7500</v>
      </c>
      <c r="K207" s="73">
        <v>0</v>
      </c>
      <c r="L207" s="47">
        <v>7500</v>
      </c>
      <c r="M207" s="47">
        <v>2476</v>
      </c>
    </row>
    <row r="208" spans="1:13" ht="15.75" thickBot="1" x14ac:dyDescent="0.3">
      <c r="A208" s="44" t="s">
        <v>1455</v>
      </c>
      <c r="B208" s="45" t="s">
        <v>1456</v>
      </c>
      <c r="C208" s="44" t="s">
        <v>808</v>
      </c>
      <c r="D208" s="46" t="s">
        <v>885</v>
      </c>
      <c r="E208" s="46" t="s">
        <v>886</v>
      </c>
      <c r="F208" s="47">
        <v>1</v>
      </c>
      <c r="G208" s="47">
        <v>1</v>
      </c>
      <c r="H208" s="47">
        <v>0</v>
      </c>
      <c r="I208" s="47">
        <v>2</v>
      </c>
      <c r="J208" s="47">
        <v>5537</v>
      </c>
      <c r="K208" s="73">
        <v>3600</v>
      </c>
      <c r="L208" s="47">
        <v>9137</v>
      </c>
      <c r="M208" s="47">
        <v>3848</v>
      </c>
    </row>
    <row r="209" spans="1:13" ht="15.75" thickBot="1" x14ac:dyDescent="0.3">
      <c r="A209" s="44" t="s">
        <v>1461</v>
      </c>
      <c r="B209" s="45" t="s">
        <v>1462</v>
      </c>
      <c r="C209" s="44" t="s">
        <v>808</v>
      </c>
      <c r="D209" s="46" t="s">
        <v>885</v>
      </c>
      <c r="E209" s="46" t="s">
        <v>886</v>
      </c>
      <c r="F209" s="47">
        <v>1</v>
      </c>
      <c r="G209" s="47">
        <v>0</v>
      </c>
      <c r="H209" s="47">
        <v>0</v>
      </c>
      <c r="I209" s="47">
        <v>1</v>
      </c>
      <c r="J209" s="47">
        <v>6900</v>
      </c>
      <c r="K209" s="73">
        <v>0</v>
      </c>
      <c r="L209" s="47">
        <v>6900</v>
      </c>
      <c r="M209" s="47">
        <v>2008</v>
      </c>
    </row>
    <row r="210" spans="1:13" ht="15.75" thickBot="1" x14ac:dyDescent="0.3">
      <c r="A210" s="44" t="s">
        <v>1467</v>
      </c>
      <c r="B210" s="45" t="s">
        <v>1468</v>
      </c>
      <c r="C210" s="44" t="s">
        <v>808</v>
      </c>
      <c r="D210" s="46" t="s">
        <v>1037</v>
      </c>
      <c r="E210" s="46" t="s">
        <v>1469</v>
      </c>
      <c r="F210" s="47">
        <v>1</v>
      </c>
      <c r="G210" s="47">
        <v>0</v>
      </c>
      <c r="H210" s="47">
        <v>0</v>
      </c>
      <c r="I210" s="47">
        <v>1</v>
      </c>
      <c r="J210" s="47">
        <v>8679</v>
      </c>
      <c r="K210" s="73">
        <v>0</v>
      </c>
      <c r="L210" s="47">
        <v>8679</v>
      </c>
      <c r="M210" s="47">
        <v>2674</v>
      </c>
    </row>
    <row r="211" spans="1:13" ht="15.75" thickBot="1" x14ac:dyDescent="0.3">
      <c r="A211" s="44" t="s">
        <v>1480</v>
      </c>
      <c r="B211" s="45" t="s">
        <v>1481</v>
      </c>
      <c r="C211" s="44" t="s">
        <v>808</v>
      </c>
      <c r="D211" s="46" t="s">
        <v>804</v>
      </c>
      <c r="E211" s="46" t="s">
        <v>805</v>
      </c>
      <c r="F211" s="47">
        <v>1</v>
      </c>
      <c r="G211" s="47">
        <v>0</v>
      </c>
      <c r="H211" s="47">
        <v>0</v>
      </c>
      <c r="I211" s="47">
        <v>1</v>
      </c>
      <c r="J211" s="47">
        <v>11000</v>
      </c>
      <c r="K211" s="73">
        <v>0</v>
      </c>
      <c r="L211" s="47">
        <v>11000</v>
      </c>
      <c r="M211" s="47">
        <v>2808</v>
      </c>
    </row>
    <row r="212" spans="1:13" ht="15.75" thickBot="1" x14ac:dyDescent="0.3">
      <c r="A212" s="44" t="s">
        <v>1486</v>
      </c>
      <c r="B212" s="45" t="s">
        <v>1487</v>
      </c>
      <c r="C212" s="44" t="s">
        <v>808</v>
      </c>
      <c r="D212" s="46" t="s">
        <v>844</v>
      </c>
      <c r="E212" s="46" t="s">
        <v>845</v>
      </c>
      <c r="F212" s="47">
        <v>1</v>
      </c>
      <c r="G212" s="47">
        <v>0</v>
      </c>
      <c r="H212" s="47">
        <v>0</v>
      </c>
      <c r="I212" s="47">
        <v>1</v>
      </c>
      <c r="J212" s="47">
        <v>8540</v>
      </c>
      <c r="K212" s="73">
        <v>0</v>
      </c>
      <c r="L212" s="47">
        <v>8540</v>
      </c>
      <c r="M212" s="47">
        <v>2340</v>
      </c>
    </row>
    <row r="213" spans="1:13" ht="15.75" thickBot="1" x14ac:dyDescent="0.3">
      <c r="A213" s="44" t="s">
        <v>1488</v>
      </c>
      <c r="B213" s="45" t="s">
        <v>1489</v>
      </c>
      <c r="C213" s="44" t="s">
        <v>808</v>
      </c>
      <c r="D213" s="46" t="s">
        <v>804</v>
      </c>
      <c r="E213" s="46" t="s">
        <v>805</v>
      </c>
      <c r="F213" s="47">
        <v>1</v>
      </c>
      <c r="G213" s="47">
        <v>0</v>
      </c>
      <c r="H213" s="47">
        <v>0</v>
      </c>
      <c r="I213" s="47">
        <v>1</v>
      </c>
      <c r="J213" s="47">
        <v>17000</v>
      </c>
      <c r="K213" s="73">
        <v>0</v>
      </c>
      <c r="L213" s="47">
        <v>17000</v>
      </c>
      <c r="M213" s="47">
        <v>2569</v>
      </c>
    </row>
    <row r="214" spans="1:13" ht="15.75" thickBot="1" x14ac:dyDescent="0.3">
      <c r="A214" s="44" t="s">
        <v>1504</v>
      </c>
      <c r="B214" s="45" t="s">
        <v>1505</v>
      </c>
      <c r="C214" s="44" t="s">
        <v>808</v>
      </c>
      <c r="D214" s="46" t="s">
        <v>804</v>
      </c>
      <c r="E214" s="46" t="s">
        <v>805</v>
      </c>
      <c r="F214" s="47">
        <v>1</v>
      </c>
      <c r="G214" s="47">
        <v>0</v>
      </c>
      <c r="H214" s="47">
        <v>0</v>
      </c>
      <c r="I214" s="47">
        <v>1</v>
      </c>
      <c r="J214" s="47">
        <v>6328</v>
      </c>
      <c r="K214" s="73">
        <v>0</v>
      </c>
      <c r="L214" s="47">
        <v>6328</v>
      </c>
      <c r="M214" s="47">
        <v>2600</v>
      </c>
    </row>
    <row r="215" spans="1:13" ht="15.75" thickBot="1" x14ac:dyDescent="0.3">
      <c r="A215" s="44" t="s">
        <v>1508</v>
      </c>
      <c r="B215" s="45" t="s">
        <v>1509</v>
      </c>
      <c r="C215" s="44" t="s">
        <v>808</v>
      </c>
      <c r="D215" s="46" t="s">
        <v>804</v>
      </c>
      <c r="E215" s="46" t="s">
        <v>805</v>
      </c>
      <c r="F215" s="47">
        <v>1</v>
      </c>
      <c r="G215" s="47">
        <v>0</v>
      </c>
      <c r="H215" s="47">
        <v>0</v>
      </c>
      <c r="I215" s="47">
        <v>1</v>
      </c>
      <c r="J215" s="47">
        <v>4472</v>
      </c>
      <c r="K215" s="73">
        <v>0</v>
      </c>
      <c r="L215" s="47">
        <v>4472</v>
      </c>
      <c r="M215" s="47">
        <v>2805</v>
      </c>
    </row>
    <row r="216" spans="1:13" ht="15.75" thickBot="1" x14ac:dyDescent="0.3">
      <c r="A216" s="44" t="s">
        <v>1510</v>
      </c>
      <c r="B216" s="45" t="s">
        <v>1511</v>
      </c>
      <c r="C216" s="44" t="s">
        <v>808</v>
      </c>
      <c r="D216" s="46" t="s">
        <v>804</v>
      </c>
      <c r="E216" s="46" t="s">
        <v>805</v>
      </c>
      <c r="F216" s="47">
        <v>1</v>
      </c>
      <c r="G216" s="47">
        <v>0</v>
      </c>
      <c r="H216" s="47">
        <v>0</v>
      </c>
      <c r="I216" s="47">
        <v>1</v>
      </c>
      <c r="J216" s="47">
        <v>15000</v>
      </c>
      <c r="K216" s="73">
        <v>0</v>
      </c>
      <c r="L216" s="47">
        <v>15000</v>
      </c>
      <c r="M216" s="47">
        <v>2340</v>
      </c>
    </row>
    <row r="217" spans="1:13" ht="15.75" thickBot="1" x14ac:dyDescent="0.3">
      <c r="A217" s="44" t="s">
        <v>1520</v>
      </c>
      <c r="B217" s="45" t="s">
        <v>1521</v>
      </c>
      <c r="C217" s="44" t="s">
        <v>808</v>
      </c>
      <c r="D217" s="46" t="s">
        <v>804</v>
      </c>
      <c r="E217" s="46" t="s">
        <v>805</v>
      </c>
      <c r="F217" s="47">
        <v>1</v>
      </c>
      <c r="G217" s="47">
        <v>0</v>
      </c>
      <c r="H217" s="47">
        <v>0</v>
      </c>
      <c r="I217" s="47">
        <v>1</v>
      </c>
      <c r="J217" s="47">
        <v>5800</v>
      </c>
      <c r="K217" s="73">
        <v>0</v>
      </c>
      <c r="L217" s="47">
        <v>5800</v>
      </c>
      <c r="M217" s="47">
        <v>2548</v>
      </c>
    </row>
    <row r="218" spans="1:13" ht="15.75" thickBot="1" x14ac:dyDescent="0.3">
      <c r="A218" s="44" t="s">
        <v>1524</v>
      </c>
      <c r="B218" s="45" t="s">
        <v>1525</v>
      </c>
      <c r="C218" s="44" t="s">
        <v>808</v>
      </c>
      <c r="D218" s="46" t="s">
        <v>844</v>
      </c>
      <c r="E218" s="46" t="s">
        <v>845</v>
      </c>
      <c r="F218" s="47">
        <v>1</v>
      </c>
      <c r="G218" s="47">
        <v>0</v>
      </c>
      <c r="H218" s="47">
        <v>0</v>
      </c>
      <c r="I218" s="47">
        <v>1</v>
      </c>
      <c r="J218" s="47">
        <v>14360</v>
      </c>
      <c r="K218" s="73">
        <v>0</v>
      </c>
      <c r="L218" s="47">
        <v>14360</v>
      </c>
      <c r="M218" s="47">
        <v>2800</v>
      </c>
    </row>
    <row r="219" spans="1:13" ht="15.75" thickBot="1" x14ac:dyDescent="0.3">
      <c r="A219" s="44" t="s">
        <v>1526</v>
      </c>
      <c r="B219" s="45" t="s">
        <v>1527</v>
      </c>
      <c r="C219" s="44" t="s">
        <v>808</v>
      </c>
      <c r="D219" s="46" t="s">
        <v>804</v>
      </c>
      <c r="E219" s="46" t="s">
        <v>805</v>
      </c>
      <c r="F219" s="47">
        <v>1</v>
      </c>
      <c r="G219" s="47">
        <v>0</v>
      </c>
      <c r="H219" s="47">
        <v>0</v>
      </c>
      <c r="I219" s="47">
        <v>1</v>
      </c>
      <c r="J219" s="47">
        <v>6000</v>
      </c>
      <c r="K219" s="73">
        <v>0</v>
      </c>
      <c r="L219" s="47">
        <v>6000</v>
      </c>
      <c r="M219" s="47">
        <v>2252</v>
      </c>
    </row>
    <row r="220" spans="1:13" ht="15.75" thickBot="1" x14ac:dyDescent="0.3">
      <c r="A220" s="44" t="s">
        <v>1534</v>
      </c>
      <c r="B220" s="45" t="s">
        <v>1535</v>
      </c>
      <c r="C220" s="44" t="s">
        <v>808</v>
      </c>
      <c r="D220" s="46" t="s">
        <v>844</v>
      </c>
      <c r="E220" s="46" t="s">
        <v>845</v>
      </c>
      <c r="F220" s="47">
        <v>1</v>
      </c>
      <c r="G220" s="47">
        <v>0</v>
      </c>
      <c r="H220" s="47">
        <v>0</v>
      </c>
      <c r="I220" s="47">
        <v>1</v>
      </c>
      <c r="J220" s="47">
        <v>9200</v>
      </c>
      <c r="K220" s="73">
        <v>0</v>
      </c>
      <c r="L220" s="47">
        <v>9200</v>
      </c>
      <c r="M220" s="47">
        <v>2250</v>
      </c>
    </row>
    <row r="221" spans="1:13" ht="15.75" thickBot="1" x14ac:dyDescent="0.3">
      <c r="A221" s="44" t="s">
        <v>1562</v>
      </c>
      <c r="B221" s="45" t="s">
        <v>1563</v>
      </c>
      <c r="C221" s="44" t="s">
        <v>808</v>
      </c>
      <c r="D221" s="46" t="s">
        <v>804</v>
      </c>
      <c r="E221" s="46" t="s">
        <v>805</v>
      </c>
      <c r="F221" s="47">
        <v>1</v>
      </c>
      <c r="G221" s="47">
        <v>0</v>
      </c>
      <c r="H221" s="47">
        <v>0</v>
      </c>
      <c r="I221" s="47">
        <v>1</v>
      </c>
      <c r="J221" s="47">
        <v>2500</v>
      </c>
      <c r="K221" s="74">
        <v>0</v>
      </c>
      <c r="L221" s="47">
        <v>2500</v>
      </c>
      <c r="M221" s="47">
        <v>1741</v>
      </c>
    </row>
    <row r="222" spans="1:13" ht="15.75" thickBot="1" x14ac:dyDescent="0.3">
      <c r="A222" s="44" t="s">
        <v>1576</v>
      </c>
      <c r="B222" s="45" t="s">
        <v>1577</v>
      </c>
      <c r="C222" s="44" t="s">
        <v>808</v>
      </c>
      <c r="D222" s="46" t="s">
        <v>804</v>
      </c>
      <c r="E222" s="46" t="s">
        <v>805</v>
      </c>
      <c r="F222" s="47">
        <v>1</v>
      </c>
      <c r="G222" s="47">
        <v>0</v>
      </c>
      <c r="H222" s="47">
        <v>0</v>
      </c>
      <c r="I222" s="47">
        <v>1</v>
      </c>
      <c r="J222" s="47">
        <v>9300</v>
      </c>
      <c r="K222" s="73">
        <v>0</v>
      </c>
      <c r="L222" s="47">
        <v>9300</v>
      </c>
      <c r="M222" s="47">
        <v>2236</v>
      </c>
    </row>
    <row r="223" spans="1:13" ht="15.75" thickBot="1" x14ac:dyDescent="0.3">
      <c r="A223" s="44" t="s">
        <v>1578</v>
      </c>
      <c r="B223" s="45" t="s">
        <v>1579</v>
      </c>
      <c r="C223" s="44" t="s">
        <v>808</v>
      </c>
      <c r="D223" s="46" t="s">
        <v>804</v>
      </c>
      <c r="E223" s="46" t="s">
        <v>805</v>
      </c>
      <c r="F223" s="47">
        <v>1</v>
      </c>
      <c r="G223" s="47">
        <v>0</v>
      </c>
      <c r="H223" s="47">
        <v>0</v>
      </c>
      <c r="I223" s="47">
        <v>1</v>
      </c>
      <c r="J223" s="47">
        <v>10000</v>
      </c>
      <c r="K223" s="73">
        <v>0</v>
      </c>
      <c r="L223" s="47">
        <v>10000</v>
      </c>
      <c r="M223" s="47">
        <v>2518</v>
      </c>
    </row>
    <row r="224" spans="1:13" ht="15.75" thickBot="1" x14ac:dyDescent="0.3">
      <c r="A224" s="44" t="s">
        <v>1582</v>
      </c>
      <c r="B224" s="45" t="s">
        <v>1583</v>
      </c>
      <c r="C224" s="44" t="s">
        <v>808</v>
      </c>
      <c r="D224" s="46" t="s">
        <v>804</v>
      </c>
      <c r="E224" s="46" t="s">
        <v>805</v>
      </c>
      <c r="F224" s="47">
        <v>1</v>
      </c>
      <c r="G224" s="47">
        <v>0</v>
      </c>
      <c r="H224" s="47">
        <v>0</v>
      </c>
      <c r="I224" s="47">
        <v>1</v>
      </c>
      <c r="J224" s="47">
        <v>5847</v>
      </c>
      <c r="K224" s="73">
        <v>0</v>
      </c>
      <c r="L224" s="47">
        <v>5847</v>
      </c>
      <c r="M224" s="47">
        <v>2388</v>
      </c>
    </row>
    <row r="225" spans="1:13" ht="15.75" thickBot="1" x14ac:dyDescent="0.3">
      <c r="A225" s="44" t="s">
        <v>1584</v>
      </c>
      <c r="B225" s="45" t="s">
        <v>1585</v>
      </c>
      <c r="C225" s="44" t="s">
        <v>808</v>
      </c>
      <c r="D225" s="46" t="s">
        <v>799</v>
      </c>
      <c r="E225" s="46" t="s">
        <v>800</v>
      </c>
      <c r="F225" s="47">
        <v>1</v>
      </c>
      <c r="G225" s="47">
        <v>0</v>
      </c>
      <c r="H225" s="47">
        <v>0</v>
      </c>
      <c r="I225" s="47">
        <v>1</v>
      </c>
      <c r="J225" s="47">
        <v>11765</v>
      </c>
      <c r="K225" s="73">
        <v>0</v>
      </c>
      <c r="L225" s="47">
        <v>11765</v>
      </c>
      <c r="M225" s="47">
        <v>2693</v>
      </c>
    </row>
    <row r="226" spans="1:13" ht="15.75" thickBot="1" x14ac:dyDescent="0.3">
      <c r="A226" s="44" t="s">
        <v>1590</v>
      </c>
      <c r="B226" s="45" t="s">
        <v>1591</v>
      </c>
      <c r="C226" s="44" t="s">
        <v>808</v>
      </c>
      <c r="D226" s="46" t="s">
        <v>804</v>
      </c>
      <c r="E226" s="46" t="s">
        <v>805</v>
      </c>
      <c r="F226" s="47">
        <v>1</v>
      </c>
      <c r="G226" s="47">
        <v>0</v>
      </c>
      <c r="H226" s="47">
        <v>0</v>
      </c>
      <c r="I226" s="47">
        <v>1</v>
      </c>
      <c r="J226" s="47">
        <v>3600</v>
      </c>
      <c r="K226" s="73">
        <v>0</v>
      </c>
      <c r="L226" s="47">
        <v>3600</v>
      </c>
      <c r="M226" s="47">
        <v>2092</v>
      </c>
    </row>
    <row r="227" spans="1:13" ht="15.75" thickBot="1" x14ac:dyDescent="0.3">
      <c r="A227" s="44" t="s">
        <v>801</v>
      </c>
      <c r="B227" s="45" t="s">
        <v>802</v>
      </c>
      <c r="C227" s="44" t="s">
        <v>803</v>
      </c>
      <c r="D227" s="46" t="s">
        <v>804</v>
      </c>
      <c r="E227" s="46" t="s">
        <v>805</v>
      </c>
      <c r="F227" s="47">
        <v>1</v>
      </c>
      <c r="G227" s="47">
        <v>0</v>
      </c>
      <c r="H227" s="47">
        <v>0</v>
      </c>
      <c r="I227" s="47">
        <v>1</v>
      </c>
      <c r="J227" s="47">
        <v>37200</v>
      </c>
      <c r="K227" s="73">
        <v>0</v>
      </c>
      <c r="L227" s="47">
        <v>37200</v>
      </c>
      <c r="M227" s="47">
        <v>2747</v>
      </c>
    </row>
    <row r="228" spans="1:13" ht="15.75" thickBot="1" x14ac:dyDescent="0.3">
      <c r="A228" s="44" t="s">
        <v>818</v>
      </c>
      <c r="B228" s="45" t="s">
        <v>819</v>
      </c>
      <c r="C228" s="44" t="s">
        <v>803</v>
      </c>
      <c r="D228" s="46" t="s">
        <v>804</v>
      </c>
      <c r="E228" s="46" t="s">
        <v>805</v>
      </c>
      <c r="F228" s="47">
        <v>1</v>
      </c>
      <c r="G228" s="47">
        <v>0</v>
      </c>
      <c r="H228" s="47">
        <v>0</v>
      </c>
      <c r="I228" s="47">
        <v>1</v>
      </c>
      <c r="J228" s="47">
        <v>21266</v>
      </c>
      <c r="K228" s="73">
        <v>0</v>
      </c>
      <c r="L228" s="47">
        <v>21266</v>
      </c>
      <c r="M228" s="47">
        <v>2939</v>
      </c>
    </row>
    <row r="229" spans="1:13" ht="15.75" thickBot="1" x14ac:dyDescent="0.3">
      <c r="A229" s="44" t="s">
        <v>846</v>
      </c>
      <c r="B229" s="45" t="s">
        <v>847</v>
      </c>
      <c r="C229" s="44" t="s">
        <v>803</v>
      </c>
      <c r="D229" s="46" t="s">
        <v>799</v>
      </c>
      <c r="E229" s="46" t="s">
        <v>800</v>
      </c>
      <c r="F229" s="47">
        <v>1</v>
      </c>
      <c r="G229" s="47">
        <v>0</v>
      </c>
      <c r="H229" s="47">
        <v>0</v>
      </c>
      <c r="I229" s="47">
        <v>1</v>
      </c>
      <c r="J229" s="47">
        <v>21500</v>
      </c>
      <c r="K229" s="73">
        <v>0</v>
      </c>
      <c r="L229" s="47">
        <v>21500</v>
      </c>
      <c r="M229" s="47">
        <v>3018</v>
      </c>
    </row>
    <row r="230" spans="1:13" ht="15.75" thickBot="1" x14ac:dyDescent="0.3">
      <c r="A230" s="44" t="s">
        <v>851</v>
      </c>
      <c r="B230" s="45" t="s">
        <v>852</v>
      </c>
      <c r="C230" s="44" t="s">
        <v>803</v>
      </c>
      <c r="D230" s="46" t="s">
        <v>804</v>
      </c>
      <c r="E230" s="46" t="s">
        <v>805</v>
      </c>
      <c r="F230" s="47">
        <v>1</v>
      </c>
      <c r="G230" s="47">
        <v>0</v>
      </c>
      <c r="H230" s="47">
        <v>0</v>
      </c>
      <c r="I230" s="47">
        <v>1</v>
      </c>
      <c r="J230" s="47">
        <v>15000</v>
      </c>
      <c r="K230" s="73">
        <v>0</v>
      </c>
      <c r="L230" s="47">
        <v>15000</v>
      </c>
      <c r="M230" s="47">
        <v>2870</v>
      </c>
    </row>
    <row r="231" spans="1:13" ht="15.75" thickBot="1" x14ac:dyDescent="0.3">
      <c r="A231" s="44" t="s">
        <v>871</v>
      </c>
      <c r="B231" s="45" t="s">
        <v>872</v>
      </c>
      <c r="C231" s="44" t="s">
        <v>803</v>
      </c>
      <c r="D231" s="46" t="s">
        <v>804</v>
      </c>
      <c r="E231" s="46" t="s">
        <v>805</v>
      </c>
      <c r="F231" s="47">
        <v>1</v>
      </c>
      <c r="G231" s="47">
        <v>0</v>
      </c>
      <c r="H231" s="47">
        <v>0</v>
      </c>
      <c r="I231" s="47">
        <v>1</v>
      </c>
      <c r="J231" s="47">
        <v>25000</v>
      </c>
      <c r="K231" s="73">
        <v>0</v>
      </c>
      <c r="L231" s="47">
        <v>25000</v>
      </c>
      <c r="M231" s="47">
        <v>2513</v>
      </c>
    </row>
    <row r="232" spans="1:13" ht="15.75" thickBot="1" x14ac:dyDescent="0.3">
      <c r="A232" s="44" t="s">
        <v>877</v>
      </c>
      <c r="B232" s="45" t="s">
        <v>878</v>
      </c>
      <c r="C232" s="44" t="s">
        <v>803</v>
      </c>
      <c r="D232" s="46" t="s">
        <v>804</v>
      </c>
      <c r="E232" s="46" t="s">
        <v>805</v>
      </c>
      <c r="F232" s="47">
        <v>1</v>
      </c>
      <c r="G232" s="47">
        <v>0</v>
      </c>
      <c r="H232" s="47">
        <v>0</v>
      </c>
      <c r="I232" s="47">
        <v>1</v>
      </c>
      <c r="J232" s="47">
        <v>15000</v>
      </c>
      <c r="K232" s="73">
        <v>0</v>
      </c>
      <c r="L232" s="47">
        <v>15000</v>
      </c>
      <c r="M232" s="47">
        <v>2704</v>
      </c>
    </row>
    <row r="233" spans="1:13" ht="15.75" thickBot="1" x14ac:dyDescent="0.3">
      <c r="A233" s="44" t="s">
        <v>887</v>
      </c>
      <c r="B233" s="45" t="s">
        <v>888</v>
      </c>
      <c r="C233" s="44" t="s">
        <v>803</v>
      </c>
      <c r="D233" s="46" t="s">
        <v>804</v>
      </c>
      <c r="E233" s="46" t="s">
        <v>805</v>
      </c>
      <c r="F233" s="47">
        <v>1</v>
      </c>
      <c r="G233" s="47">
        <v>0</v>
      </c>
      <c r="H233" s="47">
        <v>0</v>
      </c>
      <c r="I233" s="47">
        <v>1</v>
      </c>
      <c r="J233" s="47">
        <v>13982</v>
      </c>
      <c r="K233" s="73">
        <v>0</v>
      </c>
      <c r="L233" s="47">
        <v>13982</v>
      </c>
      <c r="M233" s="47">
        <v>2080</v>
      </c>
    </row>
    <row r="234" spans="1:13" ht="15.75" thickBot="1" x14ac:dyDescent="0.3">
      <c r="A234" s="44" t="s">
        <v>899</v>
      </c>
      <c r="B234" s="45" t="s">
        <v>900</v>
      </c>
      <c r="C234" s="44" t="s">
        <v>803</v>
      </c>
      <c r="D234" s="46" t="s">
        <v>799</v>
      </c>
      <c r="E234" s="46" t="s">
        <v>800</v>
      </c>
      <c r="F234" s="47">
        <v>1</v>
      </c>
      <c r="G234" s="47">
        <v>0</v>
      </c>
      <c r="H234" s="47">
        <v>0</v>
      </c>
      <c r="I234" s="47">
        <v>1</v>
      </c>
      <c r="J234" s="47">
        <v>19264</v>
      </c>
      <c r="K234" s="73">
        <v>0</v>
      </c>
      <c r="L234" s="47">
        <v>19264</v>
      </c>
      <c r="M234" s="47">
        <v>3224</v>
      </c>
    </row>
    <row r="235" spans="1:13" ht="15.75" thickBot="1" x14ac:dyDescent="0.3">
      <c r="A235" s="44" t="s">
        <v>901</v>
      </c>
      <c r="B235" s="45" t="s">
        <v>902</v>
      </c>
      <c r="C235" s="44" t="s">
        <v>803</v>
      </c>
      <c r="D235" s="46" t="s">
        <v>799</v>
      </c>
      <c r="E235" s="46" t="s">
        <v>800</v>
      </c>
      <c r="F235" s="47">
        <v>1</v>
      </c>
      <c r="G235" s="47">
        <v>0</v>
      </c>
      <c r="H235" s="47">
        <v>0</v>
      </c>
      <c r="I235" s="47">
        <v>1</v>
      </c>
      <c r="J235" s="47">
        <v>13050</v>
      </c>
      <c r="K235" s="73">
        <v>0</v>
      </c>
      <c r="L235" s="47">
        <v>13050</v>
      </c>
      <c r="M235" s="47">
        <v>3040</v>
      </c>
    </row>
    <row r="236" spans="1:13" ht="15.75" thickBot="1" x14ac:dyDescent="0.3">
      <c r="A236" s="44" t="s">
        <v>905</v>
      </c>
      <c r="B236" s="45" t="s">
        <v>906</v>
      </c>
      <c r="C236" s="44" t="s">
        <v>803</v>
      </c>
      <c r="D236" s="46" t="s">
        <v>804</v>
      </c>
      <c r="E236" s="46" t="s">
        <v>805</v>
      </c>
      <c r="F236" s="47">
        <v>1</v>
      </c>
      <c r="G236" s="47">
        <v>0</v>
      </c>
      <c r="H236" s="47">
        <v>0</v>
      </c>
      <c r="I236" s="47">
        <v>1</v>
      </c>
      <c r="J236" s="47">
        <v>9616</v>
      </c>
      <c r="K236" s="73">
        <v>0</v>
      </c>
      <c r="L236" s="47">
        <v>9616</v>
      </c>
      <c r="M236" s="47">
        <v>2614</v>
      </c>
    </row>
    <row r="237" spans="1:13" ht="15.75" thickBot="1" x14ac:dyDescent="0.3">
      <c r="A237" s="44" t="s">
        <v>941</v>
      </c>
      <c r="B237" s="45" t="s">
        <v>942</v>
      </c>
      <c r="C237" s="44" t="s">
        <v>803</v>
      </c>
      <c r="D237" s="46" t="s">
        <v>804</v>
      </c>
      <c r="E237" s="46" t="s">
        <v>805</v>
      </c>
      <c r="F237" s="47">
        <v>1</v>
      </c>
      <c r="G237" s="47">
        <v>0</v>
      </c>
      <c r="H237" s="47">
        <v>0</v>
      </c>
      <c r="I237" s="47">
        <v>1</v>
      </c>
      <c r="J237" s="47">
        <v>9888</v>
      </c>
      <c r="K237" s="73">
        <v>0</v>
      </c>
      <c r="L237" s="47">
        <v>9888</v>
      </c>
      <c r="M237" s="47">
        <v>3106</v>
      </c>
    </row>
    <row r="238" spans="1:13" ht="15.75" thickBot="1" x14ac:dyDescent="0.3">
      <c r="A238" s="44" t="s">
        <v>945</v>
      </c>
      <c r="B238" s="45" t="s">
        <v>946</v>
      </c>
      <c r="C238" s="44" t="s">
        <v>803</v>
      </c>
      <c r="D238" s="46" t="s">
        <v>804</v>
      </c>
      <c r="E238" s="46" t="s">
        <v>805</v>
      </c>
      <c r="F238" s="47">
        <v>1</v>
      </c>
      <c r="G238" s="47">
        <v>0</v>
      </c>
      <c r="H238" s="47">
        <v>0</v>
      </c>
      <c r="I238" s="47">
        <v>1</v>
      </c>
      <c r="J238" s="47">
        <v>12500</v>
      </c>
      <c r="K238" s="73">
        <v>0</v>
      </c>
      <c r="L238" s="47">
        <v>12500</v>
      </c>
      <c r="M238" s="47">
        <v>2985</v>
      </c>
    </row>
    <row r="239" spans="1:13" ht="15.75" thickBot="1" x14ac:dyDescent="0.3">
      <c r="A239" s="44" t="s">
        <v>949</v>
      </c>
      <c r="B239" s="45" t="s">
        <v>950</v>
      </c>
      <c r="C239" s="44" t="s">
        <v>803</v>
      </c>
      <c r="D239" s="46" t="s">
        <v>804</v>
      </c>
      <c r="E239" s="46" t="s">
        <v>805</v>
      </c>
      <c r="F239" s="47">
        <v>1</v>
      </c>
      <c r="G239" s="47">
        <v>0</v>
      </c>
      <c r="H239" s="47">
        <v>0</v>
      </c>
      <c r="I239" s="47">
        <v>1</v>
      </c>
      <c r="J239" s="47">
        <v>27000</v>
      </c>
      <c r="K239" s="73">
        <v>0</v>
      </c>
      <c r="L239" s="47">
        <v>27000</v>
      </c>
      <c r="M239" s="47">
        <v>3068</v>
      </c>
    </row>
    <row r="240" spans="1:13" ht="15.75" thickBot="1" x14ac:dyDescent="0.3">
      <c r="A240" s="44" t="s">
        <v>951</v>
      </c>
      <c r="B240" s="45" t="s">
        <v>952</v>
      </c>
      <c r="C240" s="44" t="s">
        <v>803</v>
      </c>
      <c r="D240" s="46" t="s">
        <v>799</v>
      </c>
      <c r="E240" s="46" t="s">
        <v>800</v>
      </c>
      <c r="F240" s="47">
        <v>1</v>
      </c>
      <c r="G240" s="47">
        <v>0</v>
      </c>
      <c r="H240" s="47">
        <v>0</v>
      </c>
      <c r="I240" s="47">
        <v>1</v>
      </c>
      <c r="J240" s="47">
        <v>30703</v>
      </c>
      <c r="K240" s="73">
        <v>0</v>
      </c>
      <c r="L240" s="47">
        <v>30703</v>
      </c>
      <c r="M240" s="47">
        <v>3192</v>
      </c>
    </row>
    <row r="241" spans="1:13" ht="15.75" thickBot="1" x14ac:dyDescent="0.3">
      <c r="A241" s="44" t="s">
        <v>965</v>
      </c>
      <c r="B241" s="45" t="s">
        <v>966</v>
      </c>
      <c r="C241" s="44" t="s">
        <v>803</v>
      </c>
      <c r="D241" s="46" t="s">
        <v>804</v>
      </c>
      <c r="E241" s="46" t="s">
        <v>805</v>
      </c>
      <c r="F241" s="47">
        <v>1</v>
      </c>
      <c r="G241" s="47">
        <v>0</v>
      </c>
      <c r="H241" s="47">
        <v>0</v>
      </c>
      <c r="I241" s="47">
        <v>1</v>
      </c>
      <c r="J241" s="47">
        <v>18340</v>
      </c>
      <c r="K241" s="73">
        <v>0</v>
      </c>
      <c r="L241" s="47">
        <v>18340</v>
      </c>
      <c r="M241" s="47">
        <v>2472</v>
      </c>
    </row>
    <row r="242" spans="1:13" ht="15.75" thickBot="1" x14ac:dyDescent="0.3">
      <c r="A242" s="44" t="s">
        <v>975</v>
      </c>
      <c r="B242" s="45" t="s">
        <v>976</v>
      </c>
      <c r="C242" s="44" t="s">
        <v>803</v>
      </c>
      <c r="D242" s="46" t="s">
        <v>799</v>
      </c>
      <c r="E242" s="46" t="s">
        <v>800</v>
      </c>
      <c r="F242" s="47">
        <v>1</v>
      </c>
      <c r="G242" s="47">
        <v>0</v>
      </c>
      <c r="H242" s="47">
        <v>0</v>
      </c>
      <c r="I242" s="47">
        <v>1</v>
      </c>
      <c r="J242" s="47">
        <v>11278</v>
      </c>
      <c r="K242" s="73">
        <v>0</v>
      </c>
      <c r="L242" s="47">
        <v>11278</v>
      </c>
      <c r="M242" s="47">
        <v>2892</v>
      </c>
    </row>
    <row r="243" spans="1:13" ht="15.75" thickBot="1" x14ac:dyDescent="0.3">
      <c r="A243" s="44" t="s">
        <v>981</v>
      </c>
      <c r="B243" s="45" t="s">
        <v>982</v>
      </c>
      <c r="C243" s="44" t="s">
        <v>803</v>
      </c>
      <c r="D243" s="46" t="s">
        <v>885</v>
      </c>
      <c r="E243" s="46" t="s">
        <v>886</v>
      </c>
      <c r="F243" s="47">
        <v>1</v>
      </c>
      <c r="G243" s="47">
        <v>1</v>
      </c>
      <c r="H243" s="47">
        <v>0</v>
      </c>
      <c r="I243" s="47">
        <v>2</v>
      </c>
      <c r="J243" s="47">
        <v>10868</v>
      </c>
      <c r="K243" s="73">
        <v>3640</v>
      </c>
      <c r="L243" s="47">
        <v>14508</v>
      </c>
      <c r="M243" s="47">
        <v>4568</v>
      </c>
    </row>
    <row r="244" spans="1:13" ht="15.75" thickBot="1" x14ac:dyDescent="0.3">
      <c r="A244" s="44" t="s">
        <v>1007</v>
      </c>
      <c r="B244" s="45" t="s">
        <v>1008</v>
      </c>
      <c r="C244" s="44" t="s">
        <v>803</v>
      </c>
      <c r="D244" s="46" t="s">
        <v>804</v>
      </c>
      <c r="E244" s="46" t="s">
        <v>805</v>
      </c>
      <c r="F244" s="47">
        <v>1</v>
      </c>
      <c r="G244" s="47">
        <v>0</v>
      </c>
      <c r="H244" s="47">
        <v>0</v>
      </c>
      <c r="I244" s="47">
        <v>1</v>
      </c>
      <c r="J244" s="47">
        <v>5600</v>
      </c>
      <c r="K244" s="73">
        <v>0</v>
      </c>
      <c r="L244" s="47">
        <v>5600</v>
      </c>
      <c r="M244" s="47">
        <v>2968</v>
      </c>
    </row>
    <row r="245" spans="1:13" ht="15.75" thickBot="1" x14ac:dyDescent="0.3">
      <c r="A245" s="44" t="s">
        <v>1009</v>
      </c>
      <c r="B245" s="45" t="s">
        <v>1010</v>
      </c>
      <c r="C245" s="44" t="s">
        <v>803</v>
      </c>
      <c r="D245" s="46" t="s">
        <v>885</v>
      </c>
      <c r="E245" s="46" t="s">
        <v>886</v>
      </c>
      <c r="F245" s="47">
        <v>1</v>
      </c>
      <c r="G245" s="47">
        <v>0</v>
      </c>
      <c r="H245" s="47">
        <v>0</v>
      </c>
      <c r="I245" s="47">
        <v>1</v>
      </c>
      <c r="J245" s="47">
        <v>30000</v>
      </c>
      <c r="K245" s="73">
        <v>0</v>
      </c>
      <c r="L245" s="47">
        <v>30000</v>
      </c>
      <c r="M245" s="47">
        <v>3623</v>
      </c>
    </row>
    <row r="246" spans="1:13" ht="15.75" thickBot="1" x14ac:dyDescent="0.3">
      <c r="A246" s="44" t="s">
        <v>1017</v>
      </c>
      <c r="B246" s="45" t="s">
        <v>1018</v>
      </c>
      <c r="C246" s="44" t="s">
        <v>803</v>
      </c>
      <c r="D246" s="46" t="s">
        <v>885</v>
      </c>
      <c r="E246" s="46" t="s">
        <v>886</v>
      </c>
      <c r="F246" s="47">
        <v>1</v>
      </c>
      <c r="G246" s="47">
        <v>0</v>
      </c>
      <c r="H246" s="47">
        <v>0</v>
      </c>
      <c r="I246" s="47">
        <v>1</v>
      </c>
      <c r="J246" s="47">
        <v>7236</v>
      </c>
      <c r="K246" s="73">
        <v>0</v>
      </c>
      <c r="L246" s="47">
        <v>7236</v>
      </c>
      <c r="M246" s="47">
        <v>2675</v>
      </c>
    </row>
    <row r="247" spans="1:13" ht="15.75" thickBot="1" x14ac:dyDescent="0.3">
      <c r="A247" s="44" t="s">
        <v>1027</v>
      </c>
      <c r="B247" s="45" t="s">
        <v>1028</v>
      </c>
      <c r="C247" s="44" t="s">
        <v>803</v>
      </c>
      <c r="D247" s="46" t="s">
        <v>804</v>
      </c>
      <c r="E247" s="46" t="s">
        <v>805</v>
      </c>
      <c r="F247" s="47">
        <v>1</v>
      </c>
      <c r="G247" s="47">
        <v>0</v>
      </c>
      <c r="H247" s="47">
        <v>0</v>
      </c>
      <c r="I247" s="47">
        <v>1</v>
      </c>
      <c r="J247" s="47">
        <v>5346</v>
      </c>
      <c r="K247" s="73">
        <v>0</v>
      </c>
      <c r="L247" s="47">
        <v>5346</v>
      </c>
      <c r="M247" s="47">
        <v>2221</v>
      </c>
    </row>
    <row r="248" spans="1:13" ht="15.75" thickBot="1" x14ac:dyDescent="0.3">
      <c r="A248" s="44" t="s">
        <v>1043</v>
      </c>
      <c r="B248" s="45" t="s">
        <v>1044</v>
      </c>
      <c r="C248" s="44" t="s">
        <v>803</v>
      </c>
      <c r="D248" s="46" t="s">
        <v>804</v>
      </c>
      <c r="E248" s="46" t="s">
        <v>805</v>
      </c>
      <c r="F248" s="47">
        <v>1</v>
      </c>
      <c r="G248" s="47">
        <v>0</v>
      </c>
      <c r="H248" s="47">
        <v>0</v>
      </c>
      <c r="I248" s="47">
        <v>1</v>
      </c>
      <c r="J248" s="47">
        <v>17000</v>
      </c>
      <c r="K248" s="73">
        <v>0</v>
      </c>
      <c r="L248" s="47">
        <v>17000</v>
      </c>
      <c r="M248" s="47">
        <v>2534</v>
      </c>
    </row>
    <row r="249" spans="1:13" ht="15.75" thickBot="1" x14ac:dyDescent="0.3">
      <c r="A249" s="44" t="s">
        <v>1053</v>
      </c>
      <c r="B249" s="45" t="s">
        <v>1054</v>
      </c>
      <c r="C249" s="44" t="s">
        <v>803</v>
      </c>
      <c r="D249" s="46" t="s">
        <v>885</v>
      </c>
      <c r="E249" s="46" t="s">
        <v>886</v>
      </c>
      <c r="F249" s="47">
        <v>1</v>
      </c>
      <c r="G249" s="47">
        <v>0</v>
      </c>
      <c r="H249" s="47">
        <v>0</v>
      </c>
      <c r="I249" s="47">
        <v>1</v>
      </c>
      <c r="J249" s="47">
        <v>13736</v>
      </c>
      <c r="K249" s="73">
        <v>0</v>
      </c>
      <c r="L249" s="47">
        <v>13736</v>
      </c>
      <c r="M249" s="47">
        <v>2682</v>
      </c>
    </row>
    <row r="250" spans="1:13" ht="15.75" thickBot="1" x14ac:dyDescent="0.3">
      <c r="A250" s="44" t="s">
        <v>1055</v>
      </c>
      <c r="B250" s="45" t="s">
        <v>1056</v>
      </c>
      <c r="C250" s="44" t="s">
        <v>803</v>
      </c>
      <c r="D250" s="46" t="s">
        <v>804</v>
      </c>
      <c r="E250" s="46" t="s">
        <v>805</v>
      </c>
      <c r="F250" s="47">
        <v>1</v>
      </c>
      <c r="G250" s="47">
        <v>0</v>
      </c>
      <c r="H250" s="47">
        <v>0</v>
      </c>
      <c r="I250" s="47">
        <v>1</v>
      </c>
      <c r="J250" s="47">
        <v>19500</v>
      </c>
      <c r="K250" s="73">
        <v>0</v>
      </c>
      <c r="L250" s="47">
        <v>19500</v>
      </c>
      <c r="M250" s="47">
        <v>2867</v>
      </c>
    </row>
    <row r="251" spans="1:13" ht="15.75" thickBot="1" x14ac:dyDescent="0.3">
      <c r="A251" s="44" t="s">
        <v>1059</v>
      </c>
      <c r="B251" s="45" t="s">
        <v>1060</v>
      </c>
      <c r="C251" s="44" t="s">
        <v>803</v>
      </c>
      <c r="D251" s="46" t="s">
        <v>804</v>
      </c>
      <c r="E251" s="46" t="s">
        <v>805</v>
      </c>
      <c r="F251" s="47">
        <v>1</v>
      </c>
      <c r="G251" s="47">
        <v>0</v>
      </c>
      <c r="H251" s="47">
        <v>0</v>
      </c>
      <c r="I251" s="47">
        <v>1</v>
      </c>
      <c r="J251" s="47">
        <v>23007</v>
      </c>
      <c r="K251" s="73">
        <v>0</v>
      </c>
      <c r="L251" s="47">
        <v>23007</v>
      </c>
      <c r="M251" s="47">
        <v>3060</v>
      </c>
    </row>
    <row r="252" spans="1:13" ht="15.75" thickBot="1" x14ac:dyDescent="0.3">
      <c r="A252" s="44" t="s">
        <v>1061</v>
      </c>
      <c r="B252" s="45" t="s">
        <v>1062</v>
      </c>
      <c r="C252" s="44" t="s">
        <v>803</v>
      </c>
      <c r="D252" s="46" t="s">
        <v>804</v>
      </c>
      <c r="E252" s="46" t="s">
        <v>805</v>
      </c>
      <c r="F252" s="47">
        <v>1</v>
      </c>
      <c r="G252" s="47">
        <v>0</v>
      </c>
      <c r="H252" s="47">
        <v>0</v>
      </c>
      <c r="I252" s="47">
        <v>1</v>
      </c>
      <c r="J252" s="47">
        <v>10000</v>
      </c>
      <c r="K252" s="73">
        <v>0</v>
      </c>
      <c r="L252" s="47">
        <v>10000</v>
      </c>
      <c r="M252" s="47">
        <v>2288</v>
      </c>
    </row>
    <row r="253" spans="1:13" ht="15.75" thickBot="1" x14ac:dyDescent="0.3">
      <c r="A253" s="44" t="s">
        <v>1067</v>
      </c>
      <c r="B253" s="45" t="s">
        <v>1068</v>
      </c>
      <c r="C253" s="44" t="s">
        <v>803</v>
      </c>
      <c r="D253" s="46" t="s">
        <v>804</v>
      </c>
      <c r="E253" s="46" t="s">
        <v>805</v>
      </c>
      <c r="F253" s="47">
        <v>1</v>
      </c>
      <c r="G253" s="47">
        <v>0</v>
      </c>
      <c r="H253" s="47">
        <v>0</v>
      </c>
      <c r="I253" s="47">
        <v>1</v>
      </c>
      <c r="J253" s="47">
        <v>10000</v>
      </c>
      <c r="K253" s="73">
        <v>0</v>
      </c>
      <c r="L253" s="47">
        <v>10000</v>
      </c>
      <c r="M253" s="47">
        <v>2519</v>
      </c>
    </row>
    <row r="254" spans="1:13" ht="15.75" thickBot="1" x14ac:dyDescent="0.3">
      <c r="A254" s="44" t="s">
        <v>1073</v>
      </c>
      <c r="B254" s="45" t="s">
        <v>1074</v>
      </c>
      <c r="C254" s="44" t="s">
        <v>803</v>
      </c>
      <c r="D254" s="46" t="s">
        <v>804</v>
      </c>
      <c r="E254" s="46" t="s">
        <v>805</v>
      </c>
      <c r="F254" s="47">
        <v>1</v>
      </c>
      <c r="G254" s="47">
        <v>0</v>
      </c>
      <c r="H254" s="47">
        <v>0</v>
      </c>
      <c r="I254" s="47">
        <v>1</v>
      </c>
      <c r="J254" s="47">
        <v>9600</v>
      </c>
      <c r="K254" s="73">
        <v>0</v>
      </c>
      <c r="L254" s="47">
        <v>9600</v>
      </c>
      <c r="M254" s="47">
        <v>2639</v>
      </c>
    </row>
    <row r="255" spans="1:13" ht="15.75" thickBot="1" x14ac:dyDescent="0.3">
      <c r="A255" s="44" t="s">
        <v>1077</v>
      </c>
      <c r="B255" s="45" t="s">
        <v>1078</v>
      </c>
      <c r="C255" s="44" t="s">
        <v>803</v>
      </c>
      <c r="D255" s="46" t="s">
        <v>799</v>
      </c>
      <c r="E255" s="46" t="s">
        <v>800</v>
      </c>
      <c r="F255" s="47">
        <v>1</v>
      </c>
      <c r="G255" s="47">
        <v>0</v>
      </c>
      <c r="H255" s="47">
        <v>0</v>
      </c>
      <c r="I255" s="47">
        <v>1</v>
      </c>
      <c r="J255" s="47">
        <v>39669</v>
      </c>
      <c r="K255" s="73">
        <v>0</v>
      </c>
      <c r="L255" s="47">
        <v>39669</v>
      </c>
      <c r="M255" s="47">
        <v>2211</v>
      </c>
    </row>
    <row r="256" spans="1:13" ht="15.75" thickBot="1" x14ac:dyDescent="0.3">
      <c r="A256" s="44" t="s">
        <v>1079</v>
      </c>
      <c r="B256" s="45" t="s">
        <v>1080</v>
      </c>
      <c r="C256" s="44" t="s">
        <v>803</v>
      </c>
      <c r="D256" s="46" t="s">
        <v>844</v>
      </c>
      <c r="E256" s="46" t="s">
        <v>845</v>
      </c>
      <c r="F256" s="47">
        <v>1</v>
      </c>
      <c r="G256" s="47">
        <v>0</v>
      </c>
      <c r="H256" s="47">
        <v>0</v>
      </c>
      <c r="I256" s="47">
        <v>1</v>
      </c>
      <c r="J256" s="47">
        <v>2000</v>
      </c>
      <c r="K256" s="73">
        <v>0</v>
      </c>
      <c r="L256" s="47">
        <v>2000</v>
      </c>
      <c r="M256" s="47">
        <v>2035</v>
      </c>
    </row>
    <row r="257" spans="1:13" ht="15.75" thickBot="1" x14ac:dyDescent="0.3">
      <c r="A257" s="44" t="s">
        <v>1097</v>
      </c>
      <c r="B257" s="45" t="s">
        <v>1098</v>
      </c>
      <c r="C257" s="44" t="s">
        <v>803</v>
      </c>
      <c r="D257" s="46" t="s">
        <v>799</v>
      </c>
      <c r="E257" s="46" t="s">
        <v>800</v>
      </c>
      <c r="F257" s="47">
        <v>1</v>
      </c>
      <c r="G257" s="47">
        <v>1</v>
      </c>
      <c r="H257" s="47">
        <v>0</v>
      </c>
      <c r="I257" s="47">
        <v>2</v>
      </c>
      <c r="J257" s="47">
        <v>52000</v>
      </c>
      <c r="K257" s="73">
        <v>5506</v>
      </c>
      <c r="L257" s="47">
        <v>57506</v>
      </c>
      <c r="M257" s="47">
        <v>5252</v>
      </c>
    </row>
    <row r="258" spans="1:13" ht="15.75" thickBot="1" x14ac:dyDescent="0.3">
      <c r="A258" s="44" t="s">
        <v>1105</v>
      </c>
      <c r="B258" s="45" t="s">
        <v>1106</v>
      </c>
      <c r="C258" s="44" t="s">
        <v>803</v>
      </c>
      <c r="D258" s="46" t="s">
        <v>804</v>
      </c>
      <c r="E258" s="46" t="s">
        <v>805</v>
      </c>
      <c r="F258" s="47">
        <v>1</v>
      </c>
      <c r="G258" s="47">
        <v>0</v>
      </c>
      <c r="H258" s="47">
        <v>0</v>
      </c>
      <c r="I258" s="47">
        <v>1</v>
      </c>
      <c r="J258" s="47">
        <v>9098</v>
      </c>
      <c r="K258" s="73">
        <v>0</v>
      </c>
      <c r="L258" s="47">
        <v>9098</v>
      </c>
      <c r="M258" s="47">
        <v>3127</v>
      </c>
    </row>
    <row r="259" spans="1:13" ht="15.75" thickBot="1" x14ac:dyDescent="0.3">
      <c r="A259" s="44" t="s">
        <v>1115</v>
      </c>
      <c r="B259" s="45" t="s">
        <v>1116</v>
      </c>
      <c r="C259" s="44" t="s">
        <v>803</v>
      </c>
      <c r="D259" s="46" t="s">
        <v>804</v>
      </c>
      <c r="E259" s="46" t="s">
        <v>805</v>
      </c>
      <c r="F259" s="47">
        <v>1</v>
      </c>
      <c r="G259" s="47">
        <v>0</v>
      </c>
      <c r="H259" s="47">
        <v>0</v>
      </c>
      <c r="I259" s="47">
        <v>1</v>
      </c>
      <c r="J259" s="47">
        <v>16500</v>
      </c>
      <c r="K259" s="73">
        <v>0</v>
      </c>
      <c r="L259" s="47">
        <v>16500</v>
      </c>
      <c r="M259" s="47">
        <v>2918</v>
      </c>
    </row>
    <row r="260" spans="1:13" ht="15.75" thickBot="1" x14ac:dyDescent="0.3">
      <c r="A260" s="44" t="s">
        <v>1117</v>
      </c>
      <c r="B260" s="45" t="s">
        <v>1118</v>
      </c>
      <c r="C260" s="44" t="s">
        <v>803</v>
      </c>
      <c r="D260" s="46" t="s">
        <v>804</v>
      </c>
      <c r="E260" s="46" t="s">
        <v>805</v>
      </c>
      <c r="F260" s="47">
        <v>1</v>
      </c>
      <c r="G260" s="47">
        <v>0</v>
      </c>
      <c r="H260" s="47">
        <v>0</v>
      </c>
      <c r="I260" s="47">
        <v>1</v>
      </c>
      <c r="J260" s="47">
        <v>12000</v>
      </c>
      <c r="K260" s="73">
        <v>0</v>
      </c>
      <c r="L260" s="47">
        <v>12000</v>
      </c>
      <c r="M260" s="47">
        <v>2080</v>
      </c>
    </row>
    <row r="261" spans="1:13" ht="15.75" thickBot="1" x14ac:dyDescent="0.3">
      <c r="A261" s="44" t="s">
        <v>1121</v>
      </c>
      <c r="B261" s="45" t="s">
        <v>1122</v>
      </c>
      <c r="C261" s="44" t="s">
        <v>803</v>
      </c>
      <c r="D261" s="46" t="s">
        <v>799</v>
      </c>
      <c r="E261" s="46" t="s">
        <v>800</v>
      </c>
      <c r="F261" s="47">
        <v>1</v>
      </c>
      <c r="G261" s="47">
        <v>0</v>
      </c>
      <c r="H261" s="47">
        <v>0</v>
      </c>
      <c r="I261" s="47">
        <v>1</v>
      </c>
      <c r="J261" s="47">
        <v>17500</v>
      </c>
      <c r="K261" s="73">
        <v>0</v>
      </c>
      <c r="L261" s="47">
        <v>17500</v>
      </c>
      <c r="M261" s="47">
        <v>2184</v>
      </c>
    </row>
    <row r="262" spans="1:13" ht="15.75" thickBot="1" x14ac:dyDescent="0.3">
      <c r="A262" s="44" t="s">
        <v>1123</v>
      </c>
      <c r="B262" s="45" t="s">
        <v>1124</v>
      </c>
      <c r="C262" s="44" t="s">
        <v>803</v>
      </c>
      <c r="D262" s="46" t="s">
        <v>804</v>
      </c>
      <c r="E262" s="46" t="s">
        <v>805</v>
      </c>
      <c r="F262" s="47">
        <v>1</v>
      </c>
      <c r="G262" s="47">
        <v>0</v>
      </c>
      <c r="H262" s="47">
        <v>0</v>
      </c>
      <c r="I262" s="47">
        <v>1</v>
      </c>
      <c r="J262" s="47">
        <v>5524</v>
      </c>
      <c r="K262" s="73">
        <v>0</v>
      </c>
      <c r="L262" s="47">
        <v>5524</v>
      </c>
      <c r="M262" s="47">
        <v>2340</v>
      </c>
    </row>
    <row r="263" spans="1:13" ht="15.75" thickBot="1" x14ac:dyDescent="0.3">
      <c r="A263" s="44" t="s">
        <v>1125</v>
      </c>
      <c r="B263" s="45" t="s">
        <v>1126</v>
      </c>
      <c r="C263" s="44" t="s">
        <v>803</v>
      </c>
      <c r="D263" s="46" t="s">
        <v>799</v>
      </c>
      <c r="E263" s="46" t="s">
        <v>800</v>
      </c>
      <c r="F263" s="47">
        <v>1</v>
      </c>
      <c r="G263" s="47">
        <v>0</v>
      </c>
      <c r="H263" s="47">
        <v>0</v>
      </c>
      <c r="I263" s="47">
        <v>1</v>
      </c>
      <c r="J263" s="47">
        <v>3900</v>
      </c>
      <c r="K263" s="73">
        <v>0</v>
      </c>
      <c r="L263" s="47">
        <v>3900</v>
      </c>
      <c r="M263" s="47">
        <v>2210</v>
      </c>
    </row>
    <row r="264" spans="1:13" ht="15.75" thickBot="1" x14ac:dyDescent="0.3">
      <c r="A264" s="44" t="s">
        <v>1131</v>
      </c>
      <c r="B264" s="45" t="s">
        <v>1132</v>
      </c>
      <c r="C264" s="44" t="s">
        <v>803</v>
      </c>
      <c r="D264" s="46" t="s">
        <v>804</v>
      </c>
      <c r="E264" s="46" t="s">
        <v>805</v>
      </c>
      <c r="F264" s="47">
        <v>1</v>
      </c>
      <c r="G264" s="47">
        <v>0</v>
      </c>
      <c r="H264" s="47">
        <v>0</v>
      </c>
      <c r="I264" s="47">
        <v>1</v>
      </c>
      <c r="J264" s="47">
        <v>18000</v>
      </c>
      <c r="K264" s="74">
        <v>0</v>
      </c>
      <c r="L264" s="47">
        <v>18000</v>
      </c>
      <c r="M264" s="47">
        <v>2957</v>
      </c>
    </row>
    <row r="265" spans="1:13" ht="15.75" thickBot="1" x14ac:dyDescent="0.3">
      <c r="A265" s="44" t="s">
        <v>1133</v>
      </c>
      <c r="B265" s="45" t="s">
        <v>1134</v>
      </c>
      <c r="C265" s="44" t="s">
        <v>803</v>
      </c>
      <c r="D265" s="46" t="s">
        <v>804</v>
      </c>
      <c r="E265" s="46" t="s">
        <v>805</v>
      </c>
      <c r="F265" s="47">
        <v>1</v>
      </c>
      <c r="G265" s="47">
        <v>0</v>
      </c>
      <c r="H265" s="47">
        <v>0</v>
      </c>
      <c r="I265" s="47">
        <v>1</v>
      </c>
      <c r="J265" s="47">
        <v>18760</v>
      </c>
      <c r="K265" s="73">
        <v>0</v>
      </c>
      <c r="L265" s="47">
        <v>18760</v>
      </c>
      <c r="M265" s="47">
        <v>2288</v>
      </c>
    </row>
    <row r="266" spans="1:13" ht="15.75" thickBot="1" x14ac:dyDescent="0.3">
      <c r="A266" s="44" t="s">
        <v>1141</v>
      </c>
      <c r="B266" s="45" t="s">
        <v>1142</v>
      </c>
      <c r="C266" s="44" t="s">
        <v>803</v>
      </c>
      <c r="D266" s="46" t="s">
        <v>799</v>
      </c>
      <c r="E266" s="46" t="s">
        <v>800</v>
      </c>
      <c r="F266" s="47">
        <v>1</v>
      </c>
      <c r="G266" s="47">
        <v>0</v>
      </c>
      <c r="H266" s="47">
        <v>0</v>
      </c>
      <c r="I266" s="47">
        <v>1</v>
      </c>
      <c r="J266" s="47">
        <v>25050</v>
      </c>
      <c r="K266" s="73">
        <v>0</v>
      </c>
      <c r="L266" s="47">
        <v>25050</v>
      </c>
      <c r="M266" s="47">
        <v>2698</v>
      </c>
    </row>
    <row r="267" spans="1:13" ht="15.75" thickBot="1" x14ac:dyDescent="0.3">
      <c r="A267" s="44" t="s">
        <v>1145</v>
      </c>
      <c r="B267" s="45" t="s">
        <v>1146</v>
      </c>
      <c r="C267" s="44" t="s">
        <v>803</v>
      </c>
      <c r="D267" s="46" t="s">
        <v>804</v>
      </c>
      <c r="E267" s="46" t="s">
        <v>805</v>
      </c>
      <c r="F267" s="47">
        <v>1</v>
      </c>
      <c r="G267" s="47">
        <v>0</v>
      </c>
      <c r="H267" s="47">
        <v>0</v>
      </c>
      <c r="I267" s="47">
        <v>1</v>
      </c>
      <c r="J267" s="47">
        <v>6007</v>
      </c>
      <c r="K267" s="73">
        <v>0</v>
      </c>
      <c r="L267" s="47">
        <v>6007</v>
      </c>
      <c r="M267" s="47">
        <v>2751</v>
      </c>
    </row>
    <row r="268" spans="1:13" ht="15.75" thickBot="1" x14ac:dyDescent="0.3">
      <c r="A268" s="44" t="s">
        <v>1153</v>
      </c>
      <c r="B268" s="45" t="s">
        <v>1154</v>
      </c>
      <c r="C268" s="44" t="s">
        <v>803</v>
      </c>
      <c r="D268" s="46" t="s">
        <v>804</v>
      </c>
      <c r="E268" s="46" t="s">
        <v>805</v>
      </c>
      <c r="F268" s="47">
        <v>1</v>
      </c>
      <c r="G268" s="47">
        <v>0</v>
      </c>
      <c r="H268" s="47">
        <v>0</v>
      </c>
      <c r="I268" s="47">
        <v>1</v>
      </c>
      <c r="J268" s="47">
        <v>10865</v>
      </c>
      <c r="K268" s="73">
        <v>0</v>
      </c>
      <c r="L268" s="47">
        <v>10865</v>
      </c>
      <c r="M268" s="47">
        <v>2337</v>
      </c>
    </row>
    <row r="269" spans="1:13" ht="15.75" thickBot="1" x14ac:dyDescent="0.3">
      <c r="A269" s="44" t="s">
        <v>1155</v>
      </c>
      <c r="B269" s="45" t="s">
        <v>1156</v>
      </c>
      <c r="C269" s="44" t="s">
        <v>803</v>
      </c>
      <c r="D269" s="46" t="s">
        <v>804</v>
      </c>
      <c r="E269" s="46" t="s">
        <v>805</v>
      </c>
      <c r="F269" s="47">
        <v>1</v>
      </c>
      <c r="G269" s="47">
        <v>0</v>
      </c>
      <c r="H269" s="47">
        <v>0</v>
      </c>
      <c r="I269" s="47">
        <v>1</v>
      </c>
      <c r="J269" s="47">
        <v>22900</v>
      </c>
      <c r="K269" s="73">
        <v>0</v>
      </c>
      <c r="L269" s="47">
        <v>22900</v>
      </c>
      <c r="M269" s="47">
        <v>2688</v>
      </c>
    </row>
    <row r="270" spans="1:13" ht="15.75" thickBot="1" x14ac:dyDescent="0.3">
      <c r="A270" s="44" t="s">
        <v>1169</v>
      </c>
      <c r="B270" s="45" t="s">
        <v>1170</v>
      </c>
      <c r="C270" s="44" t="s">
        <v>803</v>
      </c>
      <c r="D270" s="46" t="s">
        <v>804</v>
      </c>
      <c r="E270" s="46" t="s">
        <v>805</v>
      </c>
      <c r="F270" s="47">
        <v>1</v>
      </c>
      <c r="G270" s="47">
        <v>0</v>
      </c>
      <c r="H270" s="47">
        <v>0</v>
      </c>
      <c r="I270" s="47">
        <v>1</v>
      </c>
      <c r="J270" s="47">
        <v>5500</v>
      </c>
      <c r="K270" s="73">
        <v>0</v>
      </c>
      <c r="L270" s="47">
        <v>5500</v>
      </c>
      <c r="M270" s="47">
        <v>2600</v>
      </c>
    </row>
    <row r="271" spans="1:13" ht="15.75" thickBot="1" x14ac:dyDescent="0.3">
      <c r="A271" s="44" t="s">
        <v>1175</v>
      </c>
      <c r="B271" s="45" t="s">
        <v>1176</v>
      </c>
      <c r="C271" s="44" t="s">
        <v>803</v>
      </c>
      <c r="D271" s="46" t="s">
        <v>799</v>
      </c>
      <c r="E271" s="46" t="s">
        <v>800</v>
      </c>
      <c r="F271" s="47">
        <v>1</v>
      </c>
      <c r="G271" s="47">
        <v>0</v>
      </c>
      <c r="H271" s="47">
        <v>0</v>
      </c>
      <c r="I271" s="47">
        <v>1</v>
      </c>
      <c r="J271" s="47">
        <v>11500</v>
      </c>
      <c r="K271" s="73">
        <v>0</v>
      </c>
      <c r="L271" s="47">
        <v>11500</v>
      </c>
      <c r="M271" s="47">
        <v>2184</v>
      </c>
    </row>
    <row r="272" spans="1:13" ht="15.75" thickBot="1" x14ac:dyDescent="0.3">
      <c r="A272" s="44" t="s">
        <v>1189</v>
      </c>
      <c r="B272" s="45" t="s">
        <v>1190</v>
      </c>
      <c r="C272" s="44" t="s">
        <v>803</v>
      </c>
      <c r="D272" s="46" t="s">
        <v>799</v>
      </c>
      <c r="E272" s="46" t="s">
        <v>800</v>
      </c>
      <c r="F272" s="47">
        <v>1</v>
      </c>
      <c r="G272" s="47">
        <v>0</v>
      </c>
      <c r="H272" s="47">
        <v>0</v>
      </c>
      <c r="I272" s="47">
        <v>1</v>
      </c>
      <c r="J272" s="47">
        <v>4928</v>
      </c>
      <c r="K272" s="73">
        <v>0</v>
      </c>
      <c r="L272" s="47">
        <v>4928</v>
      </c>
      <c r="M272" s="47">
        <v>2614</v>
      </c>
    </row>
    <row r="273" spans="1:13" ht="15.75" thickBot="1" x14ac:dyDescent="0.3">
      <c r="A273" s="44" t="s">
        <v>1207</v>
      </c>
      <c r="B273" s="45" t="s">
        <v>1208</v>
      </c>
      <c r="C273" s="44" t="s">
        <v>803</v>
      </c>
      <c r="D273" s="46" t="s">
        <v>804</v>
      </c>
      <c r="E273" s="46" t="s">
        <v>805</v>
      </c>
      <c r="F273" s="47">
        <v>1</v>
      </c>
      <c r="G273" s="47">
        <v>0</v>
      </c>
      <c r="H273" s="47">
        <v>0</v>
      </c>
      <c r="I273" s="47">
        <v>1</v>
      </c>
      <c r="J273" s="47">
        <v>5900</v>
      </c>
      <c r="K273" s="73">
        <v>0</v>
      </c>
      <c r="L273" s="47">
        <v>5900</v>
      </c>
      <c r="M273" s="47">
        <v>1866</v>
      </c>
    </row>
    <row r="274" spans="1:13" ht="15.75" thickBot="1" x14ac:dyDescent="0.3">
      <c r="A274" s="44" t="s">
        <v>1223</v>
      </c>
      <c r="B274" s="45" t="s">
        <v>1224</v>
      </c>
      <c r="C274" s="44" t="s">
        <v>803</v>
      </c>
      <c r="D274" s="46" t="s">
        <v>844</v>
      </c>
      <c r="E274" s="46" t="s">
        <v>845</v>
      </c>
      <c r="F274" s="47">
        <v>1</v>
      </c>
      <c r="G274" s="47">
        <v>0</v>
      </c>
      <c r="H274" s="47">
        <v>0</v>
      </c>
      <c r="I274" s="47">
        <v>1</v>
      </c>
      <c r="J274" s="47">
        <v>25000</v>
      </c>
      <c r="K274" s="73">
        <v>0</v>
      </c>
      <c r="L274" s="47">
        <v>25000</v>
      </c>
      <c r="M274" s="47">
        <v>2904</v>
      </c>
    </row>
    <row r="275" spans="1:13" ht="15.75" thickBot="1" x14ac:dyDescent="0.3">
      <c r="A275" s="44" t="s">
        <v>1235</v>
      </c>
      <c r="B275" s="45" t="s">
        <v>1236</v>
      </c>
      <c r="C275" s="44" t="s">
        <v>803</v>
      </c>
      <c r="D275" s="46" t="s">
        <v>799</v>
      </c>
      <c r="E275" s="46" t="s">
        <v>800</v>
      </c>
      <c r="F275" s="47">
        <v>1</v>
      </c>
      <c r="G275" s="47">
        <v>0</v>
      </c>
      <c r="H275" s="47">
        <v>0</v>
      </c>
      <c r="I275" s="47">
        <v>1</v>
      </c>
      <c r="J275" s="47">
        <v>3900</v>
      </c>
      <c r="K275" s="73">
        <v>0</v>
      </c>
      <c r="L275" s="47">
        <v>3900</v>
      </c>
      <c r="M275" s="47">
        <v>3300</v>
      </c>
    </row>
    <row r="276" spans="1:13" ht="15.75" thickBot="1" x14ac:dyDescent="0.3">
      <c r="A276" s="44" t="s">
        <v>1241</v>
      </c>
      <c r="B276" s="45" t="s">
        <v>1242</v>
      </c>
      <c r="C276" s="44" t="s">
        <v>803</v>
      </c>
      <c r="D276" s="46" t="s">
        <v>804</v>
      </c>
      <c r="E276" s="46" t="s">
        <v>805</v>
      </c>
      <c r="F276" s="47">
        <v>1</v>
      </c>
      <c r="G276" s="47">
        <v>0</v>
      </c>
      <c r="H276" s="47">
        <v>0</v>
      </c>
      <c r="I276" s="47">
        <v>1</v>
      </c>
      <c r="J276" s="47">
        <v>11214</v>
      </c>
      <c r="K276" s="73">
        <v>0</v>
      </c>
      <c r="L276" s="47">
        <v>11214</v>
      </c>
      <c r="M276" s="47">
        <v>2550</v>
      </c>
    </row>
    <row r="277" spans="1:13" ht="15.75" thickBot="1" x14ac:dyDescent="0.3">
      <c r="A277" s="44" t="s">
        <v>1255</v>
      </c>
      <c r="B277" s="45" t="s">
        <v>1256</v>
      </c>
      <c r="C277" s="44" t="s">
        <v>803</v>
      </c>
      <c r="D277" s="46" t="s">
        <v>885</v>
      </c>
      <c r="E277" s="46" t="s">
        <v>886</v>
      </c>
      <c r="F277" s="47">
        <v>1</v>
      </c>
      <c r="G277" s="47">
        <v>5</v>
      </c>
      <c r="H277" s="47">
        <v>0</v>
      </c>
      <c r="I277" s="47">
        <v>6</v>
      </c>
      <c r="J277" s="47">
        <v>10542</v>
      </c>
      <c r="K277" s="73">
        <v>8791</v>
      </c>
      <c r="L277" s="47">
        <v>19333</v>
      </c>
      <c r="M277" s="47">
        <v>9104</v>
      </c>
    </row>
    <row r="278" spans="1:13" ht="15.75" thickBot="1" x14ac:dyDescent="0.3">
      <c r="A278" s="44" t="s">
        <v>1265</v>
      </c>
      <c r="B278" s="45" t="s">
        <v>1266</v>
      </c>
      <c r="C278" s="44" t="s">
        <v>803</v>
      </c>
      <c r="D278" s="46" t="s">
        <v>804</v>
      </c>
      <c r="E278" s="46" t="s">
        <v>805</v>
      </c>
      <c r="F278" s="47">
        <v>1</v>
      </c>
      <c r="G278" s="47">
        <v>0</v>
      </c>
      <c r="H278" s="47">
        <v>0</v>
      </c>
      <c r="I278" s="47">
        <v>1</v>
      </c>
      <c r="J278" s="47">
        <v>19000</v>
      </c>
      <c r="K278" s="73">
        <v>0</v>
      </c>
      <c r="L278" s="47">
        <v>19000</v>
      </c>
      <c r="M278" s="47">
        <v>2840</v>
      </c>
    </row>
    <row r="279" spans="1:13" ht="15.75" thickBot="1" x14ac:dyDescent="0.3">
      <c r="A279" s="44" t="s">
        <v>1269</v>
      </c>
      <c r="B279" s="45" t="s">
        <v>1270</v>
      </c>
      <c r="C279" s="44" t="s">
        <v>803</v>
      </c>
      <c r="D279" s="46" t="s">
        <v>804</v>
      </c>
      <c r="E279" s="46" t="s">
        <v>805</v>
      </c>
      <c r="F279" s="47">
        <v>1</v>
      </c>
      <c r="G279" s="47">
        <v>0</v>
      </c>
      <c r="H279" s="47">
        <v>0</v>
      </c>
      <c r="I279" s="47">
        <v>1</v>
      </c>
      <c r="J279" s="47">
        <v>26291</v>
      </c>
      <c r="K279" s="73">
        <v>0</v>
      </c>
      <c r="L279" s="47">
        <v>26291</v>
      </c>
      <c r="M279" s="47">
        <v>2700</v>
      </c>
    </row>
    <row r="280" spans="1:13" ht="15.75" thickBot="1" x14ac:dyDescent="0.3">
      <c r="A280" s="44" t="s">
        <v>1281</v>
      </c>
      <c r="B280" s="45" t="s">
        <v>1282</v>
      </c>
      <c r="C280" s="44" t="s">
        <v>803</v>
      </c>
      <c r="D280" s="46" t="s">
        <v>885</v>
      </c>
      <c r="E280" s="46" t="s">
        <v>886</v>
      </c>
      <c r="F280" s="47">
        <v>1</v>
      </c>
      <c r="G280" s="47">
        <v>1</v>
      </c>
      <c r="H280" s="47">
        <v>1</v>
      </c>
      <c r="I280" s="47">
        <v>3</v>
      </c>
      <c r="J280" s="47">
        <v>6760</v>
      </c>
      <c r="K280" s="73">
        <v>800</v>
      </c>
      <c r="L280" s="47">
        <v>7560</v>
      </c>
      <c r="M280" s="47">
        <v>3662</v>
      </c>
    </row>
    <row r="281" spans="1:13" ht="15.75" thickBot="1" x14ac:dyDescent="0.3">
      <c r="A281" s="44" t="s">
        <v>1285</v>
      </c>
      <c r="B281" s="45" t="s">
        <v>1286</v>
      </c>
      <c r="C281" s="44" t="s">
        <v>803</v>
      </c>
      <c r="D281" s="46" t="s">
        <v>804</v>
      </c>
      <c r="E281" s="46" t="s">
        <v>805</v>
      </c>
      <c r="F281" s="47">
        <v>1</v>
      </c>
      <c r="G281" s="47">
        <v>0</v>
      </c>
      <c r="H281" s="47">
        <v>0</v>
      </c>
      <c r="I281" s="47">
        <v>1</v>
      </c>
      <c r="J281" s="47">
        <v>5130</v>
      </c>
      <c r="K281" s="73">
        <v>0</v>
      </c>
      <c r="L281" s="47">
        <v>5130</v>
      </c>
      <c r="M281" s="47">
        <v>2521</v>
      </c>
    </row>
    <row r="282" spans="1:13" ht="15.75" thickBot="1" x14ac:dyDescent="0.3">
      <c r="A282" s="44" t="s">
        <v>1287</v>
      </c>
      <c r="B282" s="45" t="s">
        <v>1288</v>
      </c>
      <c r="C282" s="44" t="s">
        <v>803</v>
      </c>
      <c r="D282" s="46" t="s">
        <v>799</v>
      </c>
      <c r="E282" s="46" t="s">
        <v>800</v>
      </c>
      <c r="F282" s="47">
        <v>1</v>
      </c>
      <c r="G282" s="47">
        <v>0</v>
      </c>
      <c r="H282" s="47">
        <v>0</v>
      </c>
      <c r="I282" s="47">
        <v>1</v>
      </c>
      <c r="J282" s="47">
        <v>23500</v>
      </c>
      <c r="K282" s="73">
        <v>0</v>
      </c>
      <c r="L282" s="47">
        <v>23500</v>
      </c>
      <c r="M282" s="47">
        <v>2868</v>
      </c>
    </row>
    <row r="283" spans="1:13" ht="15.75" thickBot="1" x14ac:dyDescent="0.3">
      <c r="A283" s="44" t="s">
        <v>1291</v>
      </c>
      <c r="B283" s="45" t="s">
        <v>1292</v>
      </c>
      <c r="C283" s="44" t="s">
        <v>803</v>
      </c>
      <c r="D283" s="46" t="s">
        <v>799</v>
      </c>
      <c r="E283" s="46" t="s">
        <v>800</v>
      </c>
      <c r="F283" s="47">
        <v>1</v>
      </c>
      <c r="G283" s="47">
        <v>0</v>
      </c>
      <c r="H283" s="47">
        <v>0</v>
      </c>
      <c r="I283" s="47">
        <v>1</v>
      </c>
      <c r="J283" s="47">
        <v>7438</v>
      </c>
      <c r="K283" s="73">
        <v>0</v>
      </c>
      <c r="L283" s="47">
        <v>7438</v>
      </c>
      <c r="M283" s="47">
        <v>2500</v>
      </c>
    </row>
    <row r="284" spans="1:13" ht="15.75" thickBot="1" x14ac:dyDescent="0.3">
      <c r="A284" s="44" t="s">
        <v>1301</v>
      </c>
      <c r="B284" s="45" t="s">
        <v>1302</v>
      </c>
      <c r="C284" s="44" t="s">
        <v>803</v>
      </c>
      <c r="D284" s="46" t="s">
        <v>804</v>
      </c>
      <c r="E284" s="46" t="s">
        <v>805</v>
      </c>
      <c r="F284" s="47">
        <v>1</v>
      </c>
      <c r="G284" s="47">
        <v>0</v>
      </c>
      <c r="H284" s="47">
        <v>0</v>
      </c>
      <c r="I284" s="47">
        <v>1</v>
      </c>
      <c r="J284" s="47">
        <v>34000</v>
      </c>
      <c r="K284" s="73">
        <v>0</v>
      </c>
      <c r="L284" s="47">
        <v>34000</v>
      </c>
      <c r="M284" s="47">
        <v>3328</v>
      </c>
    </row>
    <row r="285" spans="1:13" ht="15.75" thickBot="1" x14ac:dyDescent="0.3">
      <c r="A285" s="44" t="s">
        <v>1315</v>
      </c>
      <c r="B285" s="45" t="s">
        <v>1316</v>
      </c>
      <c r="C285" s="44" t="s">
        <v>803</v>
      </c>
      <c r="D285" s="46" t="s">
        <v>885</v>
      </c>
      <c r="E285" s="46" t="s">
        <v>886</v>
      </c>
      <c r="F285" s="47">
        <v>1</v>
      </c>
      <c r="G285" s="47">
        <v>0</v>
      </c>
      <c r="H285" s="47">
        <v>0</v>
      </c>
      <c r="I285" s="47">
        <v>1</v>
      </c>
      <c r="J285" s="47">
        <v>39855</v>
      </c>
      <c r="K285" s="73">
        <v>0</v>
      </c>
      <c r="L285" s="47">
        <v>39855</v>
      </c>
      <c r="M285" s="47">
        <v>3060</v>
      </c>
    </row>
    <row r="286" spans="1:13" ht="15.75" thickBot="1" x14ac:dyDescent="0.3">
      <c r="A286" s="44" t="s">
        <v>1331</v>
      </c>
      <c r="B286" s="45" t="s">
        <v>1332</v>
      </c>
      <c r="C286" s="44" t="s">
        <v>803</v>
      </c>
      <c r="D286" s="46" t="s">
        <v>885</v>
      </c>
      <c r="E286" s="46" t="s">
        <v>886</v>
      </c>
      <c r="F286" s="47">
        <v>1</v>
      </c>
      <c r="G286" s="47">
        <v>2</v>
      </c>
      <c r="H286" s="47">
        <v>0</v>
      </c>
      <c r="I286" s="47">
        <v>3</v>
      </c>
      <c r="J286" s="47">
        <v>6440</v>
      </c>
      <c r="K286" s="73">
        <v>3200</v>
      </c>
      <c r="L286" s="47">
        <v>9640</v>
      </c>
      <c r="M286" s="47">
        <v>4524</v>
      </c>
    </row>
    <row r="287" spans="1:13" ht="15.75" thickBot="1" x14ac:dyDescent="0.3">
      <c r="A287" s="44" t="s">
        <v>1341</v>
      </c>
      <c r="B287" s="45" t="s">
        <v>1342</v>
      </c>
      <c r="C287" s="44" t="s">
        <v>803</v>
      </c>
      <c r="D287" s="46" t="s">
        <v>799</v>
      </c>
      <c r="E287" s="46" t="s">
        <v>800</v>
      </c>
      <c r="F287" s="47">
        <v>1</v>
      </c>
      <c r="G287" s="47">
        <v>3</v>
      </c>
      <c r="H287" s="47">
        <v>0</v>
      </c>
      <c r="I287" s="47">
        <v>4</v>
      </c>
      <c r="J287" s="47">
        <v>24373</v>
      </c>
      <c r="K287" s="73">
        <v>2190</v>
      </c>
      <c r="L287" s="47">
        <v>26563</v>
      </c>
      <c r="M287" s="47">
        <v>5257</v>
      </c>
    </row>
    <row r="288" spans="1:13" ht="15.75" thickBot="1" x14ac:dyDescent="0.3">
      <c r="A288" s="44" t="s">
        <v>1343</v>
      </c>
      <c r="B288" s="45" t="s">
        <v>1344</v>
      </c>
      <c r="C288" s="44" t="s">
        <v>803</v>
      </c>
      <c r="D288" s="46" t="s">
        <v>799</v>
      </c>
      <c r="E288" s="46" t="s">
        <v>800</v>
      </c>
      <c r="F288" s="47">
        <v>1</v>
      </c>
      <c r="G288" s="47">
        <v>0</v>
      </c>
      <c r="H288" s="47">
        <v>0</v>
      </c>
      <c r="I288" s="47">
        <v>1</v>
      </c>
      <c r="J288" s="47">
        <v>18450</v>
      </c>
      <c r="K288" s="73">
        <v>0</v>
      </c>
      <c r="L288" s="47">
        <v>18450</v>
      </c>
      <c r="M288" s="47">
        <v>2857</v>
      </c>
    </row>
    <row r="289" spans="1:13" ht="15.75" thickBot="1" x14ac:dyDescent="0.3">
      <c r="A289" s="44" t="s">
        <v>1347</v>
      </c>
      <c r="B289" s="45" t="s">
        <v>1348</v>
      </c>
      <c r="C289" s="44" t="s">
        <v>803</v>
      </c>
      <c r="D289" s="46" t="s">
        <v>799</v>
      </c>
      <c r="E289" s="46" t="s">
        <v>800</v>
      </c>
      <c r="F289" s="47">
        <v>1</v>
      </c>
      <c r="G289" s="47">
        <v>0</v>
      </c>
      <c r="H289" s="47">
        <v>0</v>
      </c>
      <c r="I289" s="47">
        <v>1</v>
      </c>
      <c r="J289" s="47">
        <v>24300</v>
      </c>
      <c r="K289" s="73">
        <v>0</v>
      </c>
      <c r="L289" s="47">
        <v>24300</v>
      </c>
      <c r="M289" s="47">
        <v>3091</v>
      </c>
    </row>
    <row r="290" spans="1:13" ht="15.75" thickBot="1" x14ac:dyDescent="0.3">
      <c r="A290" s="44" t="s">
        <v>1355</v>
      </c>
      <c r="B290" s="45" t="s">
        <v>1356</v>
      </c>
      <c r="C290" s="44" t="s">
        <v>803</v>
      </c>
      <c r="D290" s="46" t="s">
        <v>799</v>
      </c>
      <c r="E290" s="46" t="s">
        <v>800</v>
      </c>
      <c r="F290" s="47">
        <v>1</v>
      </c>
      <c r="G290" s="47">
        <v>0</v>
      </c>
      <c r="H290" s="47">
        <v>0</v>
      </c>
      <c r="I290" s="47">
        <v>1</v>
      </c>
      <c r="J290" s="47">
        <v>16398</v>
      </c>
      <c r="K290" s="73">
        <v>0</v>
      </c>
      <c r="L290" s="47">
        <v>16398</v>
      </c>
      <c r="M290" s="47">
        <v>2888</v>
      </c>
    </row>
    <row r="291" spans="1:13" ht="15.75" thickBot="1" x14ac:dyDescent="0.3">
      <c r="A291" s="44" t="s">
        <v>1365</v>
      </c>
      <c r="B291" s="45" t="s">
        <v>1366</v>
      </c>
      <c r="C291" s="44" t="s">
        <v>803</v>
      </c>
      <c r="D291" s="46" t="s">
        <v>799</v>
      </c>
      <c r="E291" s="46" t="s">
        <v>800</v>
      </c>
      <c r="F291" s="47">
        <v>1</v>
      </c>
      <c r="G291" s="47">
        <v>0</v>
      </c>
      <c r="H291" s="47">
        <v>0</v>
      </c>
      <c r="I291" s="47">
        <v>1</v>
      </c>
      <c r="J291" s="47">
        <v>24000</v>
      </c>
      <c r="K291" s="73">
        <v>0</v>
      </c>
      <c r="L291" s="47">
        <v>24000</v>
      </c>
      <c r="M291" s="47">
        <v>2775</v>
      </c>
    </row>
    <row r="292" spans="1:13" ht="15.75" thickBot="1" x14ac:dyDescent="0.3">
      <c r="A292" s="44" t="s">
        <v>1381</v>
      </c>
      <c r="B292" s="45" t="s">
        <v>1382</v>
      </c>
      <c r="C292" s="44" t="s">
        <v>803</v>
      </c>
      <c r="D292" s="46" t="s">
        <v>804</v>
      </c>
      <c r="E292" s="46" t="s">
        <v>805</v>
      </c>
      <c r="F292" s="47">
        <v>1</v>
      </c>
      <c r="G292" s="47">
        <v>1</v>
      </c>
      <c r="H292" s="47">
        <v>0</v>
      </c>
      <c r="I292" s="47">
        <v>2</v>
      </c>
      <c r="J292" s="47">
        <v>12650</v>
      </c>
      <c r="K292" s="73">
        <v>3733</v>
      </c>
      <c r="L292" s="47">
        <v>16383</v>
      </c>
      <c r="M292" s="47">
        <v>3680</v>
      </c>
    </row>
    <row r="293" spans="1:13" ht="15.75" thickBot="1" x14ac:dyDescent="0.3">
      <c r="A293" s="44" t="s">
        <v>1383</v>
      </c>
      <c r="B293" s="45" t="s">
        <v>1384</v>
      </c>
      <c r="C293" s="44" t="s">
        <v>803</v>
      </c>
      <c r="D293" s="46" t="s">
        <v>804</v>
      </c>
      <c r="E293" s="46" t="s">
        <v>805</v>
      </c>
      <c r="F293" s="47">
        <v>1</v>
      </c>
      <c r="G293" s="47">
        <v>0</v>
      </c>
      <c r="H293" s="47">
        <v>0</v>
      </c>
      <c r="I293" s="47">
        <v>1</v>
      </c>
      <c r="J293" s="47">
        <v>14400</v>
      </c>
      <c r="K293" s="73">
        <v>0</v>
      </c>
      <c r="L293" s="47">
        <v>14400</v>
      </c>
      <c r="M293" s="47">
        <v>2858</v>
      </c>
    </row>
    <row r="294" spans="1:13" ht="15.75" thickBot="1" x14ac:dyDescent="0.3">
      <c r="A294" s="44" t="s">
        <v>1387</v>
      </c>
      <c r="B294" s="45" t="s">
        <v>1388</v>
      </c>
      <c r="C294" s="44" t="s">
        <v>803</v>
      </c>
      <c r="D294" s="46" t="s">
        <v>799</v>
      </c>
      <c r="E294" s="46" t="s">
        <v>800</v>
      </c>
      <c r="F294" s="47">
        <v>1</v>
      </c>
      <c r="G294" s="47">
        <v>4</v>
      </c>
      <c r="H294" s="47">
        <v>0</v>
      </c>
      <c r="I294" s="47">
        <v>5</v>
      </c>
      <c r="J294" s="47">
        <v>9937</v>
      </c>
      <c r="K294" s="73">
        <v>10169</v>
      </c>
      <c r="L294" s="47">
        <v>20106</v>
      </c>
      <c r="M294" s="47">
        <v>7620</v>
      </c>
    </row>
    <row r="295" spans="1:13" ht="15.75" thickBot="1" x14ac:dyDescent="0.3">
      <c r="A295" s="44" t="s">
        <v>1421</v>
      </c>
      <c r="B295" s="45" t="s">
        <v>1422</v>
      </c>
      <c r="C295" s="44" t="s">
        <v>803</v>
      </c>
      <c r="D295" s="46" t="s">
        <v>804</v>
      </c>
      <c r="E295" s="46" t="s">
        <v>805</v>
      </c>
      <c r="F295" s="47">
        <v>1</v>
      </c>
      <c r="G295" s="47">
        <v>0</v>
      </c>
      <c r="H295" s="47">
        <v>0</v>
      </c>
      <c r="I295" s="47">
        <v>1</v>
      </c>
      <c r="J295" s="47">
        <v>14600</v>
      </c>
      <c r="K295" s="73">
        <v>0</v>
      </c>
      <c r="L295" s="47">
        <v>14600</v>
      </c>
      <c r="M295" s="47">
        <v>1900</v>
      </c>
    </row>
    <row r="296" spans="1:13" ht="15.75" thickBot="1" x14ac:dyDescent="0.3">
      <c r="A296" s="44" t="s">
        <v>1447</v>
      </c>
      <c r="B296" s="45" t="s">
        <v>1448</v>
      </c>
      <c r="C296" s="44" t="s">
        <v>803</v>
      </c>
      <c r="D296" s="46" t="s">
        <v>804</v>
      </c>
      <c r="E296" s="46" t="s">
        <v>805</v>
      </c>
      <c r="F296" s="47">
        <v>1</v>
      </c>
      <c r="G296" s="47">
        <v>0</v>
      </c>
      <c r="H296" s="47">
        <v>0</v>
      </c>
      <c r="I296" s="47">
        <v>1</v>
      </c>
      <c r="J296" s="47">
        <v>22056</v>
      </c>
      <c r="K296" s="73">
        <v>0</v>
      </c>
      <c r="L296" s="47">
        <v>22056</v>
      </c>
      <c r="M296" s="47">
        <v>3230</v>
      </c>
    </row>
    <row r="297" spans="1:13" ht="15.75" thickBot="1" x14ac:dyDescent="0.3">
      <c r="A297" s="44" t="s">
        <v>1490</v>
      </c>
      <c r="B297" s="45" t="s">
        <v>1491</v>
      </c>
      <c r="C297" s="44" t="s">
        <v>803</v>
      </c>
      <c r="D297" s="46" t="s">
        <v>799</v>
      </c>
      <c r="E297" s="46" t="s">
        <v>800</v>
      </c>
      <c r="F297" s="47">
        <v>1</v>
      </c>
      <c r="G297" s="47">
        <v>0</v>
      </c>
      <c r="H297" s="47">
        <v>0</v>
      </c>
      <c r="I297" s="47">
        <v>1</v>
      </c>
      <c r="J297" s="47">
        <v>34500</v>
      </c>
      <c r="K297" s="73">
        <v>0</v>
      </c>
      <c r="L297" s="47">
        <v>34500</v>
      </c>
      <c r="M297" s="47">
        <v>3052</v>
      </c>
    </row>
    <row r="298" spans="1:13" ht="15.75" thickBot="1" x14ac:dyDescent="0.3">
      <c r="A298" s="44" t="s">
        <v>1492</v>
      </c>
      <c r="B298" s="45" t="s">
        <v>1493</v>
      </c>
      <c r="C298" s="44" t="s">
        <v>803</v>
      </c>
      <c r="D298" s="46" t="s">
        <v>799</v>
      </c>
      <c r="E298" s="46" t="s">
        <v>800</v>
      </c>
      <c r="F298" s="47">
        <v>1</v>
      </c>
      <c r="G298" s="47">
        <v>0</v>
      </c>
      <c r="H298" s="47">
        <v>0</v>
      </c>
      <c r="I298" s="47">
        <v>1</v>
      </c>
      <c r="J298" s="47">
        <v>14000</v>
      </c>
      <c r="K298" s="74">
        <v>0</v>
      </c>
      <c r="L298" s="47">
        <v>14000</v>
      </c>
      <c r="M298" s="47">
        <v>2500</v>
      </c>
    </row>
    <row r="299" spans="1:13" ht="15.75" thickBot="1" x14ac:dyDescent="0.3">
      <c r="A299" s="44" t="s">
        <v>1498</v>
      </c>
      <c r="B299" s="45" t="s">
        <v>1499</v>
      </c>
      <c r="C299" s="44" t="s">
        <v>803</v>
      </c>
      <c r="D299" s="46" t="s">
        <v>885</v>
      </c>
      <c r="E299" s="46" t="s">
        <v>886</v>
      </c>
      <c r="F299" s="47">
        <v>1</v>
      </c>
      <c r="G299" s="47">
        <v>0</v>
      </c>
      <c r="H299" s="47">
        <v>0</v>
      </c>
      <c r="I299" s="47">
        <v>1</v>
      </c>
      <c r="J299" s="47">
        <v>15400</v>
      </c>
      <c r="K299" s="73">
        <v>0</v>
      </c>
      <c r="L299" s="47">
        <v>15400</v>
      </c>
      <c r="M299" s="47">
        <v>2620</v>
      </c>
    </row>
    <row r="300" spans="1:13" ht="15.75" thickBot="1" x14ac:dyDescent="0.3">
      <c r="A300" s="44" t="s">
        <v>1516</v>
      </c>
      <c r="B300" s="45" t="s">
        <v>1517</v>
      </c>
      <c r="C300" s="44" t="s">
        <v>803</v>
      </c>
      <c r="D300" s="46" t="s">
        <v>804</v>
      </c>
      <c r="E300" s="46" t="s">
        <v>805</v>
      </c>
      <c r="F300" s="47">
        <v>1</v>
      </c>
      <c r="G300" s="47">
        <v>0</v>
      </c>
      <c r="H300" s="47">
        <v>0</v>
      </c>
      <c r="I300" s="47">
        <v>1</v>
      </c>
      <c r="J300" s="47">
        <v>16033</v>
      </c>
      <c r="K300" s="73">
        <v>0</v>
      </c>
      <c r="L300" s="47">
        <v>16033</v>
      </c>
      <c r="M300" s="47">
        <v>2704</v>
      </c>
    </row>
    <row r="301" spans="1:13" ht="15.75" thickBot="1" x14ac:dyDescent="0.3">
      <c r="A301" s="44" t="s">
        <v>1528</v>
      </c>
      <c r="B301" s="45" t="s">
        <v>1529</v>
      </c>
      <c r="C301" s="44" t="s">
        <v>803</v>
      </c>
      <c r="D301" s="46" t="s">
        <v>804</v>
      </c>
      <c r="E301" s="46" t="s">
        <v>805</v>
      </c>
      <c r="F301" s="47">
        <v>1</v>
      </c>
      <c r="G301" s="47">
        <v>0</v>
      </c>
      <c r="H301" s="47">
        <v>0</v>
      </c>
      <c r="I301" s="47">
        <v>1</v>
      </c>
      <c r="J301" s="47">
        <v>8937</v>
      </c>
      <c r="K301" s="73">
        <v>0</v>
      </c>
      <c r="L301" s="47">
        <v>8937</v>
      </c>
      <c r="M301" s="47">
        <v>2370</v>
      </c>
    </row>
    <row r="302" spans="1:13" ht="15.75" thickBot="1" x14ac:dyDescent="0.3">
      <c r="A302" s="44" t="s">
        <v>1532</v>
      </c>
      <c r="B302" s="45" t="s">
        <v>1533</v>
      </c>
      <c r="C302" s="44" t="s">
        <v>803</v>
      </c>
      <c r="D302" s="46" t="s">
        <v>804</v>
      </c>
      <c r="E302" s="46" t="s">
        <v>805</v>
      </c>
      <c r="F302" s="47">
        <v>1</v>
      </c>
      <c r="G302" s="47">
        <v>0</v>
      </c>
      <c r="H302" s="47">
        <v>0</v>
      </c>
      <c r="I302" s="47">
        <v>1</v>
      </c>
      <c r="J302" s="47">
        <v>20000</v>
      </c>
      <c r="K302" s="74">
        <v>0</v>
      </c>
      <c r="L302" s="47">
        <v>20000</v>
      </c>
      <c r="M302" s="47">
        <v>2919</v>
      </c>
    </row>
    <row r="303" spans="1:13" ht="15.75" thickBot="1" x14ac:dyDescent="0.3">
      <c r="A303" s="44" t="s">
        <v>1552</v>
      </c>
      <c r="B303" s="45" t="s">
        <v>1553</v>
      </c>
      <c r="C303" s="44" t="s">
        <v>803</v>
      </c>
      <c r="D303" s="46" t="s">
        <v>1037</v>
      </c>
      <c r="E303" s="46" t="s">
        <v>1469</v>
      </c>
      <c r="F303" s="47">
        <v>1</v>
      </c>
      <c r="G303" s="47">
        <v>0</v>
      </c>
      <c r="H303" s="47">
        <v>0</v>
      </c>
      <c r="I303" s="47">
        <v>1</v>
      </c>
      <c r="J303" s="47">
        <v>10730</v>
      </c>
      <c r="K303" s="73">
        <v>0</v>
      </c>
      <c r="L303" s="47">
        <v>10730</v>
      </c>
      <c r="M303" s="47">
        <v>2916</v>
      </c>
    </row>
    <row r="304" spans="1:13" ht="15.75" thickBot="1" x14ac:dyDescent="0.3">
      <c r="A304" s="44" t="s">
        <v>1572</v>
      </c>
      <c r="B304" s="45" t="s">
        <v>1573</v>
      </c>
      <c r="C304" s="44" t="s">
        <v>803</v>
      </c>
      <c r="D304" s="46" t="s">
        <v>804</v>
      </c>
      <c r="E304" s="46" t="s">
        <v>805</v>
      </c>
      <c r="F304" s="47">
        <v>1</v>
      </c>
      <c r="G304" s="47">
        <v>0</v>
      </c>
      <c r="H304" s="47">
        <v>0</v>
      </c>
      <c r="I304" s="47">
        <v>1</v>
      </c>
      <c r="J304" s="47">
        <v>24500</v>
      </c>
      <c r="K304" s="73">
        <v>0</v>
      </c>
      <c r="L304" s="47">
        <v>24500</v>
      </c>
      <c r="M304" s="47">
        <v>1690</v>
      </c>
    </row>
    <row r="305" spans="1:13" ht="15.75" thickBot="1" x14ac:dyDescent="0.3">
      <c r="A305" s="44" t="s">
        <v>1598</v>
      </c>
      <c r="B305" s="45" t="s">
        <v>1599</v>
      </c>
      <c r="C305" s="44" t="s">
        <v>803</v>
      </c>
      <c r="D305" s="46" t="s">
        <v>804</v>
      </c>
      <c r="E305" s="46" t="s">
        <v>805</v>
      </c>
      <c r="F305" s="47">
        <v>1</v>
      </c>
      <c r="G305" s="47">
        <v>0</v>
      </c>
      <c r="H305" s="47">
        <v>0</v>
      </c>
      <c r="I305" s="47">
        <v>1</v>
      </c>
      <c r="J305" s="47">
        <v>14300</v>
      </c>
      <c r="K305" s="73">
        <v>0</v>
      </c>
      <c r="L305" s="47">
        <v>14300</v>
      </c>
      <c r="M305" s="47">
        <v>2723</v>
      </c>
    </row>
    <row r="306" spans="1:13" ht="15.75" thickBot="1" x14ac:dyDescent="0.3">
      <c r="A306" s="44" t="s">
        <v>820</v>
      </c>
      <c r="B306" s="45" t="s">
        <v>821</v>
      </c>
      <c r="C306" s="44" t="s">
        <v>822</v>
      </c>
      <c r="D306" s="46" t="s">
        <v>804</v>
      </c>
      <c r="E306" s="46" t="s">
        <v>805</v>
      </c>
      <c r="F306" s="47">
        <v>1</v>
      </c>
      <c r="G306" s="47">
        <v>0</v>
      </c>
      <c r="H306" s="47">
        <v>0</v>
      </c>
      <c r="I306" s="47">
        <v>1</v>
      </c>
      <c r="J306" s="47">
        <v>13320</v>
      </c>
      <c r="K306" s="73">
        <v>0</v>
      </c>
      <c r="L306" s="47">
        <v>13320</v>
      </c>
      <c r="M306" s="47">
        <v>2461</v>
      </c>
    </row>
    <row r="307" spans="1:13" ht="15.75" thickBot="1" x14ac:dyDescent="0.3">
      <c r="A307" s="44" t="s">
        <v>823</v>
      </c>
      <c r="B307" s="45" t="s">
        <v>824</v>
      </c>
      <c r="C307" s="44" t="s">
        <v>822</v>
      </c>
      <c r="D307" s="46" t="s">
        <v>799</v>
      </c>
      <c r="E307" s="46" t="s">
        <v>800</v>
      </c>
      <c r="F307" s="47">
        <v>1</v>
      </c>
      <c r="G307" s="47">
        <v>0</v>
      </c>
      <c r="H307" s="47">
        <v>0</v>
      </c>
      <c r="I307" s="47">
        <v>1</v>
      </c>
      <c r="J307" s="47">
        <v>8000</v>
      </c>
      <c r="K307" s="73">
        <v>0</v>
      </c>
      <c r="L307" s="47">
        <v>8000</v>
      </c>
      <c r="M307" s="47">
        <v>3120</v>
      </c>
    </row>
    <row r="308" spans="1:13" ht="15.75" thickBot="1" x14ac:dyDescent="0.3">
      <c r="A308" s="44" t="s">
        <v>831</v>
      </c>
      <c r="B308" s="45" t="s">
        <v>832</v>
      </c>
      <c r="C308" s="44" t="s">
        <v>822</v>
      </c>
      <c r="D308" s="46" t="s">
        <v>799</v>
      </c>
      <c r="E308" s="46" t="s">
        <v>800</v>
      </c>
      <c r="F308" s="47">
        <v>1</v>
      </c>
      <c r="G308" s="47">
        <v>0</v>
      </c>
      <c r="H308" s="47">
        <v>0</v>
      </c>
      <c r="I308" s="47">
        <v>1</v>
      </c>
      <c r="J308" s="47">
        <v>26000</v>
      </c>
      <c r="K308" s="73">
        <v>0</v>
      </c>
      <c r="L308" s="47">
        <v>26000</v>
      </c>
      <c r="M308" s="47">
        <v>3332</v>
      </c>
    </row>
    <row r="309" spans="1:13" ht="15.75" thickBot="1" x14ac:dyDescent="0.3">
      <c r="A309" s="44" t="s">
        <v>855</v>
      </c>
      <c r="B309" s="45" t="s">
        <v>856</v>
      </c>
      <c r="C309" s="44" t="s">
        <v>822</v>
      </c>
      <c r="D309" s="46" t="s">
        <v>804</v>
      </c>
      <c r="E309" s="46" t="s">
        <v>805</v>
      </c>
      <c r="F309" s="47">
        <v>1</v>
      </c>
      <c r="G309" s="47">
        <v>0</v>
      </c>
      <c r="H309" s="47">
        <v>0</v>
      </c>
      <c r="I309" s="47">
        <v>1</v>
      </c>
      <c r="J309" s="47">
        <v>40174</v>
      </c>
      <c r="K309" s="73">
        <v>0</v>
      </c>
      <c r="L309" s="47">
        <v>40174</v>
      </c>
      <c r="M309" s="47">
        <v>3359</v>
      </c>
    </row>
    <row r="310" spans="1:13" ht="15.75" thickBot="1" x14ac:dyDescent="0.3">
      <c r="A310" s="44" t="s">
        <v>867</v>
      </c>
      <c r="B310" s="45" t="s">
        <v>868</v>
      </c>
      <c r="C310" s="44" t="s">
        <v>822</v>
      </c>
      <c r="D310" s="46" t="s">
        <v>804</v>
      </c>
      <c r="E310" s="46" t="s">
        <v>805</v>
      </c>
      <c r="F310" s="47">
        <v>1</v>
      </c>
      <c r="G310" s="47">
        <v>0</v>
      </c>
      <c r="H310" s="47">
        <v>0</v>
      </c>
      <c r="I310" s="47">
        <v>1</v>
      </c>
      <c r="J310" s="47">
        <v>10760</v>
      </c>
      <c r="K310" s="73">
        <v>0</v>
      </c>
      <c r="L310" s="47">
        <v>10760</v>
      </c>
      <c r="M310" s="47">
        <v>2978</v>
      </c>
    </row>
    <row r="311" spans="1:13" ht="15.75" thickBot="1" x14ac:dyDescent="0.3">
      <c r="A311" s="44" t="s">
        <v>891</v>
      </c>
      <c r="B311" s="45" t="s">
        <v>892</v>
      </c>
      <c r="C311" s="44" t="s">
        <v>822</v>
      </c>
      <c r="D311" s="46" t="s">
        <v>844</v>
      </c>
      <c r="E311" s="46" t="s">
        <v>845</v>
      </c>
      <c r="F311" s="47">
        <v>1</v>
      </c>
      <c r="G311" s="47">
        <v>0</v>
      </c>
      <c r="H311" s="47">
        <v>0</v>
      </c>
      <c r="I311" s="47">
        <v>1</v>
      </c>
      <c r="J311" s="47">
        <v>102505</v>
      </c>
      <c r="K311" s="73">
        <v>0</v>
      </c>
      <c r="L311" s="47">
        <v>102505</v>
      </c>
      <c r="M311" s="47">
        <v>3422</v>
      </c>
    </row>
    <row r="312" spans="1:13" ht="15.75" thickBot="1" x14ac:dyDescent="0.3">
      <c r="A312" s="44" t="s">
        <v>897</v>
      </c>
      <c r="B312" s="45" t="s">
        <v>898</v>
      </c>
      <c r="C312" s="44" t="s">
        <v>822</v>
      </c>
      <c r="D312" s="46" t="s">
        <v>799</v>
      </c>
      <c r="E312" s="46" t="s">
        <v>800</v>
      </c>
      <c r="F312" s="47">
        <v>1</v>
      </c>
      <c r="G312" s="47">
        <v>5</v>
      </c>
      <c r="H312" s="47">
        <v>0</v>
      </c>
      <c r="I312" s="47">
        <v>6</v>
      </c>
      <c r="J312" s="47">
        <v>18309</v>
      </c>
      <c r="K312" s="73">
        <v>9956</v>
      </c>
      <c r="L312" s="47">
        <v>28265</v>
      </c>
      <c r="M312" s="47">
        <v>12312</v>
      </c>
    </row>
    <row r="313" spans="1:13" ht="15.75" thickBot="1" x14ac:dyDescent="0.3">
      <c r="A313" s="44" t="s">
        <v>907</v>
      </c>
      <c r="B313" s="45" t="s">
        <v>908</v>
      </c>
      <c r="C313" s="44" t="s">
        <v>822</v>
      </c>
      <c r="D313" s="46" t="s">
        <v>829</v>
      </c>
      <c r="E313" s="46" t="s">
        <v>830</v>
      </c>
      <c r="F313" s="47">
        <v>1</v>
      </c>
      <c r="G313" s="47">
        <v>0</v>
      </c>
      <c r="H313" s="47">
        <v>0</v>
      </c>
      <c r="I313" s="47">
        <v>1</v>
      </c>
      <c r="J313" s="47">
        <v>23100</v>
      </c>
      <c r="K313" s="73">
        <v>0</v>
      </c>
      <c r="L313" s="47">
        <v>23100</v>
      </c>
      <c r="M313" s="47">
        <v>3089</v>
      </c>
    </row>
    <row r="314" spans="1:13" ht="15.75" thickBot="1" x14ac:dyDescent="0.3">
      <c r="A314" s="44" t="s">
        <v>917</v>
      </c>
      <c r="B314" s="45" t="s">
        <v>918</v>
      </c>
      <c r="C314" s="44" t="s">
        <v>822</v>
      </c>
      <c r="D314" s="46" t="s">
        <v>799</v>
      </c>
      <c r="E314" s="46" t="s">
        <v>800</v>
      </c>
      <c r="F314" s="47">
        <v>1</v>
      </c>
      <c r="G314" s="47">
        <v>4</v>
      </c>
      <c r="H314" s="47">
        <v>0</v>
      </c>
      <c r="I314" s="47">
        <v>5</v>
      </c>
      <c r="J314" s="47">
        <v>16000</v>
      </c>
      <c r="K314" s="73">
        <v>6550</v>
      </c>
      <c r="L314" s="47">
        <v>22550</v>
      </c>
      <c r="M314" s="47">
        <v>9605</v>
      </c>
    </row>
    <row r="315" spans="1:13" ht="15.75" thickBot="1" x14ac:dyDescent="0.3">
      <c r="A315" s="44" t="s">
        <v>933</v>
      </c>
      <c r="B315" s="45" t="s">
        <v>934</v>
      </c>
      <c r="C315" s="44" t="s">
        <v>822</v>
      </c>
      <c r="D315" s="46" t="s">
        <v>799</v>
      </c>
      <c r="E315" s="46" t="s">
        <v>800</v>
      </c>
      <c r="F315" s="47">
        <v>1</v>
      </c>
      <c r="G315" s="47">
        <v>4</v>
      </c>
      <c r="H315" s="47">
        <v>0</v>
      </c>
      <c r="I315" s="47">
        <v>5</v>
      </c>
      <c r="J315" s="47">
        <v>17132</v>
      </c>
      <c r="K315" s="73">
        <v>12283</v>
      </c>
      <c r="L315" s="47">
        <v>29415</v>
      </c>
      <c r="M315" s="47">
        <v>11300</v>
      </c>
    </row>
    <row r="316" spans="1:13" ht="15.75" thickBot="1" x14ac:dyDescent="0.3">
      <c r="A316" s="44" t="s">
        <v>953</v>
      </c>
      <c r="B316" s="45" t="s">
        <v>954</v>
      </c>
      <c r="C316" s="44" t="s">
        <v>822</v>
      </c>
      <c r="D316" s="46" t="s">
        <v>799</v>
      </c>
      <c r="E316" s="46" t="s">
        <v>800</v>
      </c>
      <c r="F316" s="47">
        <v>1</v>
      </c>
      <c r="G316" s="47">
        <v>0</v>
      </c>
      <c r="H316" s="47">
        <v>0</v>
      </c>
      <c r="I316" s="47">
        <v>1</v>
      </c>
      <c r="J316" s="47">
        <v>21000</v>
      </c>
      <c r="K316" s="73">
        <v>0</v>
      </c>
      <c r="L316" s="47">
        <v>21000</v>
      </c>
      <c r="M316" s="47">
        <v>2608</v>
      </c>
    </row>
    <row r="317" spans="1:13" ht="15.75" thickBot="1" x14ac:dyDescent="0.3">
      <c r="A317" s="44" t="s">
        <v>957</v>
      </c>
      <c r="B317" s="45" t="s">
        <v>958</v>
      </c>
      <c r="C317" s="44" t="s">
        <v>822</v>
      </c>
      <c r="D317" s="46" t="s">
        <v>799</v>
      </c>
      <c r="E317" s="46" t="s">
        <v>800</v>
      </c>
      <c r="F317" s="47">
        <v>1</v>
      </c>
      <c r="G317" s="47">
        <v>0</v>
      </c>
      <c r="H317" s="47">
        <v>0</v>
      </c>
      <c r="I317" s="47">
        <v>1</v>
      </c>
      <c r="J317" s="47">
        <v>20000</v>
      </c>
      <c r="K317" s="73">
        <v>0</v>
      </c>
      <c r="L317" s="47">
        <v>20000</v>
      </c>
      <c r="M317" s="47">
        <v>3158</v>
      </c>
    </row>
    <row r="318" spans="1:13" ht="15.75" thickBot="1" x14ac:dyDescent="0.3">
      <c r="A318" s="44" t="s">
        <v>971</v>
      </c>
      <c r="B318" s="45" t="s">
        <v>972</v>
      </c>
      <c r="C318" s="44" t="s">
        <v>822</v>
      </c>
      <c r="D318" s="46" t="s">
        <v>799</v>
      </c>
      <c r="E318" s="46" t="s">
        <v>800</v>
      </c>
      <c r="F318" s="47">
        <v>1</v>
      </c>
      <c r="G318" s="47">
        <v>0</v>
      </c>
      <c r="H318" s="47">
        <v>0</v>
      </c>
      <c r="I318" s="47">
        <v>1</v>
      </c>
      <c r="J318" s="47">
        <v>35000</v>
      </c>
      <c r="K318" s="73">
        <v>0</v>
      </c>
      <c r="L318" s="47">
        <v>35000</v>
      </c>
      <c r="M318" s="47">
        <v>3069</v>
      </c>
    </row>
    <row r="319" spans="1:13" ht="15.75" thickBot="1" x14ac:dyDescent="0.3">
      <c r="A319" s="44" t="s">
        <v>973</v>
      </c>
      <c r="B319" s="45" t="s">
        <v>974</v>
      </c>
      <c r="C319" s="44" t="s">
        <v>822</v>
      </c>
      <c r="D319" s="46" t="s">
        <v>804</v>
      </c>
      <c r="E319" s="46" t="s">
        <v>805</v>
      </c>
      <c r="F319" s="47">
        <v>0</v>
      </c>
      <c r="G319" s="47">
        <v>7</v>
      </c>
      <c r="H319" s="47">
        <v>0</v>
      </c>
      <c r="I319" s="47">
        <v>7</v>
      </c>
      <c r="J319" s="47">
        <v>3300</v>
      </c>
      <c r="K319" s="73">
        <v>11336</v>
      </c>
      <c r="L319" s="47">
        <v>14636</v>
      </c>
      <c r="M319" s="47">
        <v>10660</v>
      </c>
    </row>
    <row r="320" spans="1:13" ht="15.75" thickBot="1" x14ac:dyDescent="0.3">
      <c r="A320" s="44" t="s">
        <v>983</v>
      </c>
      <c r="B320" s="45" t="s">
        <v>984</v>
      </c>
      <c r="C320" s="44" t="s">
        <v>822</v>
      </c>
      <c r="D320" s="46" t="s">
        <v>804</v>
      </c>
      <c r="E320" s="46" t="s">
        <v>805</v>
      </c>
      <c r="F320" s="47">
        <v>1</v>
      </c>
      <c r="G320" s="47">
        <v>0</v>
      </c>
      <c r="H320" s="47">
        <v>0</v>
      </c>
      <c r="I320" s="47">
        <v>1</v>
      </c>
      <c r="J320" s="47">
        <v>18820</v>
      </c>
      <c r="K320" s="73">
        <v>0</v>
      </c>
      <c r="L320" s="47">
        <v>18820</v>
      </c>
      <c r="M320" s="47">
        <v>3400</v>
      </c>
    </row>
    <row r="321" spans="1:13" ht="15.75" thickBot="1" x14ac:dyDescent="0.3">
      <c r="A321" s="44" t="s">
        <v>1001</v>
      </c>
      <c r="B321" s="45" t="s">
        <v>1002</v>
      </c>
      <c r="C321" s="44" t="s">
        <v>822</v>
      </c>
      <c r="D321" s="46" t="s">
        <v>799</v>
      </c>
      <c r="E321" s="46" t="s">
        <v>800</v>
      </c>
      <c r="F321" s="47">
        <v>1</v>
      </c>
      <c r="G321" s="47">
        <v>0</v>
      </c>
      <c r="H321" s="47">
        <v>0</v>
      </c>
      <c r="I321" s="47">
        <v>1</v>
      </c>
      <c r="J321" s="47">
        <v>30100</v>
      </c>
      <c r="K321" s="73">
        <v>0</v>
      </c>
      <c r="L321" s="47">
        <v>30100</v>
      </c>
      <c r="M321" s="47">
        <v>2808</v>
      </c>
    </row>
    <row r="322" spans="1:13" ht="15.75" thickBot="1" x14ac:dyDescent="0.3">
      <c r="A322" s="44" t="s">
        <v>1011</v>
      </c>
      <c r="B322" s="45" t="s">
        <v>1012</v>
      </c>
      <c r="C322" s="44" t="s">
        <v>822</v>
      </c>
      <c r="D322" s="46" t="s">
        <v>799</v>
      </c>
      <c r="E322" s="46" t="s">
        <v>800</v>
      </c>
      <c r="F322" s="47">
        <v>1</v>
      </c>
      <c r="G322" s="47">
        <v>2</v>
      </c>
      <c r="H322" s="47">
        <v>0</v>
      </c>
      <c r="I322" s="47">
        <v>3</v>
      </c>
      <c r="J322" s="47">
        <v>16310</v>
      </c>
      <c r="K322" s="73">
        <v>2699</v>
      </c>
      <c r="L322" s="47">
        <v>19009</v>
      </c>
      <c r="M322" s="47">
        <v>6615</v>
      </c>
    </row>
    <row r="323" spans="1:13" ht="15.75" thickBot="1" x14ac:dyDescent="0.3">
      <c r="A323" s="44" t="s">
        <v>1023</v>
      </c>
      <c r="B323" s="45" t="s">
        <v>1024</v>
      </c>
      <c r="C323" s="44" t="s">
        <v>822</v>
      </c>
      <c r="D323" s="46" t="s">
        <v>804</v>
      </c>
      <c r="E323" s="46" t="s">
        <v>805</v>
      </c>
      <c r="F323" s="47">
        <v>1</v>
      </c>
      <c r="G323" s="47">
        <v>0</v>
      </c>
      <c r="H323" s="47">
        <v>0</v>
      </c>
      <c r="I323" s="47">
        <v>1</v>
      </c>
      <c r="J323" s="47">
        <v>25800</v>
      </c>
      <c r="K323" s="73">
        <v>0</v>
      </c>
      <c r="L323" s="47">
        <v>25800</v>
      </c>
      <c r="M323" s="47">
        <v>3380</v>
      </c>
    </row>
    <row r="324" spans="1:13" ht="15.75" thickBot="1" x14ac:dyDescent="0.3">
      <c r="A324" s="44" t="s">
        <v>1025</v>
      </c>
      <c r="B324" s="45" t="s">
        <v>1026</v>
      </c>
      <c r="C324" s="44" t="s">
        <v>822</v>
      </c>
      <c r="D324" s="46" t="s">
        <v>804</v>
      </c>
      <c r="E324" s="46" t="s">
        <v>805</v>
      </c>
      <c r="F324" s="47">
        <v>1</v>
      </c>
      <c r="G324" s="47">
        <v>0</v>
      </c>
      <c r="H324" s="47">
        <v>0</v>
      </c>
      <c r="I324" s="47">
        <v>1</v>
      </c>
      <c r="J324" s="47">
        <v>13000</v>
      </c>
      <c r="K324" s="73">
        <v>0</v>
      </c>
      <c r="L324" s="47">
        <v>13000</v>
      </c>
      <c r="M324" s="47">
        <v>2390</v>
      </c>
    </row>
    <row r="325" spans="1:13" ht="15.75" thickBot="1" x14ac:dyDescent="0.3">
      <c r="A325" s="44" t="s">
        <v>1085</v>
      </c>
      <c r="B325" s="45" t="s">
        <v>1086</v>
      </c>
      <c r="C325" s="44" t="s">
        <v>822</v>
      </c>
      <c r="D325" s="46" t="s">
        <v>804</v>
      </c>
      <c r="E325" s="46" t="s">
        <v>805</v>
      </c>
      <c r="F325" s="47">
        <v>1</v>
      </c>
      <c r="G325" s="47">
        <v>0</v>
      </c>
      <c r="H325" s="47">
        <v>0</v>
      </c>
      <c r="I325" s="47">
        <v>1</v>
      </c>
      <c r="J325" s="47">
        <v>6246</v>
      </c>
      <c r="K325" s="74">
        <v>0</v>
      </c>
      <c r="L325" s="47">
        <v>6246</v>
      </c>
      <c r="M325" s="47">
        <v>2455</v>
      </c>
    </row>
    <row r="326" spans="1:13" ht="15.75" thickBot="1" x14ac:dyDescent="0.3">
      <c r="A326" s="44" t="s">
        <v>1093</v>
      </c>
      <c r="B326" s="45" t="s">
        <v>1094</v>
      </c>
      <c r="C326" s="44" t="s">
        <v>822</v>
      </c>
      <c r="D326" s="46" t="s">
        <v>799</v>
      </c>
      <c r="E326" s="46" t="s">
        <v>800</v>
      </c>
      <c r="F326" s="47">
        <v>1</v>
      </c>
      <c r="G326" s="47">
        <v>0</v>
      </c>
      <c r="H326" s="47">
        <v>0</v>
      </c>
      <c r="I326" s="47">
        <v>1</v>
      </c>
      <c r="J326" s="47">
        <v>31000</v>
      </c>
      <c r="K326" s="73">
        <v>0</v>
      </c>
      <c r="L326" s="47">
        <v>31000</v>
      </c>
      <c r="M326" s="47">
        <v>2888</v>
      </c>
    </row>
    <row r="327" spans="1:13" ht="15.75" thickBot="1" x14ac:dyDescent="0.3">
      <c r="A327" s="44" t="s">
        <v>1113</v>
      </c>
      <c r="B327" s="45" t="s">
        <v>1114</v>
      </c>
      <c r="C327" s="44" t="s">
        <v>822</v>
      </c>
      <c r="D327" s="46" t="s">
        <v>804</v>
      </c>
      <c r="E327" s="46" t="s">
        <v>805</v>
      </c>
      <c r="F327" s="47">
        <v>1</v>
      </c>
      <c r="G327" s="47">
        <v>0</v>
      </c>
      <c r="H327" s="47">
        <v>0</v>
      </c>
      <c r="I327" s="47">
        <v>1</v>
      </c>
      <c r="J327" s="47">
        <v>43053</v>
      </c>
      <c r="K327" s="73">
        <v>0</v>
      </c>
      <c r="L327" s="47">
        <v>43053</v>
      </c>
      <c r="M327" s="47">
        <v>2243</v>
      </c>
    </row>
    <row r="328" spans="1:13" ht="15.75" thickBot="1" x14ac:dyDescent="0.3">
      <c r="A328" s="44" t="s">
        <v>1171</v>
      </c>
      <c r="B328" s="45" t="s">
        <v>1172</v>
      </c>
      <c r="C328" s="44" t="s">
        <v>822</v>
      </c>
      <c r="D328" s="46" t="s">
        <v>799</v>
      </c>
      <c r="E328" s="46" t="s">
        <v>800</v>
      </c>
      <c r="F328" s="47">
        <v>0</v>
      </c>
      <c r="G328" s="47">
        <v>8</v>
      </c>
      <c r="H328" s="47">
        <v>0</v>
      </c>
      <c r="I328" s="47">
        <v>8</v>
      </c>
      <c r="J328" s="47">
        <v>3500</v>
      </c>
      <c r="K328" s="73">
        <v>26484</v>
      </c>
      <c r="L328" s="47">
        <v>29984</v>
      </c>
      <c r="M328" s="47">
        <v>17086</v>
      </c>
    </row>
    <row r="329" spans="1:13" ht="15.75" thickBot="1" x14ac:dyDescent="0.3">
      <c r="A329" s="44" t="s">
        <v>1215</v>
      </c>
      <c r="B329" s="45" t="s">
        <v>1216</v>
      </c>
      <c r="C329" s="44" t="s">
        <v>822</v>
      </c>
      <c r="D329" s="46" t="s">
        <v>799</v>
      </c>
      <c r="E329" s="46" t="s">
        <v>800</v>
      </c>
      <c r="F329" s="47">
        <v>1</v>
      </c>
      <c r="G329" s="47">
        <v>5</v>
      </c>
      <c r="H329" s="47">
        <v>1</v>
      </c>
      <c r="I329" s="47">
        <v>7</v>
      </c>
      <c r="J329" s="47">
        <v>13000</v>
      </c>
      <c r="K329" s="73">
        <v>10500</v>
      </c>
      <c r="L329" s="47">
        <v>23500</v>
      </c>
      <c r="M329" s="47">
        <v>9403</v>
      </c>
    </row>
    <row r="330" spans="1:13" ht="15.75" thickBot="1" x14ac:dyDescent="0.3">
      <c r="A330" s="44" t="s">
        <v>1221</v>
      </c>
      <c r="B330" s="45" t="s">
        <v>1222</v>
      </c>
      <c r="C330" s="44" t="s">
        <v>822</v>
      </c>
      <c r="D330" s="46" t="s">
        <v>804</v>
      </c>
      <c r="E330" s="46" t="s">
        <v>805</v>
      </c>
      <c r="F330" s="47">
        <v>1</v>
      </c>
      <c r="G330" s="47">
        <v>0</v>
      </c>
      <c r="H330" s="47">
        <v>0</v>
      </c>
      <c r="I330" s="47">
        <v>1</v>
      </c>
      <c r="J330" s="47">
        <v>3000</v>
      </c>
      <c r="K330" s="73">
        <v>0</v>
      </c>
      <c r="L330" s="47">
        <v>3000</v>
      </c>
      <c r="M330" s="47">
        <v>2500</v>
      </c>
    </row>
    <row r="331" spans="1:13" ht="15.75" thickBot="1" x14ac:dyDescent="0.3">
      <c r="A331" s="44" t="s">
        <v>1231</v>
      </c>
      <c r="B331" s="45" t="s">
        <v>1232</v>
      </c>
      <c r="C331" s="44" t="s">
        <v>822</v>
      </c>
      <c r="D331" s="46" t="s">
        <v>804</v>
      </c>
      <c r="E331" s="46" t="s">
        <v>805</v>
      </c>
      <c r="F331" s="47">
        <v>1</v>
      </c>
      <c r="G331" s="47">
        <v>0</v>
      </c>
      <c r="H331" s="47">
        <v>0</v>
      </c>
      <c r="I331" s="47">
        <v>1</v>
      </c>
      <c r="J331" s="47">
        <v>49793</v>
      </c>
      <c r="K331" s="73">
        <v>0</v>
      </c>
      <c r="L331" s="47">
        <v>49793</v>
      </c>
      <c r="M331" s="47">
        <v>3429</v>
      </c>
    </row>
    <row r="332" spans="1:13" ht="15.75" thickBot="1" x14ac:dyDescent="0.3">
      <c r="A332" s="44" t="s">
        <v>1247</v>
      </c>
      <c r="B332" s="45" t="s">
        <v>1248</v>
      </c>
      <c r="C332" s="44" t="s">
        <v>822</v>
      </c>
      <c r="D332" s="46" t="s">
        <v>804</v>
      </c>
      <c r="E332" s="46" t="s">
        <v>805</v>
      </c>
      <c r="F332" s="47">
        <v>1</v>
      </c>
      <c r="G332" s="47">
        <v>0</v>
      </c>
      <c r="H332" s="47">
        <v>0</v>
      </c>
      <c r="I332" s="47">
        <v>1</v>
      </c>
      <c r="J332" s="47">
        <v>16885</v>
      </c>
      <c r="K332" s="73">
        <v>0</v>
      </c>
      <c r="L332" s="47">
        <v>16885</v>
      </c>
      <c r="M332" s="47">
        <v>2747</v>
      </c>
    </row>
    <row r="333" spans="1:13" ht="15.75" thickBot="1" x14ac:dyDescent="0.3">
      <c r="A333" s="44" t="s">
        <v>1267</v>
      </c>
      <c r="B333" s="45" t="s">
        <v>1268</v>
      </c>
      <c r="C333" s="44" t="s">
        <v>822</v>
      </c>
      <c r="D333" s="46" t="s">
        <v>799</v>
      </c>
      <c r="E333" s="46" t="s">
        <v>800</v>
      </c>
      <c r="F333" s="47">
        <v>1</v>
      </c>
      <c r="G333" s="47">
        <v>1</v>
      </c>
      <c r="H333" s="47">
        <v>0</v>
      </c>
      <c r="I333" s="47">
        <v>2</v>
      </c>
      <c r="J333" s="47">
        <v>14548</v>
      </c>
      <c r="K333" s="73">
        <v>6680</v>
      </c>
      <c r="L333" s="47">
        <v>21228</v>
      </c>
      <c r="M333" s="47">
        <v>6286</v>
      </c>
    </row>
    <row r="334" spans="1:13" ht="15.75" thickBot="1" x14ac:dyDescent="0.3">
      <c r="A334" s="44" t="s">
        <v>1323</v>
      </c>
      <c r="B334" s="45" t="s">
        <v>1324</v>
      </c>
      <c r="C334" s="44" t="s">
        <v>822</v>
      </c>
      <c r="D334" s="46" t="s">
        <v>829</v>
      </c>
      <c r="E334" s="46" t="s">
        <v>830</v>
      </c>
      <c r="F334" s="47">
        <v>1</v>
      </c>
      <c r="G334" s="47">
        <v>0</v>
      </c>
      <c r="H334" s="47">
        <v>0</v>
      </c>
      <c r="I334" s="47">
        <v>1</v>
      </c>
      <c r="J334" s="47">
        <v>28212</v>
      </c>
      <c r="K334" s="73">
        <v>0</v>
      </c>
      <c r="L334" s="47">
        <v>28212</v>
      </c>
      <c r="M334" s="47">
        <v>3050</v>
      </c>
    </row>
    <row r="335" spans="1:13" ht="15.75" thickBot="1" x14ac:dyDescent="0.3">
      <c r="A335" s="44" t="s">
        <v>1329</v>
      </c>
      <c r="B335" s="45" t="s">
        <v>1330</v>
      </c>
      <c r="C335" s="44" t="s">
        <v>822</v>
      </c>
      <c r="D335" s="46" t="s">
        <v>804</v>
      </c>
      <c r="E335" s="46" t="s">
        <v>805</v>
      </c>
      <c r="F335" s="47">
        <v>1</v>
      </c>
      <c r="G335" s="47">
        <v>0</v>
      </c>
      <c r="H335" s="47">
        <v>0</v>
      </c>
      <c r="I335" s="47">
        <v>1</v>
      </c>
      <c r="J335" s="47">
        <v>16800</v>
      </c>
      <c r="K335" s="73">
        <v>0</v>
      </c>
      <c r="L335" s="47">
        <v>16800</v>
      </c>
      <c r="M335" s="47">
        <v>2704</v>
      </c>
    </row>
    <row r="336" spans="1:13" ht="15.75" thickBot="1" x14ac:dyDescent="0.3">
      <c r="A336" s="44" t="s">
        <v>1335</v>
      </c>
      <c r="B336" s="45" t="s">
        <v>1336</v>
      </c>
      <c r="C336" s="44" t="s">
        <v>822</v>
      </c>
      <c r="D336" s="46" t="s">
        <v>799</v>
      </c>
      <c r="E336" s="46" t="s">
        <v>800</v>
      </c>
      <c r="F336" s="47">
        <v>1</v>
      </c>
      <c r="G336" s="47">
        <v>0</v>
      </c>
      <c r="H336" s="47">
        <v>0</v>
      </c>
      <c r="I336" s="47">
        <v>1</v>
      </c>
      <c r="J336" s="47">
        <v>30842</v>
      </c>
      <c r="K336" s="73">
        <v>0</v>
      </c>
      <c r="L336" s="47">
        <v>30842</v>
      </c>
      <c r="M336" s="47">
        <v>3024</v>
      </c>
    </row>
    <row r="337" spans="1:13" ht="15.75" thickBot="1" x14ac:dyDescent="0.3">
      <c r="A337" s="44" t="s">
        <v>1363</v>
      </c>
      <c r="B337" s="45" t="s">
        <v>1364</v>
      </c>
      <c r="C337" s="44" t="s">
        <v>822</v>
      </c>
      <c r="D337" s="46" t="s">
        <v>885</v>
      </c>
      <c r="E337" s="46" t="s">
        <v>886</v>
      </c>
      <c r="F337" s="47">
        <v>1</v>
      </c>
      <c r="G337" s="47">
        <v>0</v>
      </c>
      <c r="H337" s="47">
        <v>0</v>
      </c>
      <c r="I337" s="47">
        <v>1</v>
      </c>
      <c r="J337" s="47">
        <v>63000</v>
      </c>
      <c r="K337" s="73">
        <v>0</v>
      </c>
      <c r="L337" s="47">
        <v>63000</v>
      </c>
      <c r="M337" s="47">
        <v>2933</v>
      </c>
    </row>
    <row r="338" spans="1:13" ht="15.75" thickBot="1" x14ac:dyDescent="0.3">
      <c r="A338" s="44" t="s">
        <v>1373</v>
      </c>
      <c r="B338" s="45" t="s">
        <v>1374</v>
      </c>
      <c r="C338" s="44" t="s">
        <v>822</v>
      </c>
      <c r="D338" s="46" t="s">
        <v>799</v>
      </c>
      <c r="E338" s="46" t="s">
        <v>800</v>
      </c>
      <c r="F338" s="47">
        <v>1</v>
      </c>
      <c r="G338" s="47">
        <v>0</v>
      </c>
      <c r="H338" s="47">
        <v>0</v>
      </c>
      <c r="I338" s="47">
        <v>1</v>
      </c>
      <c r="J338" s="47">
        <v>52000</v>
      </c>
      <c r="K338" s="73">
        <v>0</v>
      </c>
      <c r="L338" s="47">
        <v>52000</v>
      </c>
      <c r="M338" s="47">
        <v>3303</v>
      </c>
    </row>
    <row r="339" spans="1:13" ht="15.75" thickBot="1" x14ac:dyDescent="0.3">
      <c r="A339" s="44" t="s">
        <v>1401</v>
      </c>
      <c r="B339" s="45" t="s">
        <v>1402</v>
      </c>
      <c r="C339" s="44" t="s">
        <v>822</v>
      </c>
      <c r="D339" s="46" t="s">
        <v>844</v>
      </c>
      <c r="E339" s="46" t="s">
        <v>845</v>
      </c>
      <c r="F339" s="47">
        <v>1</v>
      </c>
      <c r="G339" s="47">
        <v>0</v>
      </c>
      <c r="H339" s="47">
        <v>0</v>
      </c>
      <c r="I339" s="47">
        <v>1</v>
      </c>
      <c r="J339" s="47">
        <v>65000</v>
      </c>
      <c r="K339" s="73">
        <v>0</v>
      </c>
      <c r="L339" s="47">
        <v>65000</v>
      </c>
      <c r="M339" s="47">
        <v>2919</v>
      </c>
    </row>
    <row r="340" spans="1:13" ht="15.75" thickBot="1" x14ac:dyDescent="0.3">
      <c r="A340" s="44" t="s">
        <v>1425</v>
      </c>
      <c r="B340" s="45" t="s">
        <v>1426</v>
      </c>
      <c r="C340" s="44" t="s">
        <v>822</v>
      </c>
      <c r="D340" s="46" t="s">
        <v>804</v>
      </c>
      <c r="E340" s="46" t="s">
        <v>805</v>
      </c>
      <c r="F340" s="47">
        <v>1</v>
      </c>
      <c r="G340" s="47">
        <v>1</v>
      </c>
      <c r="H340" s="47">
        <v>0</v>
      </c>
      <c r="I340" s="47">
        <v>2</v>
      </c>
      <c r="J340" s="47">
        <v>24100</v>
      </c>
      <c r="K340" s="73">
        <v>7500</v>
      </c>
      <c r="L340" s="47">
        <v>31600</v>
      </c>
      <c r="M340" s="47">
        <v>5972</v>
      </c>
    </row>
    <row r="341" spans="1:13" ht="15.75" thickBot="1" x14ac:dyDescent="0.3">
      <c r="A341" s="44" t="s">
        <v>1427</v>
      </c>
      <c r="B341" s="45" t="s">
        <v>1428</v>
      </c>
      <c r="C341" s="44" t="s">
        <v>822</v>
      </c>
      <c r="D341" s="46" t="s">
        <v>804</v>
      </c>
      <c r="E341" s="46" t="s">
        <v>805</v>
      </c>
      <c r="F341" s="47">
        <v>1</v>
      </c>
      <c r="G341" s="47">
        <v>0</v>
      </c>
      <c r="H341" s="47">
        <v>0</v>
      </c>
      <c r="I341" s="47">
        <v>1</v>
      </c>
      <c r="J341" s="47">
        <v>11164</v>
      </c>
      <c r="K341" s="73">
        <v>0</v>
      </c>
      <c r="L341" s="47">
        <v>11164</v>
      </c>
      <c r="M341" s="47">
        <v>2755</v>
      </c>
    </row>
    <row r="342" spans="1:13" ht="15.75" thickBot="1" x14ac:dyDescent="0.3">
      <c r="A342" s="44" t="s">
        <v>1431</v>
      </c>
      <c r="B342" s="45" t="s">
        <v>1432</v>
      </c>
      <c r="C342" s="44" t="s">
        <v>822</v>
      </c>
      <c r="D342" s="46" t="s">
        <v>804</v>
      </c>
      <c r="E342" s="46" t="s">
        <v>805</v>
      </c>
      <c r="F342" s="47">
        <v>1</v>
      </c>
      <c r="G342" s="47">
        <v>0</v>
      </c>
      <c r="H342" s="47">
        <v>0</v>
      </c>
      <c r="I342" s="47">
        <v>1</v>
      </c>
      <c r="J342" s="47">
        <v>29151</v>
      </c>
      <c r="K342" s="73">
        <v>0</v>
      </c>
      <c r="L342" s="47">
        <v>29151</v>
      </c>
      <c r="M342" s="47">
        <v>2795</v>
      </c>
    </row>
    <row r="343" spans="1:13" ht="15.75" thickBot="1" x14ac:dyDescent="0.3">
      <c r="A343" s="44" t="s">
        <v>1449</v>
      </c>
      <c r="B343" s="45" t="s">
        <v>1450</v>
      </c>
      <c r="C343" s="44" t="s">
        <v>822</v>
      </c>
      <c r="D343" s="46" t="s">
        <v>829</v>
      </c>
      <c r="E343" s="46" t="s">
        <v>830</v>
      </c>
      <c r="F343" s="47">
        <v>1</v>
      </c>
      <c r="G343" s="47">
        <v>0</v>
      </c>
      <c r="H343" s="47">
        <v>0</v>
      </c>
      <c r="I343" s="47">
        <v>1</v>
      </c>
      <c r="J343" s="47">
        <v>33000</v>
      </c>
      <c r="K343" s="73">
        <v>0</v>
      </c>
      <c r="L343" s="47">
        <v>33000</v>
      </c>
      <c r="M343" s="47">
        <v>3275</v>
      </c>
    </row>
    <row r="344" spans="1:13" ht="15.75" thickBot="1" x14ac:dyDescent="0.3">
      <c r="A344" s="44" t="s">
        <v>1474</v>
      </c>
      <c r="B344" s="45" t="s">
        <v>1475</v>
      </c>
      <c r="C344" s="44" t="s">
        <v>822</v>
      </c>
      <c r="D344" s="46" t="s">
        <v>829</v>
      </c>
      <c r="E344" s="46" t="s">
        <v>830</v>
      </c>
      <c r="F344" s="47">
        <v>1</v>
      </c>
      <c r="G344" s="47">
        <v>1</v>
      </c>
      <c r="H344" s="47">
        <v>0</v>
      </c>
      <c r="I344" s="47">
        <v>2</v>
      </c>
      <c r="J344" s="47">
        <v>8400</v>
      </c>
      <c r="K344" s="73">
        <v>3300</v>
      </c>
      <c r="L344" s="47">
        <v>11700</v>
      </c>
      <c r="M344" s="47">
        <v>5810</v>
      </c>
    </row>
    <row r="345" spans="1:13" ht="15.75" thickBot="1" x14ac:dyDescent="0.3">
      <c r="A345" s="44" t="s">
        <v>1484</v>
      </c>
      <c r="B345" s="45" t="s">
        <v>1485</v>
      </c>
      <c r="C345" s="44" t="s">
        <v>822</v>
      </c>
      <c r="D345" s="46" t="s">
        <v>804</v>
      </c>
      <c r="E345" s="46" t="s">
        <v>805</v>
      </c>
      <c r="F345" s="47">
        <v>1</v>
      </c>
      <c r="G345" s="47">
        <v>0</v>
      </c>
      <c r="H345" s="47">
        <v>0</v>
      </c>
      <c r="I345" s="47">
        <v>1</v>
      </c>
      <c r="J345" s="47">
        <v>21000</v>
      </c>
      <c r="K345" s="74">
        <v>0</v>
      </c>
      <c r="L345" s="47">
        <v>21000</v>
      </c>
      <c r="M345" s="47">
        <v>2517</v>
      </c>
    </row>
    <row r="346" spans="1:13" ht="15.75" thickBot="1" x14ac:dyDescent="0.3">
      <c r="A346" s="44" t="s">
        <v>1502</v>
      </c>
      <c r="B346" s="45" t="s">
        <v>1503</v>
      </c>
      <c r="C346" s="44" t="s">
        <v>822</v>
      </c>
      <c r="D346" s="46" t="s">
        <v>804</v>
      </c>
      <c r="E346" s="46" t="s">
        <v>805</v>
      </c>
      <c r="F346" s="47">
        <v>1</v>
      </c>
      <c r="G346" s="47">
        <v>8</v>
      </c>
      <c r="H346" s="47">
        <v>0</v>
      </c>
      <c r="I346" s="47">
        <v>9</v>
      </c>
      <c r="J346" s="47">
        <v>17200</v>
      </c>
      <c r="K346" s="73">
        <v>22253</v>
      </c>
      <c r="L346" s="47">
        <v>39453</v>
      </c>
      <c r="M346" s="47">
        <v>16784</v>
      </c>
    </row>
    <row r="347" spans="1:13" ht="15.75" thickBot="1" x14ac:dyDescent="0.3">
      <c r="A347" s="44" t="s">
        <v>1546</v>
      </c>
      <c r="B347" s="45" t="s">
        <v>1547</v>
      </c>
      <c r="C347" s="44" t="s">
        <v>822</v>
      </c>
      <c r="D347" s="46" t="s">
        <v>799</v>
      </c>
      <c r="E347" s="46" t="s">
        <v>800</v>
      </c>
      <c r="F347" s="47">
        <v>1</v>
      </c>
      <c r="G347" s="47">
        <v>6</v>
      </c>
      <c r="H347" s="47">
        <v>0</v>
      </c>
      <c r="I347" s="47">
        <v>7</v>
      </c>
      <c r="J347" s="47">
        <v>15000</v>
      </c>
      <c r="K347" s="73">
        <v>22205</v>
      </c>
      <c r="L347" s="47">
        <v>37205</v>
      </c>
      <c r="M347" s="47">
        <v>16803</v>
      </c>
    </row>
    <row r="348" spans="1:13" ht="15.75" thickBot="1" x14ac:dyDescent="0.3">
      <c r="A348" s="44" t="s">
        <v>1586</v>
      </c>
      <c r="B348" s="45" t="s">
        <v>1587</v>
      </c>
      <c r="C348" s="44" t="s">
        <v>822</v>
      </c>
      <c r="D348" s="46" t="s">
        <v>799</v>
      </c>
      <c r="E348" s="46" t="s">
        <v>800</v>
      </c>
      <c r="F348" s="47">
        <v>1</v>
      </c>
      <c r="G348" s="47">
        <v>0</v>
      </c>
      <c r="H348" s="47">
        <v>0</v>
      </c>
      <c r="I348" s="47">
        <v>1</v>
      </c>
      <c r="J348" s="47">
        <v>28000</v>
      </c>
      <c r="K348" s="73">
        <v>0</v>
      </c>
      <c r="L348" s="47">
        <v>28000</v>
      </c>
      <c r="M348" s="47">
        <v>2808</v>
      </c>
    </row>
    <row r="349" spans="1:13" ht="15.75" thickBot="1" x14ac:dyDescent="0.3">
      <c r="A349" s="44" t="s">
        <v>835</v>
      </c>
      <c r="B349" s="45" t="s">
        <v>836</v>
      </c>
      <c r="C349" s="44" t="s">
        <v>837</v>
      </c>
      <c r="D349" s="46" t="s">
        <v>804</v>
      </c>
      <c r="E349" s="46" t="s">
        <v>805</v>
      </c>
      <c r="F349" s="47">
        <v>1</v>
      </c>
      <c r="G349" s="47">
        <v>4</v>
      </c>
      <c r="H349" s="47">
        <v>0</v>
      </c>
      <c r="I349" s="47">
        <v>5</v>
      </c>
      <c r="J349" s="47">
        <v>110000</v>
      </c>
      <c r="K349" s="73">
        <v>70000</v>
      </c>
      <c r="L349" s="47">
        <v>180000</v>
      </c>
      <c r="M349" s="47">
        <v>18384</v>
      </c>
    </row>
    <row r="350" spans="1:13" ht="15.75" thickBot="1" x14ac:dyDescent="0.3">
      <c r="A350" s="44" t="s">
        <v>861</v>
      </c>
      <c r="B350" s="45" t="s">
        <v>862</v>
      </c>
      <c r="C350" s="44" t="s">
        <v>837</v>
      </c>
      <c r="D350" s="46" t="s">
        <v>799</v>
      </c>
      <c r="E350" s="46" t="s">
        <v>800</v>
      </c>
      <c r="F350" s="47">
        <v>1</v>
      </c>
      <c r="G350" s="47">
        <v>3</v>
      </c>
      <c r="H350" s="47">
        <v>1</v>
      </c>
      <c r="I350" s="47">
        <v>5</v>
      </c>
      <c r="J350" s="47">
        <v>62000</v>
      </c>
      <c r="K350" s="73">
        <v>44817</v>
      </c>
      <c r="L350" s="47">
        <v>106817</v>
      </c>
      <c r="M350" s="47">
        <v>10322</v>
      </c>
    </row>
    <row r="351" spans="1:13" ht="15.75" thickBot="1" x14ac:dyDescent="0.3">
      <c r="A351" s="44" t="s">
        <v>923</v>
      </c>
      <c r="B351" s="45" t="s">
        <v>924</v>
      </c>
      <c r="C351" s="44" t="s">
        <v>837</v>
      </c>
      <c r="D351" s="46" t="s">
        <v>799</v>
      </c>
      <c r="E351" s="46" t="s">
        <v>800</v>
      </c>
      <c r="F351" s="47">
        <v>1</v>
      </c>
      <c r="G351" s="47">
        <v>0</v>
      </c>
      <c r="H351" s="47">
        <v>0</v>
      </c>
      <c r="I351" s="47">
        <v>1</v>
      </c>
      <c r="J351" s="47">
        <v>53000</v>
      </c>
      <c r="K351" s="73">
        <v>0</v>
      </c>
      <c r="L351" s="47">
        <v>53000</v>
      </c>
      <c r="M351" s="47">
        <v>3588</v>
      </c>
    </row>
    <row r="352" spans="1:13" ht="15.75" thickBot="1" x14ac:dyDescent="0.3">
      <c r="A352" s="44" t="s">
        <v>925</v>
      </c>
      <c r="B352" s="45" t="s">
        <v>926</v>
      </c>
      <c r="C352" s="44" t="s">
        <v>837</v>
      </c>
      <c r="D352" s="46" t="s">
        <v>799</v>
      </c>
      <c r="E352" s="46" t="s">
        <v>800</v>
      </c>
      <c r="F352" s="47">
        <v>1</v>
      </c>
      <c r="G352" s="47">
        <v>12</v>
      </c>
      <c r="H352" s="47">
        <v>1</v>
      </c>
      <c r="I352" s="47">
        <v>14</v>
      </c>
      <c r="J352" s="47">
        <v>75000</v>
      </c>
      <c r="K352" s="73">
        <v>63808</v>
      </c>
      <c r="L352" s="47">
        <v>138808</v>
      </c>
      <c r="M352" s="47">
        <v>34428</v>
      </c>
    </row>
    <row r="353" spans="1:13" ht="15.75" thickBot="1" x14ac:dyDescent="0.3">
      <c r="A353" s="44" t="s">
        <v>955</v>
      </c>
      <c r="B353" s="45" t="s">
        <v>956</v>
      </c>
      <c r="C353" s="44" t="s">
        <v>837</v>
      </c>
      <c r="D353" s="46" t="s">
        <v>799</v>
      </c>
      <c r="E353" s="46" t="s">
        <v>800</v>
      </c>
      <c r="F353" s="47">
        <v>1</v>
      </c>
      <c r="G353" s="47">
        <v>4</v>
      </c>
      <c r="H353" s="47">
        <v>0</v>
      </c>
      <c r="I353" s="47">
        <v>5</v>
      </c>
      <c r="J353" s="47">
        <v>30000</v>
      </c>
      <c r="K353" s="73">
        <v>11300</v>
      </c>
      <c r="L353" s="47">
        <v>41300</v>
      </c>
      <c r="M353" s="47">
        <v>10552</v>
      </c>
    </row>
    <row r="354" spans="1:13" ht="15.75" thickBot="1" x14ac:dyDescent="0.3">
      <c r="A354" s="44" t="s">
        <v>961</v>
      </c>
      <c r="B354" s="45" t="s">
        <v>962</v>
      </c>
      <c r="C354" s="44" t="s">
        <v>837</v>
      </c>
      <c r="D354" s="46" t="s">
        <v>829</v>
      </c>
      <c r="E354" s="46" t="s">
        <v>830</v>
      </c>
      <c r="F354" s="47">
        <v>1</v>
      </c>
      <c r="G354" s="47">
        <v>2</v>
      </c>
      <c r="H354" s="47">
        <v>0</v>
      </c>
      <c r="I354" s="47">
        <v>3</v>
      </c>
      <c r="J354" s="47">
        <v>84000</v>
      </c>
      <c r="K354" s="73">
        <v>33599</v>
      </c>
      <c r="L354" s="47">
        <v>117599</v>
      </c>
      <c r="M354" s="47">
        <v>10608</v>
      </c>
    </row>
    <row r="355" spans="1:13" ht="15.75" thickBot="1" x14ac:dyDescent="0.3">
      <c r="A355" s="44" t="s">
        <v>995</v>
      </c>
      <c r="B355" s="45" t="s">
        <v>996</v>
      </c>
      <c r="C355" s="44" t="s">
        <v>837</v>
      </c>
      <c r="D355" s="46" t="s">
        <v>804</v>
      </c>
      <c r="E355" s="46" t="s">
        <v>805</v>
      </c>
      <c r="F355" s="47">
        <v>1</v>
      </c>
      <c r="G355" s="47">
        <v>1</v>
      </c>
      <c r="H355" s="47">
        <v>0</v>
      </c>
      <c r="I355" s="47">
        <v>2</v>
      </c>
      <c r="J355" s="47">
        <v>32000</v>
      </c>
      <c r="K355" s="73">
        <v>12000</v>
      </c>
      <c r="L355" s="47">
        <v>44000</v>
      </c>
      <c r="M355" s="47">
        <v>5167</v>
      </c>
    </row>
    <row r="356" spans="1:13" ht="15.75" thickBot="1" x14ac:dyDescent="0.3">
      <c r="A356" s="44" t="s">
        <v>997</v>
      </c>
      <c r="B356" s="45" t="s">
        <v>998</v>
      </c>
      <c r="C356" s="44" t="s">
        <v>837</v>
      </c>
      <c r="D356" s="46" t="s">
        <v>804</v>
      </c>
      <c r="E356" s="46" t="s">
        <v>805</v>
      </c>
      <c r="F356" s="47">
        <v>1</v>
      </c>
      <c r="G356" s="47">
        <v>2</v>
      </c>
      <c r="H356" s="47">
        <v>0</v>
      </c>
      <c r="I356" s="47">
        <v>3</v>
      </c>
      <c r="J356" s="47">
        <v>85643</v>
      </c>
      <c r="K356" s="73">
        <v>20134</v>
      </c>
      <c r="L356" s="47">
        <v>105777</v>
      </c>
      <c r="M356" s="47">
        <v>6808</v>
      </c>
    </row>
    <row r="357" spans="1:13" ht="15.75" thickBot="1" x14ac:dyDescent="0.3">
      <c r="A357" s="44" t="s">
        <v>1005</v>
      </c>
      <c r="B357" s="45" t="s">
        <v>1006</v>
      </c>
      <c r="C357" s="44" t="s">
        <v>837</v>
      </c>
      <c r="D357" s="46" t="s">
        <v>804</v>
      </c>
      <c r="E357" s="46" t="s">
        <v>805</v>
      </c>
      <c r="F357" s="47">
        <v>1</v>
      </c>
      <c r="G357" s="47">
        <v>21</v>
      </c>
      <c r="H357" s="47">
        <v>0</v>
      </c>
      <c r="I357" s="47">
        <v>22</v>
      </c>
      <c r="J357" s="47">
        <v>420000</v>
      </c>
      <c r="K357" s="73">
        <v>211059</v>
      </c>
      <c r="L357" s="47">
        <v>631059</v>
      </c>
      <c r="M357" s="47">
        <v>44496</v>
      </c>
    </row>
    <row r="358" spans="1:13" ht="15.75" thickBot="1" x14ac:dyDescent="0.3">
      <c r="A358" s="44" t="s">
        <v>1051</v>
      </c>
      <c r="B358" s="45" t="s">
        <v>1052</v>
      </c>
      <c r="C358" s="44" t="s">
        <v>837</v>
      </c>
      <c r="D358" s="46" t="s">
        <v>804</v>
      </c>
      <c r="E358" s="46" t="s">
        <v>805</v>
      </c>
      <c r="F358" s="47">
        <v>1</v>
      </c>
      <c r="G358" s="47">
        <v>1</v>
      </c>
      <c r="H358" s="47">
        <v>0</v>
      </c>
      <c r="I358" s="47">
        <v>2</v>
      </c>
      <c r="J358" s="47">
        <v>72000</v>
      </c>
      <c r="K358" s="73">
        <v>18000</v>
      </c>
      <c r="L358" s="47">
        <v>90000</v>
      </c>
      <c r="M358" s="47">
        <v>7160</v>
      </c>
    </row>
    <row r="359" spans="1:13" ht="15.75" thickBot="1" x14ac:dyDescent="0.3">
      <c r="A359" s="44" t="s">
        <v>1063</v>
      </c>
      <c r="B359" s="45" t="s">
        <v>1064</v>
      </c>
      <c r="C359" s="44" t="s">
        <v>837</v>
      </c>
      <c r="D359" s="46" t="s">
        <v>804</v>
      </c>
      <c r="E359" s="46" t="s">
        <v>805</v>
      </c>
      <c r="F359" s="47">
        <v>1</v>
      </c>
      <c r="G359" s="47">
        <v>0</v>
      </c>
      <c r="H359" s="47">
        <v>0</v>
      </c>
      <c r="I359" s="47">
        <v>1</v>
      </c>
      <c r="J359" s="47">
        <v>82166</v>
      </c>
      <c r="K359" s="73">
        <v>0</v>
      </c>
      <c r="L359" s="47">
        <v>82166</v>
      </c>
      <c r="M359" s="47">
        <v>2187</v>
      </c>
    </row>
    <row r="360" spans="1:13" ht="15.75" thickBot="1" x14ac:dyDescent="0.3">
      <c r="A360" s="44" t="s">
        <v>1089</v>
      </c>
      <c r="B360" s="45" t="s">
        <v>1090</v>
      </c>
      <c r="C360" s="44" t="s">
        <v>837</v>
      </c>
      <c r="D360" s="46" t="s">
        <v>799</v>
      </c>
      <c r="E360" s="46" t="s">
        <v>800</v>
      </c>
      <c r="F360" s="47">
        <v>1</v>
      </c>
      <c r="G360" s="47">
        <v>18</v>
      </c>
      <c r="H360" s="47">
        <v>0</v>
      </c>
      <c r="I360" s="47">
        <v>19</v>
      </c>
      <c r="J360" s="47">
        <v>12800</v>
      </c>
      <c r="K360" s="73">
        <v>74915</v>
      </c>
      <c r="L360" s="47">
        <v>87715</v>
      </c>
      <c r="M360" s="47">
        <v>44762</v>
      </c>
    </row>
    <row r="361" spans="1:13" ht="15.75" thickBot="1" x14ac:dyDescent="0.3">
      <c r="A361" s="44" t="s">
        <v>1103</v>
      </c>
      <c r="B361" s="45" t="s">
        <v>1104</v>
      </c>
      <c r="C361" s="44" t="s">
        <v>837</v>
      </c>
      <c r="D361" s="46" t="s">
        <v>804</v>
      </c>
      <c r="E361" s="46" t="s">
        <v>805</v>
      </c>
      <c r="F361" s="47">
        <v>1</v>
      </c>
      <c r="G361" s="47">
        <v>0</v>
      </c>
      <c r="H361" s="47">
        <v>0</v>
      </c>
      <c r="I361" s="47">
        <v>1</v>
      </c>
      <c r="J361" s="47">
        <v>105000</v>
      </c>
      <c r="K361" s="73">
        <v>0</v>
      </c>
      <c r="L361" s="47">
        <v>105000</v>
      </c>
      <c r="M361" s="47">
        <v>3262</v>
      </c>
    </row>
    <row r="362" spans="1:13" ht="15.75" thickBot="1" x14ac:dyDescent="0.3">
      <c r="A362" s="44" t="s">
        <v>1107</v>
      </c>
      <c r="B362" s="45" t="s">
        <v>1108</v>
      </c>
      <c r="C362" s="44" t="s">
        <v>837</v>
      </c>
      <c r="D362" s="46" t="s">
        <v>804</v>
      </c>
      <c r="E362" s="46" t="s">
        <v>805</v>
      </c>
      <c r="F362" s="47">
        <v>1</v>
      </c>
      <c r="G362" s="47">
        <v>7</v>
      </c>
      <c r="H362" s="47">
        <v>0</v>
      </c>
      <c r="I362" s="47">
        <v>8</v>
      </c>
      <c r="J362" s="47">
        <v>153000</v>
      </c>
      <c r="K362" s="73">
        <v>58426</v>
      </c>
      <c r="L362" s="47">
        <v>211426</v>
      </c>
      <c r="M362" s="47">
        <v>18140</v>
      </c>
    </row>
    <row r="363" spans="1:13" ht="15.75" thickBot="1" x14ac:dyDescent="0.3">
      <c r="A363" s="44" t="s">
        <v>1111</v>
      </c>
      <c r="B363" s="45" t="s">
        <v>1112</v>
      </c>
      <c r="C363" s="44" t="s">
        <v>837</v>
      </c>
      <c r="D363" s="46" t="s">
        <v>804</v>
      </c>
      <c r="E363" s="46" t="s">
        <v>805</v>
      </c>
      <c r="F363" s="47">
        <v>1</v>
      </c>
      <c r="G363" s="47">
        <v>2</v>
      </c>
      <c r="H363" s="47">
        <v>0</v>
      </c>
      <c r="I363" s="47">
        <v>3</v>
      </c>
      <c r="J363" s="47">
        <v>18500</v>
      </c>
      <c r="K363" s="73">
        <v>42500</v>
      </c>
      <c r="L363" s="47">
        <v>61000</v>
      </c>
      <c r="M363" s="47">
        <v>10464</v>
      </c>
    </row>
    <row r="364" spans="1:13" ht="15.75" thickBot="1" x14ac:dyDescent="0.3">
      <c r="A364" s="44" t="s">
        <v>1137</v>
      </c>
      <c r="B364" s="45" t="s">
        <v>1138</v>
      </c>
      <c r="C364" s="44" t="s">
        <v>837</v>
      </c>
      <c r="D364" s="46" t="s">
        <v>804</v>
      </c>
      <c r="E364" s="46" t="s">
        <v>805</v>
      </c>
      <c r="F364" s="47">
        <v>1</v>
      </c>
      <c r="G364" s="47">
        <v>1</v>
      </c>
      <c r="H364" s="47">
        <v>0</v>
      </c>
      <c r="I364" s="47">
        <v>2</v>
      </c>
      <c r="J364" s="47">
        <v>72291</v>
      </c>
      <c r="K364" s="73">
        <v>5000</v>
      </c>
      <c r="L364" s="47">
        <v>77291</v>
      </c>
      <c r="M364" s="47">
        <v>5747</v>
      </c>
    </row>
    <row r="365" spans="1:13" ht="15.75" thickBot="1" x14ac:dyDescent="0.3">
      <c r="A365" s="44" t="s">
        <v>1159</v>
      </c>
      <c r="B365" s="45" t="s">
        <v>1160</v>
      </c>
      <c r="C365" s="44" t="s">
        <v>837</v>
      </c>
      <c r="D365" s="46" t="s">
        <v>804</v>
      </c>
      <c r="E365" s="46" t="s">
        <v>805</v>
      </c>
      <c r="F365" s="47">
        <v>1</v>
      </c>
      <c r="G365" s="47">
        <v>0</v>
      </c>
      <c r="H365" s="47">
        <v>0</v>
      </c>
      <c r="I365" s="47">
        <v>1</v>
      </c>
      <c r="J365" s="47">
        <v>30100</v>
      </c>
      <c r="K365" s="73">
        <v>0</v>
      </c>
      <c r="L365" s="47">
        <v>30100</v>
      </c>
      <c r="M365" s="47">
        <v>2840</v>
      </c>
    </row>
    <row r="366" spans="1:13" ht="15.75" thickBot="1" x14ac:dyDescent="0.3">
      <c r="A366" s="44" t="s">
        <v>1179</v>
      </c>
      <c r="B366" s="45" t="s">
        <v>1180</v>
      </c>
      <c r="C366" s="44" t="s">
        <v>837</v>
      </c>
      <c r="D366" s="46" t="s">
        <v>799</v>
      </c>
      <c r="E366" s="46" t="s">
        <v>800</v>
      </c>
      <c r="F366" s="47">
        <v>1</v>
      </c>
      <c r="G366" s="47">
        <v>12</v>
      </c>
      <c r="H366" s="47">
        <v>0</v>
      </c>
      <c r="I366" s="47">
        <v>13</v>
      </c>
      <c r="J366" s="47">
        <v>33250</v>
      </c>
      <c r="K366" s="73">
        <v>45091</v>
      </c>
      <c r="L366" s="47">
        <v>78341</v>
      </c>
      <c r="M366" s="47">
        <v>23852</v>
      </c>
    </row>
    <row r="367" spans="1:13" ht="15.75" thickBot="1" x14ac:dyDescent="0.3">
      <c r="A367" s="44" t="s">
        <v>1187</v>
      </c>
      <c r="B367" s="45" t="s">
        <v>1188</v>
      </c>
      <c r="C367" s="44" t="s">
        <v>837</v>
      </c>
      <c r="D367" s="46" t="s">
        <v>804</v>
      </c>
      <c r="E367" s="46" t="s">
        <v>805</v>
      </c>
      <c r="F367" s="47">
        <v>1</v>
      </c>
      <c r="G367" s="47">
        <v>4</v>
      </c>
      <c r="H367" s="47">
        <v>0</v>
      </c>
      <c r="I367" s="47">
        <v>5</v>
      </c>
      <c r="J367" s="47">
        <v>98000</v>
      </c>
      <c r="K367" s="73">
        <v>39800</v>
      </c>
      <c r="L367" s="47">
        <v>137800</v>
      </c>
      <c r="M367" s="47">
        <v>11491</v>
      </c>
    </row>
    <row r="368" spans="1:13" ht="15.75" thickBot="1" x14ac:dyDescent="0.3">
      <c r="A368" s="44" t="s">
        <v>1191</v>
      </c>
      <c r="B368" s="45" t="s">
        <v>1192</v>
      </c>
      <c r="C368" s="44" t="s">
        <v>837</v>
      </c>
      <c r="D368" s="46" t="s">
        <v>799</v>
      </c>
      <c r="E368" s="46" t="s">
        <v>800</v>
      </c>
      <c r="F368" s="47">
        <v>0</v>
      </c>
      <c r="G368" s="47">
        <v>19</v>
      </c>
      <c r="H368" s="47">
        <v>1</v>
      </c>
      <c r="I368" s="47">
        <v>20</v>
      </c>
      <c r="J368" s="47">
        <v>0</v>
      </c>
      <c r="K368" s="73">
        <v>291254</v>
      </c>
      <c r="L368" s="47">
        <v>291254</v>
      </c>
      <c r="M368" s="47">
        <v>47946</v>
      </c>
    </row>
    <row r="369" spans="1:13" ht="15.75" thickBot="1" x14ac:dyDescent="0.3">
      <c r="A369" s="44" t="s">
        <v>1201</v>
      </c>
      <c r="B369" s="45" t="s">
        <v>1202</v>
      </c>
      <c r="C369" s="44" t="s">
        <v>837</v>
      </c>
      <c r="D369" s="46" t="s">
        <v>799</v>
      </c>
      <c r="E369" s="46" t="s">
        <v>800</v>
      </c>
      <c r="F369" s="47">
        <v>1</v>
      </c>
      <c r="G369" s="47">
        <v>6</v>
      </c>
      <c r="H369" s="47">
        <v>0</v>
      </c>
      <c r="I369" s="47">
        <v>7</v>
      </c>
      <c r="J369" s="47">
        <v>8100</v>
      </c>
      <c r="K369" s="73">
        <v>7615</v>
      </c>
      <c r="L369" s="47">
        <v>15715</v>
      </c>
      <c r="M369" s="47">
        <v>9797</v>
      </c>
    </row>
    <row r="370" spans="1:13" ht="15.75" thickBot="1" x14ac:dyDescent="0.3">
      <c r="A370" s="44" t="s">
        <v>1227</v>
      </c>
      <c r="B370" s="45" t="s">
        <v>1228</v>
      </c>
      <c r="C370" s="44" t="s">
        <v>837</v>
      </c>
      <c r="D370" s="46" t="s">
        <v>799</v>
      </c>
      <c r="E370" s="46" t="s">
        <v>800</v>
      </c>
      <c r="F370" s="47">
        <v>1</v>
      </c>
      <c r="G370" s="47">
        <v>3</v>
      </c>
      <c r="H370" s="47">
        <v>0</v>
      </c>
      <c r="I370" s="47">
        <v>4</v>
      </c>
      <c r="J370" s="47">
        <v>64500</v>
      </c>
      <c r="K370" s="73">
        <v>21115</v>
      </c>
      <c r="L370" s="47">
        <v>85615</v>
      </c>
      <c r="M370" s="47">
        <v>6322</v>
      </c>
    </row>
    <row r="371" spans="1:13" ht="15.75" thickBot="1" x14ac:dyDescent="0.3">
      <c r="A371" s="44" t="s">
        <v>1293</v>
      </c>
      <c r="B371" s="45" t="s">
        <v>1294</v>
      </c>
      <c r="C371" s="44" t="s">
        <v>837</v>
      </c>
      <c r="D371" s="46" t="s">
        <v>799</v>
      </c>
      <c r="E371" s="46" t="s">
        <v>800</v>
      </c>
      <c r="F371" s="47">
        <v>1</v>
      </c>
      <c r="G371" s="47">
        <v>15</v>
      </c>
      <c r="H371" s="47">
        <v>1</v>
      </c>
      <c r="I371" s="47">
        <v>17</v>
      </c>
      <c r="J371" s="47">
        <v>33380</v>
      </c>
      <c r="K371" s="73">
        <v>119091</v>
      </c>
      <c r="L371" s="47">
        <v>152471</v>
      </c>
      <c r="M371" s="47">
        <v>34034</v>
      </c>
    </row>
    <row r="372" spans="1:13" ht="15.75" thickBot="1" x14ac:dyDescent="0.3">
      <c r="A372" s="44" t="s">
        <v>1307</v>
      </c>
      <c r="B372" s="45" t="s">
        <v>1308</v>
      </c>
      <c r="C372" s="44" t="s">
        <v>837</v>
      </c>
      <c r="D372" s="46" t="s">
        <v>799</v>
      </c>
      <c r="E372" s="46" t="s">
        <v>800</v>
      </c>
      <c r="F372" s="47">
        <v>1</v>
      </c>
      <c r="G372" s="47">
        <v>10</v>
      </c>
      <c r="H372" s="47">
        <v>0</v>
      </c>
      <c r="I372" s="47">
        <v>11</v>
      </c>
      <c r="J372" s="47">
        <v>12117</v>
      </c>
      <c r="K372" s="73">
        <v>43592</v>
      </c>
      <c r="L372" s="47">
        <v>55709</v>
      </c>
      <c r="M372" s="47">
        <v>23407</v>
      </c>
    </row>
    <row r="373" spans="1:13" ht="15.75" thickBot="1" x14ac:dyDescent="0.3">
      <c r="A373" s="44" t="s">
        <v>1327</v>
      </c>
      <c r="B373" s="45" t="s">
        <v>1328</v>
      </c>
      <c r="C373" s="44" t="s">
        <v>837</v>
      </c>
      <c r="D373" s="46" t="s">
        <v>804</v>
      </c>
      <c r="E373" s="46" t="s">
        <v>805</v>
      </c>
      <c r="F373" s="47">
        <v>1</v>
      </c>
      <c r="G373" s="47">
        <v>0</v>
      </c>
      <c r="H373" s="47">
        <v>0</v>
      </c>
      <c r="I373" s="47">
        <v>1</v>
      </c>
      <c r="J373" s="47">
        <v>59314</v>
      </c>
      <c r="K373" s="73">
        <v>0</v>
      </c>
      <c r="L373" s="47">
        <v>59314</v>
      </c>
      <c r="M373" s="47">
        <v>3281</v>
      </c>
    </row>
    <row r="374" spans="1:13" ht="15.75" thickBot="1" x14ac:dyDescent="0.3">
      <c r="A374" s="44" t="s">
        <v>1375</v>
      </c>
      <c r="B374" s="45" t="s">
        <v>1376</v>
      </c>
      <c r="C374" s="44" t="s">
        <v>837</v>
      </c>
      <c r="D374" s="46" t="s">
        <v>804</v>
      </c>
      <c r="E374" s="46" t="s">
        <v>805</v>
      </c>
      <c r="F374" s="47">
        <v>1</v>
      </c>
      <c r="G374" s="47">
        <v>0</v>
      </c>
      <c r="H374" s="47">
        <v>0</v>
      </c>
      <c r="I374" s="47">
        <v>1</v>
      </c>
      <c r="J374" s="47">
        <v>20250</v>
      </c>
      <c r="K374" s="73">
        <v>0</v>
      </c>
      <c r="L374" s="47">
        <v>20250</v>
      </c>
      <c r="M374" s="47">
        <v>2700</v>
      </c>
    </row>
    <row r="375" spans="1:13" ht="15.75" thickBot="1" x14ac:dyDescent="0.3">
      <c r="A375" s="44" t="s">
        <v>1379</v>
      </c>
      <c r="B375" s="45" t="s">
        <v>1380</v>
      </c>
      <c r="C375" s="44" t="s">
        <v>837</v>
      </c>
      <c r="D375" s="46" t="s">
        <v>799</v>
      </c>
      <c r="E375" s="46" t="s">
        <v>800</v>
      </c>
      <c r="F375" s="47">
        <v>1</v>
      </c>
      <c r="G375" s="47">
        <v>0</v>
      </c>
      <c r="H375" s="47">
        <v>0</v>
      </c>
      <c r="I375" s="47">
        <v>1</v>
      </c>
      <c r="J375" s="47">
        <v>49000</v>
      </c>
      <c r="K375" s="73">
        <v>0</v>
      </c>
      <c r="L375" s="47">
        <v>49000</v>
      </c>
      <c r="M375" s="47">
        <v>3415</v>
      </c>
    </row>
    <row r="376" spans="1:13" ht="15.75" thickBot="1" x14ac:dyDescent="0.3">
      <c r="A376" s="44" t="s">
        <v>1389</v>
      </c>
      <c r="B376" s="45" t="s">
        <v>1390</v>
      </c>
      <c r="C376" s="44" t="s">
        <v>837</v>
      </c>
      <c r="D376" s="46" t="s">
        <v>804</v>
      </c>
      <c r="E376" s="46" t="s">
        <v>805</v>
      </c>
      <c r="F376" s="47">
        <v>1</v>
      </c>
      <c r="G376" s="47">
        <v>3</v>
      </c>
      <c r="H376" s="47">
        <v>0</v>
      </c>
      <c r="I376" s="47">
        <v>4</v>
      </c>
      <c r="J376" s="47">
        <v>32553</v>
      </c>
      <c r="K376" s="73">
        <v>42922</v>
      </c>
      <c r="L376" s="47">
        <v>75475</v>
      </c>
      <c r="M376" s="47">
        <v>9600</v>
      </c>
    </row>
    <row r="377" spans="1:13" ht="15.75" thickBot="1" x14ac:dyDescent="0.3">
      <c r="A377" s="44" t="s">
        <v>1423</v>
      </c>
      <c r="B377" s="45" t="s">
        <v>1424</v>
      </c>
      <c r="C377" s="44" t="s">
        <v>837</v>
      </c>
      <c r="D377" s="46" t="s">
        <v>799</v>
      </c>
      <c r="E377" s="46" t="s">
        <v>800</v>
      </c>
      <c r="F377" s="47">
        <v>1</v>
      </c>
      <c r="G377" s="47">
        <v>0</v>
      </c>
      <c r="H377" s="47">
        <v>2</v>
      </c>
      <c r="I377" s="47">
        <v>3</v>
      </c>
      <c r="J377" s="47">
        <v>76600</v>
      </c>
      <c r="K377" s="73">
        <v>310</v>
      </c>
      <c r="L377" s="47">
        <v>76910</v>
      </c>
      <c r="M377" s="47">
        <v>6576</v>
      </c>
    </row>
    <row r="378" spans="1:13" ht="15.75" thickBot="1" x14ac:dyDescent="0.3">
      <c r="A378" s="44" t="s">
        <v>1433</v>
      </c>
      <c r="B378" s="45" t="s">
        <v>1434</v>
      </c>
      <c r="C378" s="44" t="s">
        <v>837</v>
      </c>
      <c r="D378" s="46" t="s">
        <v>804</v>
      </c>
      <c r="E378" s="46" t="s">
        <v>805</v>
      </c>
      <c r="F378" s="47">
        <v>1</v>
      </c>
      <c r="G378" s="47">
        <v>0</v>
      </c>
      <c r="H378" s="47">
        <v>0</v>
      </c>
      <c r="I378" s="47">
        <v>1</v>
      </c>
      <c r="J378" s="47">
        <v>42000</v>
      </c>
      <c r="K378" s="73">
        <v>0</v>
      </c>
      <c r="L378" s="47">
        <v>42000</v>
      </c>
      <c r="M378" s="47">
        <v>2842</v>
      </c>
    </row>
    <row r="379" spans="1:13" ht="15.75" thickBot="1" x14ac:dyDescent="0.3">
      <c r="A379" s="44" t="s">
        <v>1439</v>
      </c>
      <c r="B379" s="45" t="s">
        <v>1440</v>
      </c>
      <c r="C379" s="44" t="s">
        <v>837</v>
      </c>
      <c r="D379" s="46" t="s">
        <v>799</v>
      </c>
      <c r="E379" s="46" t="s">
        <v>800</v>
      </c>
      <c r="F379" s="47">
        <v>1</v>
      </c>
      <c r="G379" s="47">
        <v>10</v>
      </c>
      <c r="H379" s="47">
        <v>0</v>
      </c>
      <c r="I379" s="47">
        <v>11</v>
      </c>
      <c r="J379" s="47">
        <v>29765</v>
      </c>
      <c r="K379" s="73">
        <v>44790</v>
      </c>
      <c r="L379" s="47">
        <v>74555</v>
      </c>
      <c r="M379" s="47">
        <v>29957</v>
      </c>
    </row>
    <row r="380" spans="1:13" ht="15.75" thickBot="1" x14ac:dyDescent="0.3">
      <c r="A380" s="44" t="s">
        <v>1441</v>
      </c>
      <c r="B380" s="45" t="s">
        <v>1442</v>
      </c>
      <c r="C380" s="44" t="s">
        <v>837</v>
      </c>
      <c r="D380" s="46" t="s">
        <v>804</v>
      </c>
      <c r="E380" s="46" t="s">
        <v>805</v>
      </c>
      <c r="F380" s="47">
        <v>1</v>
      </c>
      <c r="G380" s="47">
        <v>0</v>
      </c>
      <c r="H380" s="47">
        <v>0</v>
      </c>
      <c r="I380" s="47">
        <v>1</v>
      </c>
      <c r="J380" s="47">
        <v>30000</v>
      </c>
      <c r="K380" s="73">
        <v>0</v>
      </c>
      <c r="L380" s="47">
        <v>30000</v>
      </c>
      <c r="M380" s="47">
        <v>3040</v>
      </c>
    </row>
    <row r="381" spans="1:13" ht="15.75" thickBot="1" x14ac:dyDescent="0.3">
      <c r="A381" s="44" t="s">
        <v>1470</v>
      </c>
      <c r="B381" s="45" t="s">
        <v>1471</v>
      </c>
      <c r="C381" s="44" t="s">
        <v>837</v>
      </c>
      <c r="D381" s="46" t="s">
        <v>799</v>
      </c>
      <c r="E381" s="46" t="s">
        <v>800</v>
      </c>
      <c r="F381" s="47">
        <v>1</v>
      </c>
      <c r="G381" s="47">
        <v>0</v>
      </c>
      <c r="H381" s="47">
        <v>0</v>
      </c>
      <c r="I381" s="47">
        <v>1</v>
      </c>
      <c r="J381" s="47">
        <v>12400</v>
      </c>
      <c r="K381" s="73">
        <v>0</v>
      </c>
      <c r="L381" s="47">
        <v>12400</v>
      </c>
      <c r="M381" s="47">
        <v>2937</v>
      </c>
    </row>
    <row r="382" spans="1:13" ht="15.75" thickBot="1" x14ac:dyDescent="0.3">
      <c r="A382" s="44" t="s">
        <v>1482</v>
      </c>
      <c r="B382" s="45" t="s">
        <v>1483</v>
      </c>
      <c r="C382" s="44" t="s">
        <v>837</v>
      </c>
      <c r="D382" s="46" t="s">
        <v>804</v>
      </c>
      <c r="E382" s="46" t="s">
        <v>805</v>
      </c>
      <c r="F382" s="47">
        <v>1</v>
      </c>
      <c r="G382" s="47">
        <v>0</v>
      </c>
      <c r="H382" s="47">
        <v>0</v>
      </c>
      <c r="I382" s="47">
        <v>1</v>
      </c>
      <c r="J382" s="47">
        <v>124000</v>
      </c>
      <c r="K382" s="73">
        <v>0</v>
      </c>
      <c r="L382" s="47">
        <v>124000</v>
      </c>
      <c r="M382" s="47">
        <v>2683</v>
      </c>
    </row>
    <row r="383" spans="1:13" ht="15.75" thickBot="1" x14ac:dyDescent="0.3">
      <c r="A383" s="44" t="s">
        <v>1496</v>
      </c>
      <c r="B383" s="45" t="s">
        <v>1497</v>
      </c>
      <c r="C383" s="44" t="s">
        <v>837</v>
      </c>
      <c r="D383" s="46" t="s">
        <v>804</v>
      </c>
      <c r="E383" s="46" t="s">
        <v>805</v>
      </c>
      <c r="F383" s="47">
        <v>1</v>
      </c>
      <c r="G383" s="47">
        <v>0</v>
      </c>
      <c r="H383" s="47">
        <v>0</v>
      </c>
      <c r="I383" s="47">
        <v>1</v>
      </c>
      <c r="J383" s="47">
        <v>42556</v>
      </c>
      <c r="K383" s="73">
        <v>0</v>
      </c>
      <c r="L383" s="47">
        <v>42556</v>
      </c>
      <c r="M383" s="47">
        <v>2928</v>
      </c>
    </row>
    <row r="384" spans="1:13" ht="15.75" thickBot="1" x14ac:dyDescent="0.3">
      <c r="A384" s="44" t="s">
        <v>1512</v>
      </c>
      <c r="B384" s="45" t="s">
        <v>1513</v>
      </c>
      <c r="C384" s="44" t="s">
        <v>837</v>
      </c>
      <c r="D384" s="46" t="s">
        <v>804</v>
      </c>
      <c r="E384" s="46" t="s">
        <v>805</v>
      </c>
      <c r="F384" s="47">
        <v>1</v>
      </c>
      <c r="G384" s="47">
        <v>0</v>
      </c>
      <c r="H384" s="47">
        <v>0</v>
      </c>
      <c r="I384" s="47">
        <v>1</v>
      </c>
      <c r="J384" s="47">
        <v>24950</v>
      </c>
      <c r="K384" s="74">
        <v>0</v>
      </c>
      <c r="L384" s="47">
        <v>24950</v>
      </c>
      <c r="M384" s="47">
        <v>2770</v>
      </c>
    </row>
    <row r="385" spans="1:13" ht="15.75" thickBot="1" x14ac:dyDescent="0.3">
      <c r="A385" s="44" t="s">
        <v>1538</v>
      </c>
      <c r="B385" s="45" t="s">
        <v>1539</v>
      </c>
      <c r="C385" s="44" t="s">
        <v>837</v>
      </c>
      <c r="D385" s="46" t="s">
        <v>799</v>
      </c>
      <c r="E385" s="46" t="s">
        <v>800</v>
      </c>
      <c r="F385" s="47">
        <v>1</v>
      </c>
      <c r="G385" s="47">
        <v>2</v>
      </c>
      <c r="H385" s="47">
        <v>0</v>
      </c>
      <c r="I385" s="47">
        <v>3</v>
      </c>
      <c r="J385" s="47">
        <v>58000</v>
      </c>
      <c r="K385" s="73">
        <v>7300</v>
      </c>
      <c r="L385" s="47">
        <v>65300</v>
      </c>
      <c r="M385" s="47">
        <v>8062</v>
      </c>
    </row>
    <row r="386" spans="1:13" ht="15.75" thickBot="1" x14ac:dyDescent="0.3">
      <c r="A386" s="44" t="s">
        <v>1540</v>
      </c>
      <c r="B386" s="45" t="s">
        <v>1541</v>
      </c>
      <c r="C386" s="44" t="s">
        <v>837</v>
      </c>
      <c r="D386" s="46" t="s">
        <v>804</v>
      </c>
      <c r="E386" s="46" t="s">
        <v>805</v>
      </c>
      <c r="F386" s="47">
        <v>1</v>
      </c>
      <c r="G386" s="47">
        <v>0</v>
      </c>
      <c r="H386" s="47">
        <v>0</v>
      </c>
      <c r="I386" s="47">
        <v>1</v>
      </c>
      <c r="J386" s="47">
        <v>21500</v>
      </c>
      <c r="K386" s="73">
        <v>0</v>
      </c>
      <c r="L386" s="47">
        <v>21500</v>
      </c>
      <c r="M386" s="47">
        <v>3172</v>
      </c>
    </row>
    <row r="387" spans="1:13" ht="15.75" thickBot="1" x14ac:dyDescent="0.3">
      <c r="A387" s="44" t="s">
        <v>1542</v>
      </c>
      <c r="B387" s="45" t="s">
        <v>1543</v>
      </c>
      <c r="C387" s="44" t="s">
        <v>837</v>
      </c>
      <c r="D387" s="46" t="s">
        <v>804</v>
      </c>
      <c r="E387" s="46" t="s">
        <v>805</v>
      </c>
      <c r="F387" s="47">
        <v>1</v>
      </c>
      <c r="G387" s="47">
        <v>0</v>
      </c>
      <c r="H387" s="47">
        <v>0</v>
      </c>
      <c r="I387" s="47">
        <v>1</v>
      </c>
      <c r="J387" s="47">
        <v>50000</v>
      </c>
      <c r="K387" s="73">
        <v>0</v>
      </c>
      <c r="L387" s="47">
        <v>50000</v>
      </c>
      <c r="M387" s="47">
        <v>2860</v>
      </c>
    </row>
    <row r="388" spans="1:13" ht="15.75" thickBot="1" x14ac:dyDescent="0.3">
      <c r="A388" s="44" t="s">
        <v>1564</v>
      </c>
      <c r="B388" s="45" t="s">
        <v>1565</v>
      </c>
      <c r="C388" s="44" t="s">
        <v>837</v>
      </c>
      <c r="D388" s="46" t="s">
        <v>804</v>
      </c>
      <c r="E388" s="46" t="s">
        <v>805</v>
      </c>
      <c r="F388" s="47">
        <v>1</v>
      </c>
      <c r="G388" s="47">
        <v>3</v>
      </c>
      <c r="H388" s="47">
        <v>0</v>
      </c>
      <c r="I388" s="47">
        <v>4</v>
      </c>
      <c r="J388" s="47">
        <v>35000</v>
      </c>
      <c r="K388" s="73">
        <v>29709</v>
      </c>
      <c r="L388" s="47">
        <v>64709</v>
      </c>
      <c r="M388" s="47">
        <v>9825</v>
      </c>
    </row>
    <row r="389" spans="1:13" ht="15.75" thickBot="1" x14ac:dyDescent="0.3">
      <c r="A389" s="44" t="s">
        <v>1566</v>
      </c>
      <c r="B389" s="45" t="s">
        <v>1567</v>
      </c>
      <c r="C389" s="44" t="s">
        <v>837</v>
      </c>
      <c r="D389" s="46" t="s">
        <v>799</v>
      </c>
      <c r="E389" s="46" t="s">
        <v>800</v>
      </c>
      <c r="F389" s="47">
        <v>1</v>
      </c>
      <c r="G389" s="47">
        <v>0</v>
      </c>
      <c r="H389" s="47">
        <v>0</v>
      </c>
      <c r="I389" s="47">
        <v>1</v>
      </c>
      <c r="J389" s="47">
        <v>27300</v>
      </c>
      <c r="K389" s="73">
        <v>0</v>
      </c>
      <c r="L389" s="47">
        <v>27300</v>
      </c>
      <c r="M389" s="47">
        <v>2888</v>
      </c>
    </row>
    <row r="390" spans="1:13" ht="15.75" thickBot="1" x14ac:dyDescent="0.3">
      <c r="A390" s="44" t="s">
        <v>1574</v>
      </c>
      <c r="B390" s="45" t="s">
        <v>1575</v>
      </c>
      <c r="C390" s="44" t="s">
        <v>837</v>
      </c>
      <c r="D390" s="46" t="s">
        <v>844</v>
      </c>
      <c r="E390" s="46" t="s">
        <v>845</v>
      </c>
      <c r="F390" s="47">
        <v>1</v>
      </c>
      <c r="G390" s="47">
        <v>1</v>
      </c>
      <c r="H390" s="47">
        <v>0</v>
      </c>
      <c r="I390" s="47">
        <v>2</v>
      </c>
      <c r="J390" s="47">
        <v>64000</v>
      </c>
      <c r="K390" s="73">
        <v>12000</v>
      </c>
      <c r="L390" s="47">
        <v>76000</v>
      </c>
      <c r="M390" s="47">
        <v>7393</v>
      </c>
    </row>
    <row r="391" spans="1:13" ht="15.75" thickBot="1" x14ac:dyDescent="0.3">
      <c r="A391" s="44" t="s">
        <v>1594</v>
      </c>
      <c r="B391" s="45" t="s">
        <v>1595</v>
      </c>
      <c r="C391" s="44" t="s">
        <v>837</v>
      </c>
      <c r="D391" s="46" t="s">
        <v>804</v>
      </c>
      <c r="E391" s="46" t="s">
        <v>805</v>
      </c>
      <c r="F391" s="47">
        <v>1</v>
      </c>
      <c r="G391" s="47">
        <v>1</v>
      </c>
      <c r="H391" s="47">
        <v>0</v>
      </c>
      <c r="I391" s="47">
        <v>2</v>
      </c>
      <c r="J391" s="47">
        <v>55000</v>
      </c>
      <c r="K391" s="73">
        <v>12000</v>
      </c>
      <c r="L391" s="47">
        <v>67000</v>
      </c>
      <c r="M391" s="47">
        <v>6483</v>
      </c>
    </row>
    <row r="392" spans="1:13" ht="15.75" thickBot="1" x14ac:dyDescent="0.3">
      <c r="A392" s="44" t="s">
        <v>1596</v>
      </c>
      <c r="B392" s="45" t="s">
        <v>1597</v>
      </c>
      <c r="C392" s="44" t="s">
        <v>837</v>
      </c>
      <c r="D392" s="46" t="s">
        <v>804</v>
      </c>
      <c r="E392" s="46" t="s">
        <v>805</v>
      </c>
      <c r="F392" s="47">
        <v>1</v>
      </c>
      <c r="G392" s="47">
        <v>0</v>
      </c>
      <c r="H392" s="47">
        <v>0</v>
      </c>
      <c r="I392" s="47">
        <v>1</v>
      </c>
      <c r="J392" s="47">
        <v>33450</v>
      </c>
      <c r="K392" s="73">
        <v>0</v>
      </c>
      <c r="L392" s="47">
        <v>33450</v>
      </c>
      <c r="M392" s="47">
        <v>3243</v>
      </c>
    </row>
    <row r="393" spans="1:13" ht="15.75" thickBot="1" x14ac:dyDescent="0.3">
      <c r="A393" s="44" t="s">
        <v>1602</v>
      </c>
      <c r="B393" s="58" t="s">
        <v>1603</v>
      </c>
      <c r="C393" s="44" t="s">
        <v>837</v>
      </c>
      <c r="D393" s="46" t="s">
        <v>829</v>
      </c>
      <c r="E393" s="46" t="s">
        <v>830</v>
      </c>
      <c r="F393" s="47">
        <v>1</v>
      </c>
      <c r="G393" s="47">
        <v>2</v>
      </c>
      <c r="H393" s="47">
        <v>1</v>
      </c>
      <c r="I393" s="47">
        <v>4</v>
      </c>
      <c r="J393" s="47">
        <v>60000</v>
      </c>
      <c r="K393" s="73">
        <v>12100</v>
      </c>
      <c r="L393" s="47">
        <v>72100</v>
      </c>
      <c r="M393" s="47">
        <v>9256</v>
      </c>
    </row>
    <row r="394" spans="1:13" ht="19.5" thickBot="1" x14ac:dyDescent="0.35">
      <c r="A394" s="59"/>
      <c r="B394" s="61" t="s">
        <v>3450</v>
      </c>
      <c r="C394" s="62">
        <f>SUBTOTAL(103,Table1[Library Class])</f>
        <v>390</v>
      </c>
      <c r="D394" s="60"/>
      <c r="E394" s="63" t="s">
        <v>3451</v>
      </c>
      <c r="F394" s="64">
        <f>SUBTOTAL(109,Table1[Number of Central Libraries])</f>
        <v>387</v>
      </c>
      <c r="G394" s="64">
        <f>SUBTOTAL(109,Table1[Number of Branch Libraries])</f>
        <v>254</v>
      </c>
      <c r="H394" s="64">
        <f>SUBTOTAL(109,Table1[Number of Bookmobiles])</f>
        <v>10</v>
      </c>
      <c r="I394" s="64">
        <f>SUBTOTAL(109,Table1[Total Number of Outlets])</f>
        <v>651</v>
      </c>
      <c r="J394" s="64">
        <f>SUBTOTAL(109,Table1[Central Library(ies) Square Feet])</f>
        <v>6408629</v>
      </c>
      <c r="K394" s="64">
        <f>SUBTOTAL(109,Table1[Branch(es) Square Feet])</f>
        <v>1601846</v>
      </c>
      <c r="L394" s="64">
        <f>SUBTOTAL(109,Table1[Total Square Feet])</f>
        <v>8010475</v>
      </c>
      <c r="M394" s="65">
        <f>SUBTOTAL(109,Table1[Total Annual Public Service Hours])</f>
        <v>1453846</v>
      </c>
    </row>
    <row r="395" spans="1:13" ht="19.5" thickBot="1" x14ac:dyDescent="0.35">
      <c r="E395" s="66" t="s">
        <v>3452</v>
      </c>
      <c r="F395" s="67"/>
      <c r="G395" s="67"/>
      <c r="H395" s="67"/>
      <c r="I395" s="67"/>
      <c r="J395" s="68">
        <f>SUBTOTAL(101,Table1[Central Library(ies) Square Feet])</f>
        <v>16432.382051282053</v>
      </c>
      <c r="K395" s="67"/>
      <c r="L395" s="68">
        <f>SUBTOTAL(101,Table1[Total Square Feet])</f>
        <v>20539.679487179488</v>
      </c>
      <c r="M395" s="69">
        <f>SUBTOTAL(101,Table1[Total Annual Public Service Hours])</f>
        <v>3727.8102564102564</v>
      </c>
    </row>
    <row r="396" spans="1:13" x14ac:dyDescent="0.25">
      <c r="G396" s="104"/>
      <c r="H396" s="104"/>
      <c r="I396" s="104"/>
      <c r="J396" s="104"/>
      <c r="K396" s="104"/>
      <c r="L396" s="104"/>
      <c r="M396" s="104"/>
    </row>
  </sheetData>
  <hyperlinks>
    <hyperlink ref="G1" location="'Table of Contents'!A1" display="Return to Table of Contents" xr:uid="{E5D83155-A681-4889-A407-D514D5DADD2A}"/>
  </hyperlinks>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2C5C8-2C28-442F-8130-4F4EAC469E66}">
  <sheetPr>
    <tabColor theme="3" tint="0.59999389629810485"/>
  </sheetPr>
  <dimension ref="A1:Q400"/>
  <sheetViews>
    <sheetView workbookViewId="0">
      <pane ySplit="3" topLeftCell="A4" activePane="bottomLeft" state="frozen"/>
      <selection pane="bottomLeft" activeCell="B4" sqref="B4"/>
    </sheetView>
  </sheetViews>
  <sheetFormatPr defaultRowHeight="15" x14ac:dyDescent="0.25"/>
  <cols>
    <col min="1" max="1" width="11" customWidth="1"/>
    <col min="2" max="2" width="43.42578125" customWidth="1"/>
    <col min="3" max="3" width="25.85546875" bestFit="1" customWidth="1"/>
    <col min="4" max="17" width="12.7109375" customWidth="1"/>
    <col min="18" max="18" width="43.85546875" bestFit="1" customWidth="1"/>
  </cols>
  <sheetData>
    <row r="1" spans="1:17" ht="19.5" thickBot="1" x14ac:dyDescent="0.35">
      <c r="A1" s="70" t="s">
        <v>3447</v>
      </c>
      <c r="B1" s="71"/>
      <c r="C1" s="54" t="s">
        <v>2</v>
      </c>
      <c r="F1" s="55" t="s">
        <v>13</v>
      </c>
    </row>
    <row r="3" spans="1:17" s="39" customFormat="1" ht="78" thickBot="1" x14ac:dyDescent="0.3">
      <c r="A3" s="57" t="s">
        <v>784</v>
      </c>
      <c r="B3" s="57" t="s">
        <v>785</v>
      </c>
      <c r="C3" s="57" t="s">
        <v>786</v>
      </c>
      <c r="D3" s="57" t="s">
        <v>1604</v>
      </c>
      <c r="E3" s="57" t="s">
        <v>1605</v>
      </c>
      <c r="F3" s="57" t="s">
        <v>1606</v>
      </c>
      <c r="G3" s="57" t="s">
        <v>1607</v>
      </c>
      <c r="H3" s="57" t="s">
        <v>1608</v>
      </c>
      <c r="I3" s="57" t="s">
        <v>1609</v>
      </c>
      <c r="J3" s="57" t="s">
        <v>1610</v>
      </c>
      <c r="K3" s="57" t="s">
        <v>1611</v>
      </c>
      <c r="L3" s="57" t="s">
        <v>1612</v>
      </c>
      <c r="M3" s="57" t="s">
        <v>3483</v>
      </c>
      <c r="N3" s="57" t="s">
        <v>1613</v>
      </c>
      <c r="O3" s="57" t="s">
        <v>1614</v>
      </c>
      <c r="P3" s="57" t="s">
        <v>1615</v>
      </c>
      <c r="Q3" s="57" t="s">
        <v>1616</v>
      </c>
    </row>
    <row r="4" spans="1:17" ht="15.75" thickBot="1" x14ac:dyDescent="0.3">
      <c r="A4" s="44" t="s">
        <v>815</v>
      </c>
      <c r="B4" s="45" t="s">
        <v>816</v>
      </c>
      <c r="C4" s="44" t="s">
        <v>817</v>
      </c>
      <c r="D4" s="47">
        <v>1285</v>
      </c>
      <c r="E4" s="47">
        <v>12964</v>
      </c>
      <c r="F4" s="47">
        <v>1038</v>
      </c>
      <c r="G4" s="47">
        <v>1666</v>
      </c>
      <c r="H4" s="47">
        <v>35</v>
      </c>
      <c r="I4" s="47">
        <v>3</v>
      </c>
      <c r="J4" s="47">
        <v>15819</v>
      </c>
      <c r="K4" s="47">
        <v>37657</v>
      </c>
      <c r="L4" s="47">
        <v>199</v>
      </c>
      <c r="M4" s="47">
        <f t="shared" ref="M4:M16" si="0">J4+K4+L4</f>
        <v>53675</v>
      </c>
      <c r="N4" s="251">
        <f t="shared" ref="N4:N16" si="1">E4+F4+G4+J4+K4+L4</f>
        <v>69343</v>
      </c>
      <c r="O4" s="53">
        <f t="shared" ref="O4:O16" si="2">(J4+K4+L4)/D4</f>
        <v>41.7704280155642</v>
      </c>
      <c r="P4" s="72">
        <f t="shared" ref="P4:P67" si="3">(E4+F4+G4)/D4</f>
        <v>12.192996108949416</v>
      </c>
      <c r="Q4" s="72">
        <f t="shared" ref="Q4:Q16" si="4">N4/D4</f>
        <v>53.963424124513615</v>
      </c>
    </row>
    <row r="5" spans="1:17" ht="15.75" thickBot="1" x14ac:dyDescent="0.3">
      <c r="A5" s="44" t="s">
        <v>840</v>
      </c>
      <c r="B5" s="45" t="s">
        <v>841</v>
      </c>
      <c r="C5" s="44" t="s">
        <v>817</v>
      </c>
      <c r="D5" s="47">
        <v>3248</v>
      </c>
      <c r="E5" s="47">
        <v>10188</v>
      </c>
      <c r="F5" s="47">
        <v>55</v>
      </c>
      <c r="G5" s="47">
        <v>426</v>
      </c>
      <c r="H5" s="47">
        <v>27</v>
      </c>
      <c r="I5" s="47">
        <v>2</v>
      </c>
      <c r="J5" s="47">
        <v>16451</v>
      </c>
      <c r="K5" s="47">
        <v>4218</v>
      </c>
      <c r="L5" s="47">
        <v>0</v>
      </c>
      <c r="M5" s="47">
        <f t="shared" si="0"/>
        <v>20669</v>
      </c>
      <c r="N5" s="251">
        <f t="shared" si="1"/>
        <v>31338</v>
      </c>
      <c r="O5" s="53">
        <f t="shared" si="2"/>
        <v>6.3636083743842367</v>
      </c>
      <c r="P5" s="72">
        <f t="shared" si="3"/>
        <v>3.2847906403940885</v>
      </c>
      <c r="Q5" s="72">
        <f t="shared" si="4"/>
        <v>9.6483990147783256</v>
      </c>
    </row>
    <row r="6" spans="1:17" ht="15.75" thickBot="1" x14ac:dyDescent="0.3">
      <c r="A6" s="44" t="s">
        <v>863</v>
      </c>
      <c r="B6" s="45" t="s">
        <v>864</v>
      </c>
      <c r="C6" s="44" t="s">
        <v>817</v>
      </c>
      <c r="D6" s="47">
        <v>657</v>
      </c>
      <c r="E6" s="47">
        <v>13288</v>
      </c>
      <c r="F6" s="47">
        <v>222</v>
      </c>
      <c r="G6" s="47">
        <v>1946</v>
      </c>
      <c r="H6" s="47">
        <v>20</v>
      </c>
      <c r="I6" s="47">
        <v>0</v>
      </c>
      <c r="J6" s="47">
        <v>24410</v>
      </c>
      <c r="K6" s="47">
        <v>4355</v>
      </c>
      <c r="L6" s="47">
        <v>134</v>
      </c>
      <c r="M6" s="47">
        <f t="shared" si="0"/>
        <v>28899</v>
      </c>
      <c r="N6" s="251">
        <f t="shared" si="1"/>
        <v>44355</v>
      </c>
      <c r="O6" s="53">
        <f t="shared" si="2"/>
        <v>43.986301369863014</v>
      </c>
      <c r="P6" s="72">
        <f t="shared" si="3"/>
        <v>23.525114155251142</v>
      </c>
      <c r="Q6" s="72">
        <f t="shared" si="4"/>
        <v>67.51141552511416</v>
      </c>
    </row>
    <row r="7" spans="1:17" ht="15.75" thickBot="1" x14ac:dyDescent="0.3">
      <c r="A7" s="44" t="s">
        <v>865</v>
      </c>
      <c r="B7" s="45" t="s">
        <v>866</v>
      </c>
      <c r="C7" s="44" t="s">
        <v>817</v>
      </c>
      <c r="D7" s="47">
        <v>3769</v>
      </c>
      <c r="E7" s="47">
        <v>23528</v>
      </c>
      <c r="F7" s="47">
        <v>1191</v>
      </c>
      <c r="G7" s="47">
        <v>1594</v>
      </c>
      <c r="H7" s="47">
        <v>50</v>
      </c>
      <c r="I7" s="47">
        <v>1</v>
      </c>
      <c r="J7" s="47">
        <v>23000</v>
      </c>
      <c r="K7" s="47">
        <v>11134</v>
      </c>
      <c r="L7" s="47">
        <v>0</v>
      </c>
      <c r="M7" s="47">
        <f t="shared" si="0"/>
        <v>34134</v>
      </c>
      <c r="N7" s="251">
        <f t="shared" si="1"/>
        <v>60447</v>
      </c>
      <c r="O7" s="53">
        <f t="shared" si="2"/>
        <v>9.0565136641018835</v>
      </c>
      <c r="P7" s="72">
        <f t="shared" si="3"/>
        <v>6.9814274343327138</v>
      </c>
      <c r="Q7" s="72">
        <f t="shared" si="4"/>
        <v>16.037941098434597</v>
      </c>
    </row>
    <row r="8" spans="1:17" ht="15.75" thickBot="1" x14ac:dyDescent="0.3">
      <c r="A8" s="44" t="s">
        <v>869</v>
      </c>
      <c r="B8" s="45" t="s">
        <v>870</v>
      </c>
      <c r="C8" s="44" t="s">
        <v>817</v>
      </c>
      <c r="D8" s="47">
        <v>3150</v>
      </c>
      <c r="E8" s="47">
        <v>15582</v>
      </c>
      <c r="F8" s="47">
        <v>283</v>
      </c>
      <c r="G8" s="47">
        <v>80</v>
      </c>
      <c r="H8" s="47">
        <v>1</v>
      </c>
      <c r="I8" s="47">
        <v>0</v>
      </c>
      <c r="J8" s="47">
        <v>14002</v>
      </c>
      <c r="K8" s="47">
        <v>3133</v>
      </c>
      <c r="L8" s="47">
        <v>0</v>
      </c>
      <c r="M8" s="47">
        <f t="shared" si="0"/>
        <v>17135</v>
      </c>
      <c r="N8" s="251">
        <f t="shared" si="1"/>
        <v>33080</v>
      </c>
      <c r="O8" s="53">
        <f t="shared" si="2"/>
        <v>5.4396825396825399</v>
      </c>
      <c r="P8" s="72">
        <f t="shared" si="3"/>
        <v>5.0619047619047617</v>
      </c>
      <c r="Q8" s="72">
        <f t="shared" si="4"/>
        <v>10.501587301587302</v>
      </c>
    </row>
    <row r="9" spans="1:17" ht="15.75" thickBot="1" x14ac:dyDescent="0.3">
      <c r="A9" s="44" t="s">
        <v>873</v>
      </c>
      <c r="B9" s="45" t="s">
        <v>874</v>
      </c>
      <c r="C9" s="44" t="s">
        <v>817</v>
      </c>
      <c r="D9" s="47">
        <v>3811</v>
      </c>
      <c r="E9" s="47">
        <v>25476</v>
      </c>
      <c r="F9" s="47">
        <v>426</v>
      </c>
      <c r="G9" s="47">
        <v>2160</v>
      </c>
      <c r="H9" s="47">
        <v>51</v>
      </c>
      <c r="I9" s="47">
        <v>1</v>
      </c>
      <c r="J9" s="47">
        <v>23753</v>
      </c>
      <c r="K9" s="47">
        <v>4028</v>
      </c>
      <c r="L9" s="47">
        <v>312</v>
      </c>
      <c r="M9" s="47">
        <f t="shared" si="0"/>
        <v>28093</v>
      </c>
      <c r="N9" s="251">
        <f t="shared" si="1"/>
        <v>56155</v>
      </c>
      <c r="O9" s="53">
        <f t="shared" si="2"/>
        <v>7.3715560220414593</v>
      </c>
      <c r="P9" s="72">
        <f t="shared" si="3"/>
        <v>7.3634216741012857</v>
      </c>
      <c r="Q9" s="72">
        <f t="shared" si="4"/>
        <v>14.734977696142744</v>
      </c>
    </row>
    <row r="10" spans="1:17" ht="15.75" thickBot="1" x14ac:dyDescent="0.3">
      <c r="A10" s="44" t="s">
        <v>875</v>
      </c>
      <c r="B10" s="45" t="s">
        <v>876</v>
      </c>
      <c r="C10" s="44" t="s">
        <v>817</v>
      </c>
      <c r="D10" s="47">
        <v>3623</v>
      </c>
      <c r="E10" s="47">
        <v>14468</v>
      </c>
      <c r="F10" s="47">
        <v>417</v>
      </c>
      <c r="G10" s="47">
        <v>1555</v>
      </c>
      <c r="H10" s="47">
        <v>11</v>
      </c>
      <c r="I10" s="47">
        <v>0</v>
      </c>
      <c r="J10" s="47">
        <v>23512</v>
      </c>
      <c r="K10" s="47">
        <v>12444</v>
      </c>
      <c r="L10" s="47">
        <v>137</v>
      </c>
      <c r="M10" s="47">
        <f t="shared" si="0"/>
        <v>36093</v>
      </c>
      <c r="N10" s="251">
        <f t="shared" si="1"/>
        <v>52533</v>
      </c>
      <c r="O10" s="53">
        <f t="shared" si="2"/>
        <v>9.9621860336737509</v>
      </c>
      <c r="P10" s="72">
        <f t="shared" si="3"/>
        <v>4.5376759591498761</v>
      </c>
      <c r="Q10" s="72">
        <f t="shared" si="4"/>
        <v>14.499861992823627</v>
      </c>
    </row>
    <row r="11" spans="1:17" ht="15.75" thickBot="1" x14ac:dyDescent="0.3">
      <c r="A11" s="44" t="s">
        <v>883</v>
      </c>
      <c r="B11" s="45" t="s">
        <v>884</v>
      </c>
      <c r="C11" s="44" t="s">
        <v>817</v>
      </c>
      <c r="D11" s="47">
        <v>2937</v>
      </c>
      <c r="E11" s="47">
        <v>6451</v>
      </c>
      <c r="F11" s="47">
        <v>303</v>
      </c>
      <c r="G11" s="47">
        <v>768</v>
      </c>
      <c r="H11" s="47">
        <v>12</v>
      </c>
      <c r="I11" s="47">
        <v>0</v>
      </c>
      <c r="J11" s="47">
        <v>24404</v>
      </c>
      <c r="K11" s="47">
        <v>12805</v>
      </c>
      <c r="L11" s="47">
        <v>137</v>
      </c>
      <c r="M11" s="47">
        <f t="shared" si="0"/>
        <v>37346</v>
      </c>
      <c r="N11" s="251">
        <f t="shared" si="1"/>
        <v>44868</v>
      </c>
      <c r="O11" s="53">
        <f t="shared" si="2"/>
        <v>12.715696288729996</v>
      </c>
      <c r="P11" s="72">
        <f t="shared" si="3"/>
        <v>2.5611167858358868</v>
      </c>
      <c r="Q11" s="72">
        <f t="shared" si="4"/>
        <v>15.276813074565883</v>
      </c>
    </row>
    <row r="12" spans="1:17" ht="15.75" thickBot="1" x14ac:dyDescent="0.3">
      <c r="A12" s="44" t="s">
        <v>915</v>
      </c>
      <c r="B12" s="45" t="s">
        <v>916</v>
      </c>
      <c r="C12" s="44" t="s">
        <v>817</v>
      </c>
      <c r="D12" s="47">
        <v>2611</v>
      </c>
      <c r="E12" s="47">
        <v>17091</v>
      </c>
      <c r="F12" s="47">
        <v>300</v>
      </c>
      <c r="G12" s="47">
        <v>400</v>
      </c>
      <c r="H12" s="47">
        <v>34</v>
      </c>
      <c r="I12" s="47">
        <v>0</v>
      </c>
      <c r="J12" s="47">
        <v>0</v>
      </c>
      <c r="K12" s="47">
        <v>0</v>
      </c>
      <c r="L12" s="47">
        <v>0</v>
      </c>
      <c r="M12" s="47">
        <f t="shared" si="0"/>
        <v>0</v>
      </c>
      <c r="N12" s="251">
        <f t="shared" si="1"/>
        <v>17791</v>
      </c>
      <c r="O12" s="53">
        <f t="shared" si="2"/>
        <v>0</v>
      </c>
      <c r="P12" s="72">
        <f t="shared" si="3"/>
        <v>6.8138644197625426</v>
      </c>
      <c r="Q12" s="72">
        <f t="shared" si="4"/>
        <v>6.8138644197625426</v>
      </c>
    </row>
    <row r="13" spans="1:17" ht="15.75" thickBot="1" x14ac:dyDescent="0.3">
      <c r="A13" s="44" t="s">
        <v>929</v>
      </c>
      <c r="B13" s="45" t="s">
        <v>930</v>
      </c>
      <c r="C13" s="44" t="s">
        <v>817</v>
      </c>
      <c r="D13" s="47">
        <v>722</v>
      </c>
      <c r="E13" s="47">
        <v>12988</v>
      </c>
      <c r="F13" s="47">
        <v>100</v>
      </c>
      <c r="G13" s="47">
        <v>899</v>
      </c>
      <c r="H13" s="47">
        <v>10</v>
      </c>
      <c r="I13" s="47">
        <v>0</v>
      </c>
      <c r="J13" s="47">
        <v>8249</v>
      </c>
      <c r="K13" s="47">
        <v>3347</v>
      </c>
      <c r="L13" s="47">
        <v>285</v>
      </c>
      <c r="M13" s="47">
        <f t="shared" si="0"/>
        <v>11881</v>
      </c>
      <c r="N13" s="251">
        <f t="shared" si="1"/>
        <v>25868</v>
      </c>
      <c r="O13" s="53">
        <f t="shared" si="2"/>
        <v>16.455678670360111</v>
      </c>
      <c r="P13" s="72">
        <f t="shared" si="3"/>
        <v>19.372576177285318</v>
      </c>
      <c r="Q13" s="72">
        <f t="shared" si="4"/>
        <v>35.828254847645432</v>
      </c>
    </row>
    <row r="14" spans="1:17" ht="15.75" thickBot="1" x14ac:dyDescent="0.3">
      <c r="A14" s="44" t="s">
        <v>939</v>
      </c>
      <c r="B14" s="45" t="s">
        <v>940</v>
      </c>
      <c r="C14" s="44" t="s">
        <v>817</v>
      </c>
      <c r="D14" s="47">
        <v>3995</v>
      </c>
      <c r="E14" s="47">
        <v>21963</v>
      </c>
      <c r="F14" s="47">
        <v>1645</v>
      </c>
      <c r="G14" s="47">
        <v>1238</v>
      </c>
      <c r="H14" s="47">
        <v>168</v>
      </c>
      <c r="I14" s="47">
        <v>0</v>
      </c>
      <c r="J14" s="47">
        <v>20147</v>
      </c>
      <c r="K14" s="47">
        <v>3092</v>
      </c>
      <c r="L14" s="47">
        <v>134</v>
      </c>
      <c r="M14" s="47">
        <f t="shared" si="0"/>
        <v>23373</v>
      </c>
      <c r="N14" s="251">
        <f t="shared" si="1"/>
        <v>48219</v>
      </c>
      <c r="O14" s="53">
        <f t="shared" si="2"/>
        <v>5.850563204005006</v>
      </c>
      <c r="P14" s="72">
        <f t="shared" si="3"/>
        <v>6.2192740926157697</v>
      </c>
      <c r="Q14" s="72">
        <f t="shared" si="4"/>
        <v>12.069837296620776</v>
      </c>
    </row>
    <row r="15" spans="1:17" ht="15.75" thickBot="1" x14ac:dyDescent="0.3">
      <c r="A15" s="44" t="s">
        <v>947</v>
      </c>
      <c r="B15" s="45" t="s">
        <v>948</v>
      </c>
      <c r="C15" s="44" t="s">
        <v>817</v>
      </c>
      <c r="D15" s="47">
        <v>1854</v>
      </c>
      <c r="E15" s="47">
        <v>34871</v>
      </c>
      <c r="F15" s="47">
        <v>351</v>
      </c>
      <c r="G15" s="47">
        <v>877</v>
      </c>
      <c r="H15" s="47">
        <v>10</v>
      </c>
      <c r="I15" s="47">
        <v>0</v>
      </c>
      <c r="J15" s="47">
        <v>0</v>
      </c>
      <c r="K15" s="47">
        <v>0</v>
      </c>
      <c r="L15" s="47">
        <v>0</v>
      </c>
      <c r="M15" s="47">
        <f t="shared" si="0"/>
        <v>0</v>
      </c>
      <c r="N15" s="251">
        <f t="shared" si="1"/>
        <v>36099</v>
      </c>
      <c r="O15" s="53">
        <f t="shared" si="2"/>
        <v>0</v>
      </c>
      <c r="P15" s="72">
        <f t="shared" si="3"/>
        <v>19.470873786407768</v>
      </c>
      <c r="Q15" s="72">
        <f t="shared" si="4"/>
        <v>19.470873786407768</v>
      </c>
    </row>
    <row r="16" spans="1:17" ht="15.75" thickBot="1" x14ac:dyDescent="0.3">
      <c r="A16" s="44" t="s">
        <v>959</v>
      </c>
      <c r="B16" s="45" t="s">
        <v>960</v>
      </c>
      <c r="C16" s="44" t="s">
        <v>817</v>
      </c>
      <c r="D16" s="47">
        <v>3604</v>
      </c>
      <c r="E16" s="47">
        <v>40636</v>
      </c>
      <c r="F16" s="47">
        <v>1681</v>
      </c>
      <c r="G16" s="47">
        <v>3188</v>
      </c>
      <c r="H16" s="47">
        <v>60</v>
      </c>
      <c r="I16" s="47">
        <v>3</v>
      </c>
      <c r="J16" s="47">
        <v>9796</v>
      </c>
      <c r="K16" s="47">
        <v>3942</v>
      </c>
      <c r="L16" s="47">
        <v>0</v>
      </c>
      <c r="M16" s="47">
        <f t="shared" si="0"/>
        <v>13738</v>
      </c>
      <c r="N16" s="251">
        <f t="shared" si="1"/>
        <v>59243</v>
      </c>
      <c r="O16" s="53">
        <f t="shared" si="2"/>
        <v>3.8118756936736959</v>
      </c>
      <c r="P16" s="72">
        <f t="shared" si="3"/>
        <v>12.626248612652608</v>
      </c>
      <c r="Q16" s="72">
        <f t="shared" si="4"/>
        <v>16.438124306326305</v>
      </c>
    </row>
    <row r="17" spans="1:17" ht="15.75" thickBot="1" x14ac:dyDescent="0.3">
      <c r="A17" s="122" t="s">
        <v>967</v>
      </c>
      <c r="B17" s="248" t="s">
        <v>968</v>
      </c>
      <c r="C17" s="122" t="s">
        <v>817</v>
      </c>
      <c r="D17" s="249">
        <v>3803</v>
      </c>
      <c r="E17" s="249">
        <v>22965</v>
      </c>
      <c r="F17" s="249">
        <v>1084</v>
      </c>
      <c r="G17" s="249">
        <v>1408</v>
      </c>
      <c r="H17" s="249">
        <v>8</v>
      </c>
      <c r="I17" s="249">
        <v>0</v>
      </c>
      <c r="J17" s="249" t="s">
        <v>3479</v>
      </c>
      <c r="K17" s="249" t="s">
        <v>3479</v>
      </c>
      <c r="L17" s="249" t="s">
        <v>3479</v>
      </c>
      <c r="M17" s="249" t="s">
        <v>3479</v>
      </c>
      <c r="N17" s="249" t="s">
        <v>3480</v>
      </c>
      <c r="O17" s="250" t="s">
        <v>3480</v>
      </c>
      <c r="P17" s="72">
        <f t="shared" si="3"/>
        <v>6.6939258480147252</v>
      </c>
      <c r="Q17" s="249" t="s">
        <v>3480</v>
      </c>
    </row>
    <row r="18" spans="1:17" ht="15.75" thickBot="1" x14ac:dyDescent="0.3">
      <c r="A18" s="44" t="s">
        <v>969</v>
      </c>
      <c r="B18" s="45" t="s">
        <v>970</v>
      </c>
      <c r="C18" s="44" t="s">
        <v>817</v>
      </c>
      <c r="D18" s="47">
        <v>2373</v>
      </c>
      <c r="E18" s="47">
        <v>14465</v>
      </c>
      <c r="F18" s="47">
        <v>210</v>
      </c>
      <c r="G18" s="47">
        <v>2117</v>
      </c>
      <c r="H18" s="47">
        <v>9</v>
      </c>
      <c r="I18" s="47">
        <v>1</v>
      </c>
      <c r="J18" s="47">
        <v>8438</v>
      </c>
      <c r="K18" s="47">
        <v>3457</v>
      </c>
      <c r="L18" s="47">
        <v>0</v>
      </c>
      <c r="M18" s="47">
        <f>J18+K18+L18</f>
        <v>11895</v>
      </c>
      <c r="N18" s="251">
        <f>E18+F18+G18+J18+K18+L18</f>
        <v>28687</v>
      </c>
      <c r="O18" s="53">
        <f>(J18+K18+L18)/D18</f>
        <v>5.0126422250316054</v>
      </c>
      <c r="P18" s="72">
        <f t="shared" si="3"/>
        <v>7.0762747576906868</v>
      </c>
      <c r="Q18" s="72">
        <f>N18/D18</f>
        <v>12.088916982722292</v>
      </c>
    </row>
    <row r="19" spans="1:17" ht="15.75" thickBot="1" x14ac:dyDescent="0.3">
      <c r="A19" s="122" t="s">
        <v>985</v>
      </c>
      <c r="B19" s="248" t="s">
        <v>986</v>
      </c>
      <c r="C19" s="122" t="s">
        <v>817</v>
      </c>
      <c r="D19" s="249">
        <v>3953</v>
      </c>
      <c r="E19" s="249">
        <v>23169</v>
      </c>
      <c r="F19" s="249">
        <v>963</v>
      </c>
      <c r="G19" s="249">
        <v>1705</v>
      </c>
      <c r="H19" s="249">
        <v>22</v>
      </c>
      <c r="I19" s="249">
        <v>0</v>
      </c>
      <c r="J19" s="249" t="s">
        <v>3479</v>
      </c>
      <c r="K19" s="249" t="s">
        <v>3479</v>
      </c>
      <c r="L19" s="249" t="s">
        <v>3479</v>
      </c>
      <c r="M19" s="249" t="s">
        <v>3479</v>
      </c>
      <c r="N19" s="249" t="s">
        <v>3480</v>
      </c>
      <c r="O19" s="250" t="s">
        <v>3480</v>
      </c>
      <c r="P19" s="72">
        <f t="shared" si="3"/>
        <v>6.5360485707057929</v>
      </c>
      <c r="Q19" s="249" t="s">
        <v>3480</v>
      </c>
    </row>
    <row r="20" spans="1:17" ht="15.75" thickBot="1" x14ac:dyDescent="0.3">
      <c r="A20" s="44" t="s">
        <v>987</v>
      </c>
      <c r="B20" s="45" t="s">
        <v>988</v>
      </c>
      <c r="C20" s="44" t="s">
        <v>817</v>
      </c>
      <c r="D20" s="47">
        <v>3228</v>
      </c>
      <c r="E20" s="47">
        <v>11667</v>
      </c>
      <c r="F20" s="47">
        <v>996</v>
      </c>
      <c r="G20" s="47">
        <v>1592</v>
      </c>
      <c r="H20" s="47">
        <v>343</v>
      </c>
      <c r="I20" s="47">
        <v>0</v>
      </c>
      <c r="J20" s="47">
        <v>10992</v>
      </c>
      <c r="K20" s="47">
        <v>3736</v>
      </c>
      <c r="L20" s="47">
        <v>0</v>
      </c>
      <c r="M20" s="47">
        <f t="shared" ref="M20:M51" si="5">J20+K20+L20</f>
        <v>14728</v>
      </c>
      <c r="N20" s="251">
        <f t="shared" ref="N20:N51" si="6">E20+F20+G20+J20+K20+L20</f>
        <v>28983</v>
      </c>
      <c r="O20" s="53">
        <f t="shared" ref="O20:O51" si="7">(J20+K20+L20)/D20</f>
        <v>4.5625774473358121</v>
      </c>
      <c r="P20" s="72">
        <f t="shared" si="3"/>
        <v>4.4160470879801732</v>
      </c>
      <c r="Q20" s="72">
        <f t="shared" ref="Q20:Q51" si="8">N20/D20</f>
        <v>8.9786245353159853</v>
      </c>
    </row>
    <row r="21" spans="1:17" ht="15.75" thickBot="1" x14ac:dyDescent="0.3">
      <c r="A21" s="44" t="s">
        <v>989</v>
      </c>
      <c r="B21" s="45" t="s">
        <v>990</v>
      </c>
      <c r="C21" s="44" t="s">
        <v>817</v>
      </c>
      <c r="D21" s="47">
        <v>3453</v>
      </c>
      <c r="E21" s="47">
        <v>12053</v>
      </c>
      <c r="F21" s="47">
        <v>2184</v>
      </c>
      <c r="G21" s="47">
        <v>3417</v>
      </c>
      <c r="H21" s="47">
        <v>97</v>
      </c>
      <c r="I21" s="47">
        <v>1</v>
      </c>
      <c r="J21" s="47">
        <v>8012</v>
      </c>
      <c r="K21" s="47">
        <v>3347</v>
      </c>
      <c r="L21" s="47">
        <v>285</v>
      </c>
      <c r="M21" s="47">
        <f t="shared" si="5"/>
        <v>11644</v>
      </c>
      <c r="N21" s="251">
        <f t="shared" si="6"/>
        <v>29298</v>
      </c>
      <c r="O21" s="53">
        <f t="shared" si="7"/>
        <v>3.3721401679698815</v>
      </c>
      <c r="P21" s="72">
        <f t="shared" si="3"/>
        <v>5.1126556617434114</v>
      </c>
      <c r="Q21" s="72">
        <f t="shared" si="8"/>
        <v>8.4847958297132919</v>
      </c>
    </row>
    <row r="22" spans="1:17" ht="15.75" thickBot="1" x14ac:dyDescent="0.3">
      <c r="A22" s="44" t="s">
        <v>991</v>
      </c>
      <c r="B22" s="45" t="s">
        <v>992</v>
      </c>
      <c r="C22" s="44" t="s">
        <v>817</v>
      </c>
      <c r="D22" s="47">
        <v>1236</v>
      </c>
      <c r="E22" s="47">
        <v>13765</v>
      </c>
      <c r="F22" s="47">
        <v>595</v>
      </c>
      <c r="G22" s="47">
        <v>1927</v>
      </c>
      <c r="H22" s="47">
        <v>1</v>
      </c>
      <c r="I22" s="47">
        <v>0</v>
      </c>
      <c r="J22" s="47">
        <v>8949</v>
      </c>
      <c r="K22" s="47">
        <v>3524</v>
      </c>
      <c r="L22" s="47">
        <v>385</v>
      </c>
      <c r="M22" s="47">
        <f t="shared" si="5"/>
        <v>12858</v>
      </c>
      <c r="N22" s="251">
        <f t="shared" si="6"/>
        <v>29145</v>
      </c>
      <c r="O22" s="53">
        <f t="shared" si="7"/>
        <v>10.402912621359222</v>
      </c>
      <c r="P22" s="72">
        <f t="shared" si="3"/>
        <v>13.177184466019417</v>
      </c>
      <c r="Q22" s="72">
        <f t="shared" si="8"/>
        <v>23.58009708737864</v>
      </c>
    </row>
    <row r="23" spans="1:17" ht="15.75" thickBot="1" x14ac:dyDescent="0.3">
      <c r="A23" s="44" t="s">
        <v>993</v>
      </c>
      <c r="B23" s="45" t="s">
        <v>994</v>
      </c>
      <c r="C23" s="44" t="s">
        <v>817</v>
      </c>
      <c r="D23" s="47">
        <v>3179</v>
      </c>
      <c r="E23" s="47">
        <v>10966</v>
      </c>
      <c r="F23" s="47">
        <v>1008</v>
      </c>
      <c r="G23" s="47">
        <v>2248</v>
      </c>
      <c r="H23" s="47">
        <v>18</v>
      </c>
      <c r="I23" s="47">
        <v>0</v>
      </c>
      <c r="J23" s="47">
        <v>20093</v>
      </c>
      <c r="K23" s="47">
        <v>3058</v>
      </c>
      <c r="L23" s="47">
        <v>134</v>
      </c>
      <c r="M23" s="47">
        <f t="shared" si="5"/>
        <v>23285</v>
      </c>
      <c r="N23" s="251">
        <f t="shared" si="6"/>
        <v>37507</v>
      </c>
      <c r="O23" s="53">
        <f t="shared" si="7"/>
        <v>7.3246303869141238</v>
      </c>
      <c r="P23" s="72">
        <f t="shared" si="3"/>
        <v>4.4737338785781695</v>
      </c>
      <c r="Q23" s="72">
        <f t="shared" si="8"/>
        <v>11.798364265492292</v>
      </c>
    </row>
    <row r="24" spans="1:17" ht="15.75" thickBot="1" x14ac:dyDescent="0.3">
      <c r="A24" s="44" t="s">
        <v>1039</v>
      </c>
      <c r="B24" s="45" t="s">
        <v>1040</v>
      </c>
      <c r="C24" s="44" t="s">
        <v>817</v>
      </c>
      <c r="D24" s="47">
        <v>2769</v>
      </c>
      <c r="E24" s="47">
        <v>16650</v>
      </c>
      <c r="F24" s="47">
        <v>165</v>
      </c>
      <c r="G24" s="47">
        <v>140</v>
      </c>
      <c r="H24" s="47">
        <v>21</v>
      </c>
      <c r="I24" s="47">
        <v>0</v>
      </c>
      <c r="J24" s="47">
        <v>0</v>
      </c>
      <c r="K24" s="47">
        <v>0</v>
      </c>
      <c r="L24" s="47">
        <v>0</v>
      </c>
      <c r="M24" s="47">
        <f t="shared" si="5"/>
        <v>0</v>
      </c>
      <c r="N24" s="251">
        <f t="shared" si="6"/>
        <v>16955</v>
      </c>
      <c r="O24" s="53">
        <f t="shared" si="7"/>
        <v>0</v>
      </c>
      <c r="P24" s="72">
        <f t="shared" si="3"/>
        <v>6.1231491513181657</v>
      </c>
      <c r="Q24" s="72">
        <f t="shared" si="8"/>
        <v>6.1231491513181657</v>
      </c>
    </row>
    <row r="25" spans="1:17" ht="15.75" thickBot="1" x14ac:dyDescent="0.3">
      <c r="A25" s="44" t="s">
        <v>1041</v>
      </c>
      <c r="B25" s="45" t="s">
        <v>1042</v>
      </c>
      <c r="C25" s="44" t="s">
        <v>817</v>
      </c>
      <c r="D25" s="47">
        <v>3738</v>
      </c>
      <c r="E25" s="47">
        <v>25115</v>
      </c>
      <c r="F25" s="47">
        <v>67</v>
      </c>
      <c r="G25" s="47">
        <v>2542</v>
      </c>
      <c r="H25" s="47">
        <v>85</v>
      </c>
      <c r="I25" s="47">
        <v>0</v>
      </c>
      <c r="J25" s="47">
        <v>46</v>
      </c>
      <c r="K25" s="47">
        <v>0</v>
      </c>
      <c r="L25" s="47">
        <v>0</v>
      </c>
      <c r="M25" s="47">
        <f t="shared" si="5"/>
        <v>46</v>
      </c>
      <c r="N25" s="251">
        <f t="shared" si="6"/>
        <v>27770</v>
      </c>
      <c r="O25" s="53">
        <f t="shared" si="7"/>
        <v>1.2306046013911182E-2</v>
      </c>
      <c r="P25" s="72">
        <f t="shared" si="3"/>
        <v>7.4168004280363835</v>
      </c>
      <c r="Q25" s="72">
        <f t="shared" si="8"/>
        <v>7.4291064740502941</v>
      </c>
    </row>
    <row r="26" spans="1:17" ht="15.75" thickBot="1" x14ac:dyDescent="0.3">
      <c r="A26" s="44" t="s">
        <v>1049</v>
      </c>
      <c r="B26" s="45" t="s">
        <v>1050</v>
      </c>
      <c r="C26" s="44" t="s">
        <v>817</v>
      </c>
      <c r="D26" s="47">
        <v>3112</v>
      </c>
      <c r="E26" s="47">
        <v>19882</v>
      </c>
      <c r="F26" s="47">
        <v>0</v>
      </c>
      <c r="G26" s="47">
        <v>3953</v>
      </c>
      <c r="H26" s="47">
        <v>6</v>
      </c>
      <c r="I26" s="47">
        <v>2</v>
      </c>
      <c r="J26" s="47">
        <v>8438</v>
      </c>
      <c r="K26" s="47">
        <v>3457</v>
      </c>
      <c r="L26" s="47">
        <v>0</v>
      </c>
      <c r="M26" s="47">
        <f t="shared" si="5"/>
        <v>11895</v>
      </c>
      <c r="N26" s="251">
        <f t="shared" si="6"/>
        <v>35730</v>
      </c>
      <c r="O26" s="53">
        <f t="shared" si="7"/>
        <v>3.8223007712082264</v>
      </c>
      <c r="P26" s="72">
        <f t="shared" si="3"/>
        <v>7.6590616966580978</v>
      </c>
      <c r="Q26" s="72">
        <f t="shared" si="8"/>
        <v>11.481362467866324</v>
      </c>
    </row>
    <row r="27" spans="1:17" ht="15.75" thickBot="1" x14ac:dyDescent="0.3">
      <c r="A27" s="44" t="s">
        <v>1057</v>
      </c>
      <c r="B27" s="45" t="s">
        <v>1058</v>
      </c>
      <c r="C27" s="44" t="s">
        <v>817</v>
      </c>
      <c r="D27" s="47">
        <v>2791</v>
      </c>
      <c r="E27" s="47">
        <v>16189</v>
      </c>
      <c r="F27" s="47">
        <v>401</v>
      </c>
      <c r="G27" s="47">
        <v>2140</v>
      </c>
      <c r="H27" s="47">
        <v>23</v>
      </c>
      <c r="I27" s="47">
        <v>0</v>
      </c>
      <c r="J27" s="47">
        <v>0</v>
      </c>
      <c r="K27" s="47">
        <v>0</v>
      </c>
      <c r="L27" s="47">
        <v>0</v>
      </c>
      <c r="M27" s="47">
        <f t="shared" si="5"/>
        <v>0</v>
      </c>
      <c r="N27" s="251">
        <f t="shared" si="6"/>
        <v>18730</v>
      </c>
      <c r="O27" s="53">
        <f t="shared" si="7"/>
        <v>0</v>
      </c>
      <c r="P27" s="72">
        <f t="shared" si="3"/>
        <v>6.7108563238982439</v>
      </c>
      <c r="Q27" s="72">
        <f t="shared" si="8"/>
        <v>6.7108563238982439</v>
      </c>
    </row>
    <row r="28" spans="1:17" ht="15.75" thickBot="1" x14ac:dyDescent="0.3">
      <c r="A28" s="44" t="s">
        <v>1071</v>
      </c>
      <c r="B28" s="45" t="s">
        <v>1072</v>
      </c>
      <c r="C28" s="44" t="s">
        <v>817</v>
      </c>
      <c r="D28" s="47">
        <v>3150</v>
      </c>
      <c r="E28" s="47">
        <v>11798</v>
      </c>
      <c r="F28" s="47">
        <v>699</v>
      </c>
      <c r="G28" s="47">
        <v>1542</v>
      </c>
      <c r="H28" s="47">
        <v>45</v>
      </c>
      <c r="I28" s="47">
        <v>0</v>
      </c>
      <c r="J28" s="47">
        <v>45014</v>
      </c>
      <c r="K28" s="47">
        <v>11772</v>
      </c>
      <c r="L28" s="47">
        <v>784</v>
      </c>
      <c r="M28" s="47">
        <f t="shared" si="5"/>
        <v>57570</v>
      </c>
      <c r="N28" s="251">
        <f t="shared" si="6"/>
        <v>71609</v>
      </c>
      <c r="O28" s="53">
        <f t="shared" si="7"/>
        <v>18.276190476190475</v>
      </c>
      <c r="P28" s="72">
        <f t="shared" si="3"/>
        <v>4.4568253968253968</v>
      </c>
      <c r="Q28" s="72">
        <f t="shared" si="8"/>
        <v>22.733015873015873</v>
      </c>
    </row>
    <row r="29" spans="1:17" ht="15.75" thickBot="1" x14ac:dyDescent="0.3">
      <c r="A29" s="44" t="s">
        <v>1083</v>
      </c>
      <c r="B29" s="45" t="s">
        <v>1084</v>
      </c>
      <c r="C29" s="44" t="s">
        <v>817</v>
      </c>
      <c r="D29" s="47">
        <v>3043</v>
      </c>
      <c r="E29" s="47">
        <v>37429</v>
      </c>
      <c r="F29" s="47">
        <v>771</v>
      </c>
      <c r="G29" s="47">
        <v>2025</v>
      </c>
      <c r="H29" s="47">
        <v>34</v>
      </c>
      <c r="I29" s="47">
        <v>1</v>
      </c>
      <c r="J29" s="47">
        <v>15909</v>
      </c>
      <c r="K29" s="47">
        <v>3196</v>
      </c>
      <c r="L29" s="47">
        <v>246</v>
      </c>
      <c r="M29" s="47">
        <f t="shared" si="5"/>
        <v>19351</v>
      </c>
      <c r="N29" s="251">
        <f t="shared" si="6"/>
        <v>59576</v>
      </c>
      <c r="O29" s="53">
        <f t="shared" si="7"/>
        <v>6.3591850147880384</v>
      </c>
      <c r="P29" s="72">
        <f t="shared" si="3"/>
        <v>13.218862964180085</v>
      </c>
      <c r="Q29" s="72">
        <f t="shared" si="8"/>
        <v>19.578047978968122</v>
      </c>
    </row>
    <row r="30" spans="1:17" ht="15.75" thickBot="1" x14ac:dyDescent="0.3">
      <c r="A30" s="44" t="s">
        <v>1091</v>
      </c>
      <c r="B30" s="45" t="s">
        <v>1092</v>
      </c>
      <c r="C30" s="44" t="s">
        <v>817</v>
      </c>
      <c r="D30" s="47">
        <v>2047</v>
      </c>
      <c r="E30" s="47">
        <v>11595</v>
      </c>
      <c r="F30" s="47">
        <v>148</v>
      </c>
      <c r="G30" s="47">
        <v>710</v>
      </c>
      <c r="H30" s="47">
        <v>2</v>
      </c>
      <c r="I30" s="47">
        <v>0</v>
      </c>
      <c r="J30" s="47">
        <v>0</v>
      </c>
      <c r="K30" s="47">
        <v>0</v>
      </c>
      <c r="L30" s="47">
        <v>0</v>
      </c>
      <c r="M30" s="47">
        <f t="shared" si="5"/>
        <v>0</v>
      </c>
      <c r="N30" s="251">
        <f t="shared" si="6"/>
        <v>12453</v>
      </c>
      <c r="O30" s="53">
        <f t="shared" si="7"/>
        <v>0</v>
      </c>
      <c r="P30" s="72">
        <f t="shared" si="3"/>
        <v>6.0835368832437711</v>
      </c>
      <c r="Q30" s="72">
        <f t="shared" si="8"/>
        <v>6.0835368832437711</v>
      </c>
    </row>
    <row r="31" spans="1:17" ht="15.75" thickBot="1" x14ac:dyDescent="0.3">
      <c r="A31" s="44" t="s">
        <v>1099</v>
      </c>
      <c r="B31" s="45" t="s">
        <v>1100</v>
      </c>
      <c r="C31" s="44" t="s">
        <v>817</v>
      </c>
      <c r="D31" s="47">
        <v>3650</v>
      </c>
      <c r="E31" s="47">
        <v>23000</v>
      </c>
      <c r="F31" s="47">
        <v>3750</v>
      </c>
      <c r="G31" s="47">
        <v>4500</v>
      </c>
      <c r="H31" s="47">
        <v>50</v>
      </c>
      <c r="I31" s="47">
        <v>4</v>
      </c>
      <c r="J31" s="47">
        <v>26400</v>
      </c>
      <c r="K31" s="47">
        <v>4500</v>
      </c>
      <c r="L31" s="47">
        <v>30200</v>
      </c>
      <c r="M31" s="47">
        <f t="shared" si="5"/>
        <v>61100</v>
      </c>
      <c r="N31" s="251">
        <f t="shared" si="6"/>
        <v>92350</v>
      </c>
      <c r="O31" s="53">
        <f t="shared" si="7"/>
        <v>16.739726027397261</v>
      </c>
      <c r="P31" s="72">
        <f t="shared" si="3"/>
        <v>8.5616438356164384</v>
      </c>
      <c r="Q31" s="72">
        <f t="shared" si="8"/>
        <v>25.301369863013697</v>
      </c>
    </row>
    <row r="32" spans="1:17" ht="15.75" thickBot="1" x14ac:dyDescent="0.3">
      <c r="A32" s="44" t="s">
        <v>1101</v>
      </c>
      <c r="B32" s="45" t="s">
        <v>1102</v>
      </c>
      <c r="C32" s="44" t="s">
        <v>817</v>
      </c>
      <c r="D32" s="47">
        <v>1828</v>
      </c>
      <c r="E32" s="47">
        <v>6678</v>
      </c>
      <c r="F32" s="47">
        <v>54</v>
      </c>
      <c r="G32" s="47">
        <v>689</v>
      </c>
      <c r="H32" s="47">
        <v>2</v>
      </c>
      <c r="I32" s="47">
        <v>1</v>
      </c>
      <c r="J32" s="47">
        <v>1</v>
      </c>
      <c r="K32" s="47">
        <v>0</v>
      </c>
      <c r="L32" s="47">
        <v>0</v>
      </c>
      <c r="M32" s="47">
        <f t="shared" si="5"/>
        <v>1</v>
      </c>
      <c r="N32" s="251">
        <f t="shared" si="6"/>
        <v>7422</v>
      </c>
      <c r="O32" s="53">
        <f t="shared" si="7"/>
        <v>5.4704595185995622E-4</v>
      </c>
      <c r="P32" s="72">
        <f t="shared" si="3"/>
        <v>4.0596280087527354</v>
      </c>
      <c r="Q32" s="72">
        <f t="shared" si="8"/>
        <v>4.0601750547045956</v>
      </c>
    </row>
    <row r="33" spans="1:17" ht="15.75" thickBot="1" x14ac:dyDescent="0.3">
      <c r="A33" s="44" t="s">
        <v>1149</v>
      </c>
      <c r="B33" s="45" t="s">
        <v>1150</v>
      </c>
      <c r="C33" s="44" t="s">
        <v>817</v>
      </c>
      <c r="D33" s="47">
        <v>3926</v>
      </c>
      <c r="E33" s="47">
        <v>29868</v>
      </c>
      <c r="F33" s="47">
        <v>873</v>
      </c>
      <c r="G33" s="47">
        <v>1071</v>
      </c>
      <c r="H33" s="47">
        <v>25</v>
      </c>
      <c r="I33" s="47">
        <v>3</v>
      </c>
      <c r="J33" s="47">
        <v>15000</v>
      </c>
      <c r="K33" s="47">
        <v>0</v>
      </c>
      <c r="L33" s="47">
        <v>0</v>
      </c>
      <c r="M33" s="47">
        <f t="shared" si="5"/>
        <v>15000</v>
      </c>
      <c r="N33" s="251">
        <f t="shared" si="6"/>
        <v>46812</v>
      </c>
      <c r="O33" s="53">
        <f t="shared" si="7"/>
        <v>3.8206826286296485</v>
      </c>
      <c r="P33" s="72">
        <f t="shared" si="3"/>
        <v>8.1029037187977586</v>
      </c>
      <c r="Q33" s="72">
        <f t="shared" si="8"/>
        <v>11.923586347427406</v>
      </c>
    </row>
    <row r="34" spans="1:17" ht="15.75" thickBot="1" x14ac:dyDescent="0.3">
      <c r="A34" s="44" t="s">
        <v>1165</v>
      </c>
      <c r="B34" s="45" t="s">
        <v>1166</v>
      </c>
      <c r="C34" s="44" t="s">
        <v>817</v>
      </c>
      <c r="D34" s="47">
        <v>3038</v>
      </c>
      <c r="E34" s="47">
        <v>32989</v>
      </c>
      <c r="F34" s="47">
        <v>1050</v>
      </c>
      <c r="G34" s="47">
        <v>2476</v>
      </c>
      <c r="H34" s="47">
        <v>52</v>
      </c>
      <c r="I34" s="47">
        <v>0</v>
      </c>
      <c r="J34" s="47">
        <v>24135</v>
      </c>
      <c r="K34" s="47">
        <v>4243</v>
      </c>
      <c r="L34" s="47">
        <v>137</v>
      </c>
      <c r="M34" s="47">
        <f t="shared" si="5"/>
        <v>28515</v>
      </c>
      <c r="N34" s="251">
        <f t="shared" si="6"/>
        <v>65030</v>
      </c>
      <c r="O34" s="53">
        <f t="shared" si="7"/>
        <v>9.3861092824226464</v>
      </c>
      <c r="P34" s="72">
        <f t="shared" si="3"/>
        <v>12.019420671494403</v>
      </c>
      <c r="Q34" s="72">
        <f t="shared" si="8"/>
        <v>21.40552995391705</v>
      </c>
    </row>
    <row r="35" spans="1:17" ht="15.75" thickBot="1" x14ac:dyDescent="0.3">
      <c r="A35" s="44" t="s">
        <v>1195</v>
      </c>
      <c r="B35" s="45" t="s">
        <v>1196</v>
      </c>
      <c r="C35" s="44" t="s">
        <v>817</v>
      </c>
      <c r="D35" s="47">
        <v>3730</v>
      </c>
      <c r="E35" s="47">
        <v>14826</v>
      </c>
      <c r="F35" s="47">
        <v>46</v>
      </c>
      <c r="G35" s="47">
        <v>194</v>
      </c>
      <c r="H35" s="47">
        <v>24</v>
      </c>
      <c r="I35" s="47">
        <v>0</v>
      </c>
      <c r="J35" s="47">
        <v>8543</v>
      </c>
      <c r="K35" s="47">
        <v>3883</v>
      </c>
      <c r="L35" s="47">
        <v>285</v>
      </c>
      <c r="M35" s="47">
        <f t="shared" si="5"/>
        <v>12711</v>
      </c>
      <c r="N35" s="251">
        <f t="shared" si="6"/>
        <v>27777</v>
      </c>
      <c r="O35" s="53">
        <f t="shared" si="7"/>
        <v>3.4077747989276141</v>
      </c>
      <c r="P35" s="72">
        <f t="shared" si="3"/>
        <v>4.0391420911528151</v>
      </c>
      <c r="Q35" s="72">
        <f t="shared" si="8"/>
        <v>7.4469168900804288</v>
      </c>
    </row>
    <row r="36" spans="1:17" ht="15.75" thickBot="1" x14ac:dyDescent="0.3">
      <c r="A36" s="44" t="s">
        <v>1203</v>
      </c>
      <c r="B36" s="45" t="s">
        <v>1204</v>
      </c>
      <c r="C36" s="44" t="s">
        <v>817</v>
      </c>
      <c r="D36" s="47">
        <v>2735</v>
      </c>
      <c r="E36" s="47">
        <v>13206</v>
      </c>
      <c r="F36" s="47">
        <v>644</v>
      </c>
      <c r="G36" s="47">
        <v>2237</v>
      </c>
      <c r="H36" s="47">
        <v>15</v>
      </c>
      <c r="I36" s="47">
        <v>0</v>
      </c>
      <c r="J36" s="47">
        <v>0</v>
      </c>
      <c r="K36" s="47">
        <v>0</v>
      </c>
      <c r="L36" s="47">
        <v>0</v>
      </c>
      <c r="M36" s="47">
        <f t="shared" si="5"/>
        <v>0</v>
      </c>
      <c r="N36" s="251">
        <f t="shared" si="6"/>
        <v>16087</v>
      </c>
      <c r="O36" s="53">
        <f t="shared" si="7"/>
        <v>0</v>
      </c>
      <c r="P36" s="72">
        <f t="shared" si="3"/>
        <v>5.8819012797074954</v>
      </c>
      <c r="Q36" s="72">
        <f t="shared" si="8"/>
        <v>5.8819012797074954</v>
      </c>
    </row>
    <row r="37" spans="1:17" ht="15.75" thickBot="1" x14ac:dyDescent="0.3">
      <c r="A37" s="44" t="s">
        <v>1205</v>
      </c>
      <c r="B37" s="45" t="s">
        <v>1206</v>
      </c>
      <c r="C37" s="44" t="s">
        <v>817</v>
      </c>
      <c r="D37" s="47">
        <v>1900</v>
      </c>
      <c r="E37" s="47">
        <v>25863</v>
      </c>
      <c r="F37" s="47">
        <v>359</v>
      </c>
      <c r="G37" s="47">
        <v>1473</v>
      </c>
      <c r="H37" s="47">
        <v>34</v>
      </c>
      <c r="I37" s="47">
        <v>0</v>
      </c>
      <c r="J37" s="47">
        <v>9852</v>
      </c>
      <c r="K37" s="47">
        <v>2386</v>
      </c>
      <c r="L37" s="47">
        <v>302</v>
      </c>
      <c r="M37" s="47">
        <f t="shared" si="5"/>
        <v>12540</v>
      </c>
      <c r="N37" s="251">
        <f t="shared" si="6"/>
        <v>40235</v>
      </c>
      <c r="O37" s="53">
        <f t="shared" si="7"/>
        <v>6.6</v>
      </c>
      <c r="P37" s="72">
        <f t="shared" si="3"/>
        <v>14.576315789473684</v>
      </c>
      <c r="Q37" s="72">
        <f t="shared" si="8"/>
        <v>21.176315789473684</v>
      </c>
    </row>
    <row r="38" spans="1:17" ht="15.75" thickBot="1" x14ac:dyDescent="0.3">
      <c r="A38" s="44" t="s">
        <v>1209</v>
      </c>
      <c r="B38" s="45" t="s">
        <v>1210</v>
      </c>
      <c r="C38" s="44" t="s">
        <v>817</v>
      </c>
      <c r="D38" s="47">
        <v>2027</v>
      </c>
      <c r="E38" s="47">
        <v>16093</v>
      </c>
      <c r="F38" s="47">
        <v>2132</v>
      </c>
      <c r="G38" s="47">
        <v>2820</v>
      </c>
      <c r="H38" s="47">
        <v>65</v>
      </c>
      <c r="I38" s="47">
        <v>2</v>
      </c>
      <c r="J38" s="47">
        <v>21486</v>
      </c>
      <c r="K38" s="47">
        <v>11707</v>
      </c>
      <c r="L38" s="47">
        <v>134</v>
      </c>
      <c r="M38" s="47">
        <f t="shared" si="5"/>
        <v>33327</v>
      </c>
      <c r="N38" s="251">
        <f t="shared" si="6"/>
        <v>54372</v>
      </c>
      <c r="O38" s="53">
        <f t="shared" si="7"/>
        <v>16.441539220522941</v>
      </c>
      <c r="P38" s="72">
        <f t="shared" si="3"/>
        <v>10.382338431179083</v>
      </c>
      <c r="Q38" s="72">
        <f t="shared" si="8"/>
        <v>26.823877651702023</v>
      </c>
    </row>
    <row r="39" spans="1:17" ht="15.75" thickBot="1" x14ac:dyDescent="0.3">
      <c r="A39" s="44" t="s">
        <v>1219</v>
      </c>
      <c r="B39" s="45" t="s">
        <v>1220</v>
      </c>
      <c r="C39" s="44" t="s">
        <v>817</v>
      </c>
      <c r="D39" s="47">
        <v>2835</v>
      </c>
      <c r="E39" s="47">
        <v>20500</v>
      </c>
      <c r="F39" s="47">
        <v>45</v>
      </c>
      <c r="G39" s="47">
        <v>210</v>
      </c>
      <c r="H39" s="47">
        <v>37</v>
      </c>
      <c r="I39" s="47">
        <v>25</v>
      </c>
      <c r="J39" s="47">
        <v>25</v>
      </c>
      <c r="K39" s="47">
        <v>8450</v>
      </c>
      <c r="L39" s="47">
        <v>0</v>
      </c>
      <c r="M39" s="47">
        <f t="shared" si="5"/>
        <v>8475</v>
      </c>
      <c r="N39" s="251">
        <f t="shared" si="6"/>
        <v>29230</v>
      </c>
      <c r="O39" s="53">
        <f t="shared" si="7"/>
        <v>2.9894179894179893</v>
      </c>
      <c r="P39" s="72">
        <f t="shared" si="3"/>
        <v>7.3209876543209873</v>
      </c>
      <c r="Q39" s="72">
        <f t="shared" si="8"/>
        <v>10.310405643738978</v>
      </c>
    </row>
    <row r="40" spans="1:17" ht="15.75" thickBot="1" x14ac:dyDescent="0.3">
      <c r="A40" s="44" t="s">
        <v>1225</v>
      </c>
      <c r="B40" s="45" t="s">
        <v>1226</v>
      </c>
      <c r="C40" s="44" t="s">
        <v>817</v>
      </c>
      <c r="D40" s="47">
        <v>2372</v>
      </c>
      <c r="E40" s="47">
        <v>18413</v>
      </c>
      <c r="F40" s="47">
        <v>887</v>
      </c>
      <c r="G40" s="47">
        <v>1252</v>
      </c>
      <c r="H40" s="47">
        <v>0</v>
      </c>
      <c r="I40" s="47">
        <v>9</v>
      </c>
      <c r="J40" s="47">
        <v>0</v>
      </c>
      <c r="K40" s="47">
        <v>12506</v>
      </c>
      <c r="L40" s="47">
        <v>0</v>
      </c>
      <c r="M40" s="47">
        <f t="shared" si="5"/>
        <v>12506</v>
      </c>
      <c r="N40" s="251">
        <f t="shared" si="6"/>
        <v>33058</v>
      </c>
      <c r="O40" s="53">
        <f t="shared" si="7"/>
        <v>5.2723440134907253</v>
      </c>
      <c r="P40" s="72">
        <f t="shared" si="3"/>
        <v>8.6644182124789211</v>
      </c>
      <c r="Q40" s="72">
        <f t="shared" si="8"/>
        <v>13.936762225969646</v>
      </c>
    </row>
    <row r="41" spans="1:17" ht="15.75" thickBot="1" x14ac:dyDescent="0.3">
      <c r="A41" s="44" t="s">
        <v>1237</v>
      </c>
      <c r="B41" s="45" t="s">
        <v>1238</v>
      </c>
      <c r="C41" s="44" t="s">
        <v>817</v>
      </c>
      <c r="D41" s="47">
        <v>3667</v>
      </c>
      <c r="E41" s="47">
        <v>15050</v>
      </c>
      <c r="F41" s="47">
        <v>414</v>
      </c>
      <c r="G41" s="47">
        <v>1935</v>
      </c>
      <c r="H41" s="47">
        <v>23</v>
      </c>
      <c r="I41" s="47">
        <v>1</v>
      </c>
      <c r="J41" s="47">
        <v>0</v>
      </c>
      <c r="K41" s="47">
        <v>0</v>
      </c>
      <c r="L41" s="47">
        <v>0</v>
      </c>
      <c r="M41" s="47">
        <f t="shared" si="5"/>
        <v>0</v>
      </c>
      <c r="N41" s="251">
        <f t="shared" si="6"/>
        <v>17399</v>
      </c>
      <c r="O41" s="53">
        <f t="shared" si="7"/>
        <v>0</v>
      </c>
      <c r="P41" s="72">
        <f t="shared" si="3"/>
        <v>4.744750477229343</v>
      </c>
      <c r="Q41" s="72">
        <f t="shared" si="8"/>
        <v>4.744750477229343</v>
      </c>
    </row>
    <row r="42" spans="1:17" ht="15.75" thickBot="1" x14ac:dyDescent="0.3">
      <c r="A42" s="44" t="s">
        <v>1243</v>
      </c>
      <c r="B42" s="45" t="s">
        <v>1244</v>
      </c>
      <c r="C42" s="44" t="s">
        <v>817</v>
      </c>
      <c r="D42" s="47">
        <v>492</v>
      </c>
      <c r="E42" s="47">
        <v>14503</v>
      </c>
      <c r="F42" s="47">
        <v>255</v>
      </c>
      <c r="G42" s="47">
        <v>733</v>
      </c>
      <c r="H42" s="47">
        <v>27</v>
      </c>
      <c r="I42" s="47">
        <v>0</v>
      </c>
      <c r="J42" s="47">
        <v>8249</v>
      </c>
      <c r="K42" s="47">
        <v>3530</v>
      </c>
      <c r="L42" s="47">
        <v>264</v>
      </c>
      <c r="M42" s="47">
        <f t="shared" si="5"/>
        <v>12043</v>
      </c>
      <c r="N42" s="251">
        <f t="shared" si="6"/>
        <v>27534</v>
      </c>
      <c r="O42" s="53">
        <f t="shared" si="7"/>
        <v>24.477642276422763</v>
      </c>
      <c r="P42" s="72">
        <f t="shared" si="3"/>
        <v>31.485772357723576</v>
      </c>
      <c r="Q42" s="72">
        <f t="shared" si="8"/>
        <v>55.963414634146339</v>
      </c>
    </row>
    <row r="43" spans="1:17" ht="15.75" thickBot="1" x14ac:dyDescent="0.3">
      <c r="A43" s="44" t="s">
        <v>1259</v>
      </c>
      <c r="B43" s="45" t="s">
        <v>1260</v>
      </c>
      <c r="C43" s="44" t="s">
        <v>817</v>
      </c>
      <c r="D43" s="47">
        <v>3115</v>
      </c>
      <c r="E43" s="47">
        <v>8193</v>
      </c>
      <c r="F43" s="47">
        <v>122</v>
      </c>
      <c r="G43" s="47">
        <v>1133</v>
      </c>
      <c r="H43" s="47">
        <v>31</v>
      </c>
      <c r="I43" s="47">
        <v>0</v>
      </c>
      <c r="J43" s="47">
        <v>0</v>
      </c>
      <c r="K43" s="47">
        <v>0</v>
      </c>
      <c r="L43" s="47">
        <v>0</v>
      </c>
      <c r="M43" s="47">
        <f t="shared" si="5"/>
        <v>0</v>
      </c>
      <c r="N43" s="251">
        <f t="shared" si="6"/>
        <v>9448</v>
      </c>
      <c r="O43" s="53">
        <f t="shared" si="7"/>
        <v>0</v>
      </c>
      <c r="P43" s="72">
        <f t="shared" si="3"/>
        <v>3.0330658105939006</v>
      </c>
      <c r="Q43" s="72">
        <f t="shared" si="8"/>
        <v>3.0330658105939006</v>
      </c>
    </row>
    <row r="44" spans="1:17" ht="15.75" thickBot="1" x14ac:dyDescent="0.3">
      <c r="A44" s="44" t="s">
        <v>1275</v>
      </c>
      <c r="B44" s="45" t="s">
        <v>1276</v>
      </c>
      <c r="C44" s="44" t="s">
        <v>817</v>
      </c>
      <c r="D44" s="47">
        <v>2440</v>
      </c>
      <c r="E44" s="47">
        <v>16850</v>
      </c>
      <c r="F44" s="47">
        <v>530</v>
      </c>
      <c r="G44" s="47">
        <v>0</v>
      </c>
      <c r="H44" s="47">
        <v>12</v>
      </c>
      <c r="I44" s="47">
        <v>0</v>
      </c>
      <c r="J44" s="47">
        <v>8012</v>
      </c>
      <c r="K44" s="47">
        <v>3347</v>
      </c>
      <c r="L44" s="47">
        <v>285</v>
      </c>
      <c r="M44" s="47">
        <f t="shared" si="5"/>
        <v>11644</v>
      </c>
      <c r="N44" s="251">
        <f t="shared" si="6"/>
        <v>29024</v>
      </c>
      <c r="O44" s="53">
        <f t="shared" si="7"/>
        <v>4.7721311475409838</v>
      </c>
      <c r="P44" s="72">
        <f t="shared" si="3"/>
        <v>7.1229508196721314</v>
      </c>
      <c r="Q44" s="72">
        <f t="shared" si="8"/>
        <v>11.895081967213114</v>
      </c>
    </row>
    <row r="45" spans="1:17" ht="15.75" thickBot="1" x14ac:dyDescent="0.3">
      <c r="A45" s="44" t="s">
        <v>1283</v>
      </c>
      <c r="B45" s="45" t="s">
        <v>1284</v>
      </c>
      <c r="C45" s="44" t="s">
        <v>817</v>
      </c>
      <c r="D45" s="47">
        <v>3433</v>
      </c>
      <c r="E45" s="47">
        <v>17724</v>
      </c>
      <c r="F45" s="47">
        <v>52</v>
      </c>
      <c r="G45" s="47">
        <v>306</v>
      </c>
      <c r="H45" s="47">
        <v>18</v>
      </c>
      <c r="I45" s="47">
        <v>0</v>
      </c>
      <c r="J45" s="47">
        <v>0</v>
      </c>
      <c r="K45" s="47">
        <v>0</v>
      </c>
      <c r="L45" s="47">
        <v>0</v>
      </c>
      <c r="M45" s="47">
        <f t="shared" si="5"/>
        <v>0</v>
      </c>
      <c r="N45" s="251">
        <f t="shared" si="6"/>
        <v>18082</v>
      </c>
      <c r="O45" s="53">
        <f t="shared" si="7"/>
        <v>0</v>
      </c>
      <c r="P45" s="72">
        <f t="shared" si="3"/>
        <v>5.2671133119720359</v>
      </c>
      <c r="Q45" s="72">
        <f t="shared" si="8"/>
        <v>5.2671133119720359</v>
      </c>
    </row>
    <row r="46" spans="1:17" ht="15.75" thickBot="1" x14ac:dyDescent="0.3">
      <c r="A46" s="44" t="s">
        <v>1303</v>
      </c>
      <c r="B46" s="45" t="s">
        <v>1304</v>
      </c>
      <c r="C46" s="44" t="s">
        <v>817</v>
      </c>
      <c r="D46" s="47">
        <v>1848</v>
      </c>
      <c r="E46" s="47">
        <v>11362</v>
      </c>
      <c r="F46" s="47">
        <v>156</v>
      </c>
      <c r="G46" s="47">
        <v>2408</v>
      </c>
      <c r="H46" s="47">
        <v>17</v>
      </c>
      <c r="I46" s="47">
        <v>0</v>
      </c>
      <c r="J46" s="47">
        <v>0</v>
      </c>
      <c r="K46" s="47">
        <v>0</v>
      </c>
      <c r="L46" s="47">
        <v>0</v>
      </c>
      <c r="M46" s="47">
        <f t="shared" si="5"/>
        <v>0</v>
      </c>
      <c r="N46" s="251">
        <f t="shared" si="6"/>
        <v>13926</v>
      </c>
      <c r="O46" s="53">
        <f t="shared" si="7"/>
        <v>0</v>
      </c>
      <c r="P46" s="72">
        <f t="shared" si="3"/>
        <v>7.5357142857142856</v>
      </c>
      <c r="Q46" s="72">
        <f t="shared" si="8"/>
        <v>7.5357142857142856</v>
      </c>
    </row>
    <row r="47" spans="1:17" ht="15.75" thickBot="1" x14ac:dyDescent="0.3">
      <c r="A47" s="44" t="s">
        <v>1319</v>
      </c>
      <c r="B47" s="45" t="s">
        <v>1320</v>
      </c>
      <c r="C47" s="44" t="s">
        <v>817</v>
      </c>
      <c r="D47" s="47">
        <v>3645</v>
      </c>
      <c r="E47" s="47">
        <v>35667</v>
      </c>
      <c r="F47" s="47">
        <v>846</v>
      </c>
      <c r="G47" s="47">
        <v>2875</v>
      </c>
      <c r="H47" s="47">
        <v>87</v>
      </c>
      <c r="I47" s="47">
        <v>1</v>
      </c>
      <c r="J47" s="47">
        <v>12814</v>
      </c>
      <c r="K47" s="47">
        <v>1999</v>
      </c>
      <c r="L47" s="47">
        <v>0</v>
      </c>
      <c r="M47" s="47">
        <f t="shared" si="5"/>
        <v>14813</v>
      </c>
      <c r="N47" s="251">
        <f t="shared" si="6"/>
        <v>54201</v>
      </c>
      <c r="O47" s="53">
        <f t="shared" si="7"/>
        <v>4.0639231824417008</v>
      </c>
      <c r="P47" s="72">
        <f t="shared" si="3"/>
        <v>10.806035665294925</v>
      </c>
      <c r="Q47" s="72">
        <f t="shared" si="8"/>
        <v>14.869958847736626</v>
      </c>
    </row>
    <row r="48" spans="1:17" ht="15.75" thickBot="1" x14ac:dyDescent="0.3">
      <c r="A48" s="44" t="s">
        <v>1333</v>
      </c>
      <c r="B48" s="45" t="s">
        <v>1334</v>
      </c>
      <c r="C48" s="44" t="s">
        <v>817</v>
      </c>
      <c r="D48" s="47">
        <v>3679</v>
      </c>
      <c r="E48" s="47">
        <v>30155</v>
      </c>
      <c r="F48" s="47">
        <v>610</v>
      </c>
      <c r="G48" s="47">
        <v>1457</v>
      </c>
      <c r="H48" s="47">
        <v>18</v>
      </c>
      <c r="I48" s="47">
        <v>1</v>
      </c>
      <c r="J48" s="47">
        <v>8249</v>
      </c>
      <c r="K48" s="47">
        <v>3883</v>
      </c>
      <c r="L48" s="47">
        <v>264</v>
      </c>
      <c r="M48" s="47">
        <f t="shared" si="5"/>
        <v>12396</v>
      </c>
      <c r="N48" s="251">
        <f t="shared" si="6"/>
        <v>44618</v>
      </c>
      <c r="O48" s="53">
        <f t="shared" si="7"/>
        <v>3.369393857026366</v>
      </c>
      <c r="P48" s="72">
        <f t="shared" si="3"/>
        <v>8.7583582495243277</v>
      </c>
      <c r="Q48" s="72">
        <f t="shared" si="8"/>
        <v>12.127752106550693</v>
      </c>
    </row>
    <row r="49" spans="1:17" ht="15.75" thickBot="1" x14ac:dyDescent="0.3">
      <c r="A49" s="44" t="s">
        <v>1337</v>
      </c>
      <c r="B49" s="45" t="s">
        <v>1338</v>
      </c>
      <c r="C49" s="44" t="s">
        <v>817</v>
      </c>
      <c r="D49" s="47">
        <v>1830</v>
      </c>
      <c r="E49" s="47">
        <v>8938</v>
      </c>
      <c r="F49" s="47">
        <v>81</v>
      </c>
      <c r="G49" s="47">
        <v>8</v>
      </c>
      <c r="H49" s="47">
        <v>3</v>
      </c>
      <c r="I49" s="47">
        <v>0</v>
      </c>
      <c r="J49" s="47">
        <v>0</v>
      </c>
      <c r="K49" s="47">
        <v>0</v>
      </c>
      <c r="L49" s="47">
        <v>0</v>
      </c>
      <c r="M49" s="47">
        <f t="shared" si="5"/>
        <v>0</v>
      </c>
      <c r="N49" s="251">
        <f t="shared" si="6"/>
        <v>9027</v>
      </c>
      <c r="O49" s="53">
        <f t="shared" si="7"/>
        <v>0</v>
      </c>
      <c r="P49" s="72">
        <f t="shared" si="3"/>
        <v>4.9327868852459016</v>
      </c>
      <c r="Q49" s="72">
        <f t="shared" si="8"/>
        <v>4.9327868852459016</v>
      </c>
    </row>
    <row r="50" spans="1:17" ht="15.75" thickBot="1" x14ac:dyDescent="0.3">
      <c r="A50" s="44" t="s">
        <v>1359</v>
      </c>
      <c r="B50" s="45" t="s">
        <v>1360</v>
      </c>
      <c r="C50" s="44" t="s">
        <v>817</v>
      </c>
      <c r="D50" s="47">
        <v>1939</v>
      </c>
      <c r="E50" s="47">
        <v>14330</v>
      </c>
      <c r="F50" s="47">
        <v>910</v>
      </c>
      <c r="G50" s="47">
        <v>2009</v>
      </c>
      <c r="H50" s="47">
        <v>54</v>
      </c>
      <c r="I50" s="47">
        <v>0</v>
      </c>
      <c r="J50" s="47">
        <v>22984</v>
      </c>
      <c r="K50" s="47">
        <v>16122</v>
      </c>
      <c r="L50" s="47">
        <v>137</v>
      </c>
      <c r="M50" s="47">
        <f t="shared" si="5"/>
        <v>39243</v>
      </c>
      <c r="N50" s="251">
        <f t="shared" si="6"/>
        <v>56492</v>
      </c>
      <c r="O50" s="53">
        <f t="shared" si="7"/>
        <v>20.238782877772046</v>
      </c>
      <c r="P50" s="72">
        <f t="shared" si="3"/>
        <v>8.8958225889633837</v>
      </c>
      <c r="Q50" s="72">
        <f t="shared" si="8"/>
        <v>29.13460546673543</v>
      </c>
    </row>
    <row r="51" spans="1:17" ht="15.75" thickBot="1" x14ac:dyDescent="0.3">
      <c r="A51" s="44" t="s">
        <v>1397</v>
      </c>
      <c r="B51" s="45" t="s">
        <v>1398</v>
      </c>
      <c r="C51" s="44" t="s">
        <v>817</v>
      </c>
      <c r="D51" s="47">
        <v>3739</v>
      </c>
      <c r="E51" s="47">
        <v>9893</v>
      </c>
      <c r="F51" s="47">
        <v>505</v>
      </c>
      <c r="G51" s="47">
        <v>1026</v>
      </c>
      <c r="H51" s="47">
        <v>0</v>
      </c>
      <c r="I51" s="47">
        <v>3</v>
      </c>
      <c r="J51" s="47">
        <v>6440</v>
      </c>
      <c r="K51" s="47">
        <v>6440</v>
      </c>
      <c r="L51" s="47">
        <v>110</v>
      </c>
      <c r="M51" s="47">
        <f t="shared" si="5"/>
        <v>12990</v>
      </c>
      <c r="N51" s="251">
        <f t="shared" si="6"/>
        <v>24414</v>
      </c>
      <c r="O51" s="53">
        <f t="shared" si="7"/>
        <v>3.4741909601497727</v>
      </c>
      <c r="P51" s="72">
        <f t="shared" si="3"/>
        <v>3.0553623963626637</v>
      </c>
      <c r="Q51" s="72">
        <f t="shared" si="8"/>
        <v>6.5295533565124364</v>
      </c>
    </row>
    <row r="52" spans="1:17" ht="15.75" thickBot="1" x14ac:dyDescent="0.3">
      <c r="A52" s="44" t="s">
        <v>1407</v>
      </c>
      <c r="B52" s="45" t="s">
        <v>1408</v>
      </c>
      <c r="C52" s="44" t="s">
        <v>817</v>
      </c>
      <c r="D52" s="47">
        <v>1508</v>
      </c>
      <c r="E52" s="47">
        <v>14022</v>
      </c>
      <c r="F52" s="47">
        <v>106</v>
      </c>
      <c r="G52" s="47">
        <v>167</v>
      </c>
      <c r="H52" s="47">
        <v>12</v>
      </c>
      <c r="I52" s="47">
        <v>0</v>
      </c>
      <c r="J52" s="47">
        <v>0</v>
      </c>
      <c r="K52" s="47">
        <v>0</v>
      </c>
      <c r="L52" s="47">
        <v>0</v>
      </c>
      <c r="M52" s="47">
        <f t="shared" ref="M52:M83" si="9">J52+K52+L52</f>
        <v>0</v>
      </c>
      <c r="N52" s="251">
        <f t="shared" ref="N52:N83" si="10">E52+F52+G52+J52+K52+L52</f>
        <v>14295</v>
      </c>
      <c r="O52" s="53">
        <f t="shared" ref="O52:O83" si="11">(J52+K52+L52)/D52</f>
        <v>0</v>
      </c>
      <c r="P52" s="72">
        <f t="shared" si="3"/>
        <v>9.4794429708222818</v>
      </c>
      <c r="Q52" s="72">
        <f t="shared" ref="Q52:Q83" si="12">N52/D52</f>
        <v>9.4794429708222818</v>
      </c>
    </row>
    <row r="53" spans="1:17" ht="15.75" thickBot="1" x14ac:dyDescent="0.3">
      <c r="A53" s="44" t="s">
        <v>1409</v>
      </c>
      <c r="B53" s="45" t="s">
        <v>1410</v>
      </c>
      <c r="C53" s="44" t="s">
        <v>817</v>
      </c>
      <c r="D53" s="47">
        <v>3731</v>
      </c>
      <c r="E53" s="47">
        <v>15092</v>
      </c>
      <c r="F53" s="47">
        <v>198</v>
      </c>
      <c r="G53" s="47">
        <v>1689</v>
      </c>
      <c r="H53" s="47">
        <v>13</v>
      </c>
      <c r="I53" s="47">
        <v>-1</v>
      </c>
      <c r="J53" s="47">
        <v>0</v>
      </c>
      <c r="K53" s="47">
        <v>8450</v>
      </c>
      <c r="L53" s="47">
        <v>0</v>
      </c>
      <c r="M53" s="47">
        <f t="shared" si="9"/>
        <v>8450</v>
      </c>
      <c r="N53" s="251">
        <f t="shared" si="10"/>
        <v>25429</v>
      </c>
      <c r="O53" s="53">
        <f t="shared" si="11"/>
        <v>2.264808362369338</v>
      </c>
      <c r="P53" s="72">
        <f t="shared" si="3"/>
        <v>4.5507906727418925</v>
      </c>
      <c r="Q53" s="72">
        <f t="shared" si="12"/>
        <v>6.8155990351112301</v>
      </c>
    </row>
    <row r="54" spans="1:17" ht="15.75" thickBot="1" x14ac:dyDescent="0.3">
      <c r="A54" s="44" t="s">
        <v>1413</v>
      </c>
      <c r="B54" s="45" t="s">
        <v>1414</v>
      </c>
      <c r="C54" s="44" t="s">
        <v>817</v>
      </c>
      <c r="D54" s="47">
        <v>3674</v>
      </c>
      <c r="E54" s="47">
        <v>16371</v>
      </c>
      <c r="F54" s="47">
        <v>362</v>
      </c>
      <c r="G54" s="47">
        <v>2616</v>
      </c>
      <c r="H54" s="47">
        <v>48</v>
      </c>
      <c r="I54" s="47">
        <v>0</v>
      </c>
      <c r="J54" s="47">
        <v>0</v>
      </c>
      <c r="K54" s="47">
        <v>8450</v>
      </c>
      <c r="L54" s="47">
        <v>0</v>
      </c>
      <c r="M54" s="47">
        <f t="shared" si="9"/>
        <v>8450</v>
      </c>
      <c r="N54" s="251">
        <f t="shared" si="10"/>
        <v>27799</v>
      </c>
      <c r="O54" s="53">
        <f t="shared" si="11"/>
        <v>2.2999455634186172</v>
      </c>
      <c r="P54" s="72">
        <f t="shared" si="3"/>
        <v>5.2664670658682633</v>
      </c>
      <c r="Q54" s="72">
        <f t="shared" si="12"/>
        <v>7.566412629286881</v>
      </c>
    </row>
    <row r="55" spans="1:17" ht="15.75" thickBot="1" x14ac:dyDescent="0.3">
      <c r="A55" s="44" t="s">
        <v>1415</v>
      </c>
      <c r="B55" s="45" t="s">
        <v>1416</v>
      </c>
      <c r="C55" s="44" t="s">
        <v>817</v>
      </c>
      <c r="D55" s="47">
        <v>882</v>
      </c>
      <c r="E55" s="47">
        <v>13258</v>
      </c>
      <c r="F55" s="47">
        <v>52</v>
      </c>
      <c r="G55" s="47">
        <v>246</v>
      </c>
      <c r="H55" s="47">
        <v>16</v>
      </c>
      <c r="I55" s="47">
        <v>0</v>
      </c>
      <c r="J55" s="47">
        <v>8249</v>
      </c>
      <c r="K55" s="47">
        <v>3530</v>
      </c>
      <c r="L55" s="47">
        <v>264</v>
      </c>
      <c r="M55" s="47">
        <f t="shared" si="9"/>
        <v>12043</v>
      </c>
      <c r="N55" s="251">
        <f t="shared" si="10"/>
        <v>25599</v>
      </c>
      <c r="O55" s="53">
        <f t="shared" si="11"/>
        <v>13.654195011337869</v>
      </c>
      <c r="P55" s="72">
        <f t="shared" si="3"/>
        <v>15.369614512471655</v>
      </c>
      <c r="Q55" s="72">
        <f t="shared" si="12"/>
        <v>29.023809523809526</v>
      </c>
    </row>
    <row r="56" spans="1:17" ht="15.75" thickBot="1" x14ac:dyDescent="0.3">
      <c r="A56" s="44" t="s">
        <v>1459</v>
      </c>
      <c r="B56" s="45" t="s">
        <v>1460</v>
      </c>
      <c r="C56" s="44" t="s">
        <v>817</v>
      </c>
      <c r="D56" s="47">
        <v>3775</v>
      </c>
      <c r="E56" s="47">
        <v>28336</v>
      </c>
      <c r="F56" s="47">
        <v>813</v>
      </c>
      <c r="G56" s="47">
        <v>764</v>
      </c>
      <c r="H56" s="47">
        <v>26</v>
      </c>
      <c r="I56" s="47">
        <v>7</v>
      </c>
      <c r="J56" s="47">
        <v>18505</v>
      </c>
      <c r="K56" s="47">
        <v>5181</v>
      </c>
      <c r="L56" s="47">
        <v>0</v>
      </c>
      <c r="M56" s="47">
        <f t="shared" si="9"/>
        <v>23686</v>
      </c>
      <c r="N56" s="251">
        <f t="shared" si="10"/>
        <v>53599</v>
      </c>
      <c r="O56" s="53">
        <f t="shared" si="11"/>
        <v>6.274437086092715</v>
      </c>
      <c r="P56" s="72">
        <f t="shared" si="3"/>
        <v>7.9239735099337745</v>
      </c>
      <c r="Q56" s="72">
        <f t="shared" si="12"/>
        <v>14.198410596026489</v>
      </c>
    </row>
    <row r="57" spans="1:17" ht="15.75" thickBot="1" x14ac:dyDescent="0.3">
      <c r="A57" s="44" t="s">
        <v>1465</v>
      </c>
      <c r="B57" s="45" t="s">
        <v>1466</v>
      </c>
      <c r="C57" s="44" t="s">
        <v>817</v>
      </c>
      <c r="D57" s="47">
        <v>3138</v>
      </c>
      <c r="E57" s="47">
        <v>9046</v>
      </c>
      <c r="F57" s="47">
        <v>569</v>
      </c>
      <c r="G57" s="47">
        <v>814</v>
      </c>
      <c r="H57" s="47">
        <v>2</v>
      </c>
      <c r="I57" s="47">
        <v>1</v>
      </c>
      <c r="J57" s="47">
        <v>0</v>
      </c>
      <c r="K57" s="47">
        <v>8450</v>
      </c>
      <c r="L57" s="47">
        <v>0</v>
      </c>
      <c r="M57" s="47">
        <f t="shared" si="9"/>
        <v>8450</v>
      </c>
      <c r="N57" s="251">
        <f t="shared" si="10"/>
        <v>18879</v>
      </c>
      <c r="O57" s="53">
        <f t="shared" si="11"/>
        <v>2.692797960484385</v>
      </c>
      <c r="P57" s="72">
        <f t="shared" si="3"/>
        <v>3.3234544295729762</v>
      </c>
      <c r="Q57" s="72">
        <f t="shared" si="12"/>
        <v>6.0162523900573612</v>
      </c>
    </row>
    <row r="58" spans="1:17" ht="15.75" thickBot="1" x14ac:dyDescent="0.3">
      <c r="A58" s="44" t="s">
        <v>1476</v>
      </c>
      <c r="B58" s="45" t="s">
        <v>1477</v>
      </c>
      <c r="C58" s="44" t="s">
        <v>817</v>
      </c>
      <c r="D58" s="47">
        <v>3428</v>
      </c>
      <c r="E58" s="47">
        <v>11404</v>
      </c>
      <c r="F58" s="47">
        <v>92</v>
      </c>
      <c r="G58" s="47">
        <v>1029</v>
      </c>
      <c r="H58" s="47">
        <v>52</v>
      </c>
      <c r="I58" s="47">
        <v>0</v>
      </c>
      <c r="J58" s="47">
        <v>4698</v>
      </c>
      <c r="K58" s="47">
        <v>4367</v>
      </c>
      <c r="L58" s="47">
        <v>0</v>
      </c>
      <c r="M58" s="47">
        <f t="shared" si="9"/>
        <v>9065</v>
      </c>
      <c r="N58" s="251">
        <f t="shared" si="10"/>
        <v>21590</v>
      </c>
      <c r="O58" s="53">
        <f t="shared" si="11"/>
        <v>2.644399066511085</v>
      </c>
      <c r="P58" s="72">
        <f t="shared" si="3"/>
        <v>3.6537339556592765</v>
      </c>
      <c r="Q58" s="72">
        <f t="shared" si="12"/>
        <v>6.2981330221703615</v>
      </c>
    </row>
    <row r="59" spans="1:17" ht="15.75" thickBot="1" x14ac:dyDescent="0.3">
      <c r="A59" s="44" t="s">
        <v>1478</v>
      </c>
      <c r="B59" s="45" t="s">
        <v>1479</v>
      </c>
      <c r="C59" s="44" t="s">
        <v>817</v>
      </c>
      <c r="D59" s="47">
        <v>1932</v>
      </c>
      <c r="E59" s="47">
        <v>14144</v>
      </c>
      <c r="F59" s="47">
        <v>128</v>
      </c>
      <c r="G59" s="47">
        <v>612</v>
      </c>
      <c r="H59" s="47">
        <v>17</v>
      </c>
      <c r="I59" s="47">
        <v>0</v>
      </c>
      <c r="J59" s="47">
        <v>0</v>
      </c>
      <c r="K59" s="47">
        <v>0</v>
      </c>
      <c r="L59" s="47">
        <v>0</v>
      </c>
      <c r="M59" s="47">
        <f t="shared" si="9"/>
        <v>0</v>
      </c>
      <c r="N59" s="251">
        <f t="shared" si="10"/>
        <v>14884</v>
      </c>
      <c r="O59" s="53">
        <f t="shared" si="11"/>
        <v>0</v>
      </c>
      <c r="P59" s="72">
        <f t="shared" si="3"/>
        <v>7.703933747412008</v>
      </c>
      <c r="Q59" s="72">
        <f t="shared" si="12"/>
        <v>7.703933747412008</v>
      </c>
    </row>
    <row r="60" spans="1:17" ht="15.75" thickBot="1" x14ac:dyDescent="0.3">
      <c r="A60" s="44" t="s">
        <v>1500</v>
      </c>
      <c r="B60" s="45" t="s">
        <v>1501</v>
      </c>
      <c r="C60" s="44" t="s">
        <v>817</v>
      </c>
      <c r="D60" s="47">
        <v>2387</v>
      </c>
      <c r="E60" s="47">
        <v>18267</v>
      </c>
      <c r="F60" s="47">
        <v>820</v>
      </c>
      <c r="G60" s="47">
        <v>3923</v>
      </c>
      <c r="H60" s="47">
        <v>46</v>
      </c>
      <c r="I60" s="47">
        <v>0</v>
      </c>
      <c r="J60" s="47">
        <v>25838</v>
      </c>
      <c r="K60" s="47">
        <v>5074</v>
      </c>
      <c r="L60" s="47">
        <v>0</v>
      </c>
      <c r="M60" s="47">
        <f t="shared" si="9"/>
        <v>30912</v>
      </c>
      <c r="N60" s="251">
        <f t="shared" si="10"/>
        <v>53922</v>
      </c>
      <c r="O60" s="53">
        <f t="shared" si="11"/>
        <v>12.950146627565982</v>
      </c>
      <c r="P60" s="72">
        <f t="shared" si="3"/>
        <v>9.6397151235860914</v>
      </c>
      <c r="Q60" s="72">
        <f t="shared" si="12"/>
        <v>22.589861751152075</v>
      </c>
    </row>
    <row r="61" spans="1:17" ht="15.75" thickBot="1" x14ac:dyDescent="0.3">
      <c r="A61" s="44" t="s">
        <v>1518</v>
      </c>
      <c r="B61" s="45" t="s">
        <v>1519</v>
      </c>
      <c r="C61" s="44" t="s">
        <v>817</v>
      </c>
      <c r="D61" s="47">
        <v>1873</v>
      </c>
      <c r="E61" s="47">
        <v>17860</v>
      </c>
      <c r="F61" s="47">
        <v>131</v>
      </c>
      <c r="G61" s="47">
        <v>685</v>
      </c>
      <c r="H61" s="47">
        <v>2</v>
      </c>
      <c r="I61" s="47">
        <v>1</v>
      </c>
      <c r="J61" s="47">
        <v>19531</v>
      </c>
      <c r="K61" s="47">
        <v>5640</v>
      </c>
      <c r="L61" s="47">
        <v>0</v>
      </c>
      <c r="M61" s="47">
        <f t="shared" si="9"/>
        <v>25171</v>
      </c>
      <c r="N61" s="251">
        <f t="shared" si="10"/>
        <v>43847</v>
      </c>
      <c r="O61" s="53">
        <f t="shared" si="11"/>
        <v>13.438868126001069</v>
      </c>
      <c r="P61" s="72">
        <f t="shared" si="3"/>
        <v>9.971169247197011</v>
      </c>
      <c r="Q61" s="72">
        <f t="shared" si="12"/>
        <v>23.41003737319808</v>
      </c>
    </row>
    <row r="62" spans="1:17" ht="15.75" thickBot="1" x14ac:dyDescent="0.3">
      <c r="A62" s="44" t="s">
        <v>1536</v>
      </c>
      <c r="B62" s="45" t="s">
        <v>1537</v>
      </c>
      <c r="C62" s="44" t="s">
        <v>817</v>
      </c>
      <c r="D62" s="47">
        <v>1652</v>
      </c>
      <c r="E62" s="47">
        <v>9800</v>
      </c>
      <c r="F62" s="47">
        <v>310</v>
      </c>
      <c r="G62" s="47">
        <v>295</v>
      </c>
      <c r="H62" s="47">
        <v>17</v>
      </c>
      <c r="I62" s="47">
        <v>0</v>
      </c>
      <c r="J62" s="47">
        <v>24206</v>
      </c>
      <c r="K62" s="47">
        <v>4303</v>
      </c>
      <c r="L62" s="47">
        <v>137</v>
      </c>
      <c r="M62" s="47">
        <f t="shared" si="9"/>
        <v>28646</v>
      </c>
      <c r="N62" s="251">
        <f t="shared" si="10"/>
        <v>39051</v>
      </c>
      <c r="O62" s="53">
        <f t="shared" si="11"/>
        <v>17.340193704600484</v>
      </c>
      <c r="P62" s="72">
        <f t="shared" si="3"/>
        <v>6.298426150121065</v>
      </c>
      <c r="Q62" s="72">
        <f t="shared" si="12"/>
        <v>23.638619854721551</v>
      </c>
    </row>
    <row r="63" spans="1:17" ht="15.75" thickBot="1" x14ac:dyDescent="0.3">
      <c r="A63" s="44" t="s">
        <v>1548</v>
      </c>
      <c r="B63" s="45" t="s">
        <v>1549</v>
      </c>
      <c r="C63" s="44" t="s">
        <v>817</v>
      </c>
      <c r="D63" s="47">
        <v>3895</v>
      </c>
      <c r="E63" s="47">
        <v>19774</v>
      </c>
      <c r="F63" s="47">
        <v>25</v>
      </c>
      <c r="G63" s="47">
        <v>2174</v>
      </c>
      <c r="H63" s="47">
        <v>32</v>
      </c>
      <c r="I63" s="47">
        <v>0</v>
      </c>
      <c r="J63" s="47">
        <v>16672</v>
      </c>
      <c r="K63" s="47">
        <v>5203</v>
      </c>
      <c r="L63" s="47">
        <v>0</v>
      </c>
      <c r="M63" s="47">
        <f t="shared" si="9"/>
        <v>21875</v>
      </c>
      <c r="N63" s="251">
        <f t="shared" si="10"/>
        <v>43848</v>
      </c>
      <c r="O63" s="53">
        <f t="shared" si="11"/>
        <v>5.6161745827984593</v>
      </c>
      <c r="P63" s="72">
        <f t="shared" si="3"/>
        <v>5.6413350449293969</v>
      </c>
      <c r="Q63" s="72">
        <f t="shared" si="12"/>
        <v>11.257509627727856</v>
      </c>
    </row>
    <row r="64" spans="1:17" ht="15.75" thickBot="1" x14ac:dyDescent="0.3">
      <c r="A64" s="44" t="s">
        <v>1554</v>
      </c>
      <c r="B64" s="45" t="s">
        <v>1555</v>
      </c>
      <c r="C64" s="44" t="s">
        <v>817</v>
      </c>
      <c r="D64" s="47">
        <v>2156</v>
      </c>
      <c r="E64" s="47">
        <v>15018</v>
      </c>
      <c r="F64" s="47">
        <v>181</v>
      </c>
      <c r="G64" s="47">
        <v>887</v>
      </c>
      <c r="H64" s="47">
        <v>20</v>
      </c>
      <c r="I64" s="47">
        <v>0</v>
      </c>
      <c r="J64" s="47">
        <v>8520</v>
      </c>
      <c r="K64" s="47">
        <v>3374</v>
      </c>
      <c r="L64" s="47">
        <v>285</v>
      </c>
      <c r="M64" s="47">
        <f t="shared" si="9"/>
        <v>12179</v>
      </c>
      <c r="N64" s="251">
        <f t="shared" si="10"/>
        <v>28265</v>
      </c>
      <c r="O64" s="53">
        <f t="shared" si="11"/>
        <v>5.6488868274582558</v>
      </c>
      <c r="P64" s="72">
        <f t="shared" si="3"/>
        <v>7.4610389610389607</v>
      </c>
      <c r="Q64" s="72">
        <f t="shared" si="12"/>
        <v>13.109925788497216</v>
      </c>
    </row>
    <row r="65" spans="1:17" ht="15.75" thickBot="1" x14ac:dyDescent="0.3">
      <c r="A65" s="44" t="s">
        <v>1556</v>
      </c>
      <c r="B65" s="45" t="s">
        <v>1557</v>
      </c>
      <c r="C65" s="44" t="s">
        <v>817</v>
      </c>
      <c r="D65" s="47">
        <v>2475</v>
      </c>
      <c r="E65" s="47">
        <v>8842</v>
      </c>
      <c r="F65" s="47">
        <v>328</v>
      </c>
      <c r="G65" s="47">
        <v>1170</v>
      </c>
      <c r="H65" s="47">
        <v>3</v>
      </c>
      <c r="I65" s="47">
        <v>0</v>
      </c>
      <c r="J65" s="47">
        <v>13967</v>
      </c>
      <c r="K65" s="47">
        <v>5583</v>
      </c>
      <c r="L65" s="47">
        <v>0</v>
      </c>
      <c r="M65" s="47">
        <f t="shared" si="9"/>
        <v>19550</v>
      </c>
      <c r="N65" s="251">
        <f t="shared" si="10"/>
        <v>29890</v>
      </c>
      <c r="O65" s="53">
        <f t="shared" si="11"/>
        <v>7.8989898989898988</v>
      </c>
      <c r="P65" s="72">
        <f t="shared" si="3"/>
        <v>4.177777777777778</v>
      </c>
      <c r="Q65" s="72">
        <f t="shared" si="12"/>
        <v>12.076767676767677</v>
      </c>
    </row>
    <row r="66" spans="1:17" ht="15.75" thickBot="1" x14ac:dyDescent="0.3">
      <c r="A66" s="44" t="s">
        <v>1558</v>
      </c>
      <c r="B66" s="45" t="s">
        <v>1559</v>
      </c>
      <c r="C66" s="44" t="s">
        <v>817</v>
      </c>
      <c r="D66" s="47">
        <v>1968</v>
      </c>
      <c r="E66" s="47">
        <v>12218</v>
      </c>
      <c r="F66" s="47">
        <v>0</v>
      </c>
      <c r="G66" s="47">
        <v>0</v>
      </c>
      <c r="H66" s="47">
        <v>0</v>
      </c>
      <c r="I66" s="47">
        <v>0</v>
      </c>
      <c r="J66" s="47">
        <v>0</v>
      </c>
      <c r="K66" s="47">
        <v>0</v>
      </c>
      <c r="L66" s="47">
        <v>0</v>
      </c>
      <c r="M66" s="47">
        <f t="shared" si="9"/>
        <v>0</v>
      </c>
      <c r="N66" s="251">
        <f t="shared" si="10"/>
        <v>12218</v>
      </c>
      <c r="O66" s="53">
        <f t="shared" si="11"/>
        <v>0</v>
      </c>
      <c r="P66" s="72">
        <f t="shared" si="3"/>
        <v>6.208333333333333</v>
      </c>
      <c r="Q66" s="72">
        <f t="shared" si="12"/>
        <v>6.208333333333333</v>
      </c>
    </row>
    <row r="67" spans="1:17" ht="15.75" thickBot="1" x14ac:dyDescent="0.3">
      <c r="A67" s="44" t="s">
        <v>1568</v>
      </c>
      <c r="B67" s="45" t="s">
        <v>1569</v>
      </c>
      <c r="C67" s="44" t="s">
        <v>817</v>
      </c>
      <c r="D67" s="47">
        <v>2202</v>
      </c>
      <c r="E67" s="47">
        <v>12112</v>
      </c>
      <c r="F67" s="47">
        <v>0</v>
      </c>
      <c r="G67" s="47">
        <v>0</v>
      </c>
      <c r="H67" s="47">
        <v>4</v>
      </c>
      <c r="I67" s="47">
        <v>0</v>
      </c>
      <c r="J67" s="47">
        <v>8438</v>
      </c>
      <c r="K67" s="47">
        <v>3457</v>
      </c>
      <c r="L67" s="47">
        <v>0</v>
      </c>
      <c r="M67" s="47">
        <f t="shared" si="9"/>
        <v>11895</v>
      </c>
      <c r="N67" s="251">
        <f t="shared" si="10"/>
        <v>24007</v>
      </c>
      <c r="O67" s="53">
        <f t="shared" si="11"/>
        <v>5.4019073569482288</v>
      </c>
      <c r="P67" s="72">
        <f t="shared" si="3"/>
        <v>5.5004541326067216</v>
      </c>
      <c r="Q67" s="72">
        <f t="shared" si="12"/>
        <v>10.90236148955495</v>
      </c>
    </row>
    <row r="68" spans="1:17" ht="15.75" thickBot="1" x14ac:dyDescent="0.3">
      <c r="A68" s="44" t="s">
        <v>1580</v>
      </c>
      <c r="B68" s="45" t="s">
        <v>1581</v>
      </c>
      <c r="C68" s="44" t="s">
        <v>817</v>
      </c>
      <c r="D68" s="47">
        <v>2913</v>
      </c>
      <c r="E68" s="47">
        <v>19713</v>
      </c>
      <c r="F68" s="47">
        <v>1257</v>
      </c>
      <c r="G68" s="47">
        <v>81</v>
      </c>
      <c r="H68" s="47">
        <v>0</v>
      </c>
      <c r="I68" s="47">
        <v>0</v>
      </c>
      <c r="J68" s="47">
        <v>0</v>
      </c>
      <c r="K68" s="47">
        <v>0</v>
      </c>
      <c r="L68" s="47">
        <v>0</v>
      </c>
      <c r="M68" s="47">
        <f t="shared" si="9"/>
        <v>0</v>
      </c>
      <c r="N68" s="251">
        <f t="shared" si="10"/>
        <v>21051</v>
      </c>
      <c r="O68" s="53">
        <f t="shared" si="11"/>
        <v>0</v>
      </c>
      <c r="P68" s="72">
        <f t="shared" ref="P68:P131" si="13">(E68+F68+G68)/D68</f>
        <v>7.2265705458290421</v>
      </c>
      <c r="Q68" s="72">
        <f t="shared" si="12"/>
        <v>7.2265705458290421</v>
      </c>
    </row>
    <row r="69" spans="1:17" ht="15.75" thickBot="1" x14ac:dyDescent="0.3">
      <c r="A69" s="44" t="s">
        <v>1592</v>
      </c>
      <c r="B69" s="45" t="s">
        <v>1593</v>
      </c>
      <c r="C69" s="44" t="s">
        <v>817</v>
      </c>
      <c r="D69" s="47">
        <v>575</v>
      </c>
      <c r="E69" s="47">
        <v>14620</v>
      </c>
      <c r="F69" s="47">
        <v>820</v>
      </c>
      <c r="G69" s="47">
        <v>284</v>
      </c>
      <c r="H69" s="47">
        <v>49</v>
      </c>
      <c r="I69" s="47">
        <v>0</v>
      </c>
      <c r="J69" s="47">
        <v>8540</v>
      </c>
      <c r="K69" s="47">
        <v>3883</v>
      </c>
      <c r="L69" s="47">
        <v>284</v>
      </c>
      <c r="M69" s="47">
        <f t="shared" si="9"/>
        <v>12707</v>
      </c>
      <c r="N69" s="251">
        <f t="shared" si="10"/>
        <v>28431</v>
      </c>
      <c r="O69" s="53">
        <f t="shared" si="11"/>
        <v>22.099130434782609</v>
      </c>
      <c r="P69" s="72">
        <f t="shared" si="13"/>
        <v>27.346086956521738</v>
      </c>
      <c r="Q69" s="72">
        <f t="shared" si="12"/>
        <v>49.445217391304347</v>
      </c>
    </row>
    <row r="70" spans="1:17" ht="15.75" thickBot="1" x14ac:dyDescent="0.3">
      <c r="A70" s="44" t="s">
        <v>1600</v>
      </c>
      <c r="B70" s="45" t="s">
        <v>1601</v>
      </c>
      <c r="C70" s="44" t="s">
        <v>817</v>
      </c>
      <c r="D70" s="47">
        <v>2738</v>
      </c>
      <c r="E70" s="47">
        <v>32334</v>
      </c>
      <c r="F70" s="47">
        <v>367</v>
      </c>
      <c r="G70" s="47">
        <v>1657</v>
      </c>
      <c r="H70" s="47">
        <v>34</v>
      </c>
      <c r="I70" s="47">
        <v>0</v>
      </c>
      <c r="J70" s="47">
        <v>0</v>
      </c>
      <c r="K70" s="47">
        <v>0</v>
      </c>
      <c r="L70" s="47">
        <v>0</v>
      </c>
      <c r="M70" s="47">
        <f t="shared" si="9"/>
        <v>0</v>
      </c>
      <c r="N70" s="251">
        <f t="shared" si="10"/>
        <v>34358</v>
      </c>
      <c r="O70" s="53">
        <f t="shared" si="11"/>
        <v>0</v>
      </c>
      <c r="P70" s="72">
        <f t="shared" si="13"/>
        <v>12.548575602629656</v>
      </c>
      <c r="Q70" s="72">
        <f t="shared" si="12"/>
        <v>12.548575602629656</v>
      </c>
    </row>
    <row r="71" spans="1:17" ht="15.75" thickBot="1" x14ac:dyDescent="0.3">
      <c r="A71" s="44" t="s">
        <v>796</v>
      </c>
      <c r="B71" s="45" t="s">
        <v>797</v>
      </c>
      <c r="C71" s="44" t="s">
        <v>798</v>
      </c>
      <c r="D71" s="47">
        <v>6351</v>
      </c>
      <c r="E71" s="47">
        <v>22244</v>
      </c>
      <c r="F71" s="47">
        <v>1710</v>
      </c>
      <c r="G71" s="47">
        <v>2391</v>
      </c>
      <c r="H71" s="47">
        <v>3</v>
      </c>
      <c r="I71" s="47">
        <v>1</v>
      </c>
      <c r="J71" s="47">
        <v>18100</v>
      </c>
      <c r="K71" s="47">
        <v>3000</v>
      </c>
      <c r="L71" s="47">
        <v>200</v>
      </c>
      <c r="M71" s="47">
        <f t="shared" si="9"/>
        <v>21300</v>
      </c>
      <c r="N71" s="251">
        <f t="shared" si="10"/>
        <v>47645</v>
      </c>
      <c r="O71" s="53">
        <f t="shared" si="11"/>
        <v>3.3538025507794047</v>
      </c>
      <c r="P71" s="72">
        <f t="shared" si="13"/>
        <v>4.1481656432057941</v>
      </c>
      <c r="Q71" s="72">
        <f t="shared" si="12"/>
        <v>7.5019681939851992</v>
      </c>
    </row>
    <row r="72" spans="1:17" ht="15.75" thickBot="1" x14ac:dyDescent="0.3">
      <c r="A72" s="44" t="s">
        <v>827</v>
      </c>
      <c r="B72" s="45" t="s">
        <v>828</v>
      </c>
      <c r="C72" s="44" t="s">
        <v>798</v>
      </c>
      <c r="D72" s="47">
        <v>6583</v>
      </c>
      <c r="E72" s="47">
        <v>30263</v>
      </c>
      <c r="F72" s="47">
        <v>1987</v>
      </c>
      <c r="G72" s="47">
        <v>2770</v>
      </c>
      <c r="H72" s="47">
        <v>66</v>
      </c>
      <c r="I72" s="47">
        <v>0</v>
      </c>
      <c r="J72" s="47">
        <v>18313</v>
      </c>
      <c r="K72" s="47">
        <v>0</v>
      </c>
      <c r="L72" s="47">
        <v>0</v>
      </c>
      <c r="M72" s="47">
        <f t="shared" si="9"/>
        <v>18313</v>
      </c>
      <c r="N72" s="251">
        <f t="shared" si="10"/>
        <v>53333</v>
      </c>
      <c r="O72" s="53">
        <f t="shared" si="11"/>
        <v>2.7818623727783685</v>
      </c>
      <c r="P72" s="72">
        <f t="shared" si="13"/>
        <v>5.3197630259759991</v>
      </c>
      <c r="Q72" s="72">
        <f t="shared" si="12"/>
        <v>8.1016253987543667</v>
      </c>
    </row>
    <row r="73" spans="1:17" ht="15.75" thickBot="1" x14ac:dyDescent="0.3">
      <c r="A73" s="44" t="s">
        <v>838</v>
      </c>
      <c r="B73" s="45" t="s">
        <v>839</v>
      </c>
      <c r="C73" s="44" t="s">
        <v>798</v>
      </c>
      <c r="D73" s="47">
        <v>5379</v>
      </c>
      <c r="E73" s="47">
        <v>23885</v>
      </c>
      <c r="F73" s="47">
        <v>2620</v>
      </c>
      <c r="G73" s="47">
        <v>2570</v>
      </c>
      <c r="H73" s="47">
        <v>42</v>
      </c>
      <c r="I73" s="47">
        <v>4</v>
      </c>
      <c r="J73" s="47">
        <v>7238</v>
      </c>
      <c r="K73" s="47">
        <v>2716</v>
      </c>
      <c r="L73" s="47">
        <v>0</v>
      </c>
      <c r="M73" s="47">
        <f t="shared" si="9"/>
        <v>9954</v>
      </c>
      <c r="N73" s="251">
        <f t="shared" si="10"/>
        <v>39029</v>
      </c>
      <c r="O73" s="53">
        <f t="shared" si="11"/>
        <v>1.8505298382598996</v>
      </c>
      <c r="P73" s="72">
        <f t="shared" si="13"/>
        <v>5.405279791782859</v>
      </c>
      <c r="Q73" s="72">
        <f t="shared" si="12"/>
        <v>7.2558096300427586</v>
      </c>
    </row>
    <row r="74" spans="1:17" ht="15.75" thickBot="1" x14ac:dyDescent="0.3">
      <c r="A74" s="44" t="s">
        <v>842</v>
      </c>
      <c r="B74" s="45" t="s">
        <v>843</v>
      </c>
      <c r="C74" s="44" t="s">
        <v>798</v>
      </c>
      <c r="D74" s="47">
        <v>4265</v>
      </c>
      <c r="E74" s="47">
        <v>9526</v>
      </c>
      <c r="F74" s="47">
        <v>366</v>
      </c>
      <c r="G74" s="47">
        <v>0</v>
      </c>
      <c r="H74" s="47">
        <v>13</v>
      </c>
      <c r="I74" s="47">
        <v>0</v>
      </c>
      <c r="J74" s="47">
        <v>518</v>
      </c>
      <c r="K74" s="47">
        <v>0</v>
      </c>
      <c r="L74" s="47">
        <v>0</v>
      </c>
      <c r="M74" s="47">
        <f t="shared" si="9"/>
        <v>518</v>
      </c>
      <c r="N74" s="251">
        <f t="shared" si="10"/>
        <v>10410</v>
      </c>
      <c r="O74" s="53">
        <f t="shared" si="11"/>
        <v>0.12145369284876906</v>
      </c>
      <c r="P74" s="72">
        <f t="shared" si="13"/>
        <v>2.3193434935521688</v>
      </c>
      <c r="Q74" s="72">
        <f t="shared" si="12"/>
        <v>2.4407971864009377</v>
      </c>
    </row>
    <row r="75" spans="1:17" ht="15.75" thickBot="1" x14ac:dyDescent="0.3">
      <c r="A75" s="44" t="s">
        <v>853</v>
      </c>
      <c r="B75" s="45" t="s">
        <v>854</v>
      </c>
      <c r="C75" s="44" t="s">
        <v>798</v>
      </c>
      <c r="D75" s="47">
        <v>6621</v>
      </c>
      <c r="E75" s="47">
        <v>30116</v>
      </c>
      <c r="F75" s="47">
        <v>2989</v>
      </c>
      <c r="G75" s="47">
        <v>4541</v>
      </c>
      <c r="H75" s="47">
        <v>101</v>
      </c>
      <c r="I75" s="47">
        <v>7</v>
      </c>
      <c r="J75" s="47">
        <v>14165</v>
      </c>
      <c r="K75" s="47">
        <v>4097</v>
      </c>
      <c r="L75" s="47">
        <v>0</v>
      </c>
      <c r="M75" s="47">
        <f t="shared" si="9"/>
        <v>18262</v>
      </c>
      <c r="N75" s="251">
        <f t="shared" si="10"/>
        <v>55908</v>
      </c>
      <c r="O75" s="53">
        <f t="shared" si="11"/>
        <v>2.7581936263404319</v>
      </c>
      <c r="P75" s="72">
        <f t="shared" si="13"/>
        <v>5.6858480592055578</v>
      </c>
      <c r="Q75" s="72">
        <f t="shared" si="12"/>
        <v>8.4440416855459901</v>
      </c>
    </row>
    <row r="76" spans="1:17" ht="15.75" thickBot="1" x14ac:dyDescent="0.3">
      <c r="A76" s="44" t="s">
        <v>857</v>
      </c>
      <c r="B76" s="45" t="s">
        <v>858</v>
      </c>
      <c r="C76" s="44" t="s">
        <v>798</v>
      </c>
      <c r="D76" s="47">
        <v>4075</v>
      </c>
      <c r="E76" s="47">
        <v>26988</v>
      </c>
      <c r="F76" s="47">
        <v>1117</v>
      </c>
      <c r="G76" s="47">
        <v>1461</v>
      </c>
      <c r="H76" s="47">
        <v>32</v>
      </c>
      <c r="I76" s="47">
        <v>0</v>
      </c>
      <c r="J76" s="47">
        <v>24419</v>
      </c>
      <c r="K76" s="47">
        <v>12805</v>
      </c>
      <c r="L76" s="47">
        <v>137</v>
      </c>
      <c r="M76" s="47">
        <f t="shared" si="9"/>
        <v>37361</v>
      </c>
      <c r="N76" s="251">
        <f t="shared" si="10"/>
        <v>66927</v>
      </c>
      <c r="O76" s="53">
        <f t="shared" si="11"/>
        <v>9.1683435582822081</v>
      </c>
      <c r="P76" s="72">
        <f t="shared" si="13"/>
        <v>7.2554601226993869</v>
      </c>
      <c r="Q76" s="72">
        <f t="shared" si="12"/>
        <v>16.423803680981596</v>
      </c>
    </row>
    <row r="77" spans="1:17" ht="15.75" thickBot="1" x14ac:dyDescent="0.3">
      <c r="A77" s="44" t="s">
        <v>881</v>
      </c>
      <c r="B77" s="45" t="s">
        <v>882</v>
      </c>
      <c r="C77" s="44" t="s">
        <v>798</v>
      </c>
      <c r="D77" s="47">
        <v>5414</v>
      </c>
      <c r="E77" s="47">
        <v>11535</v>
      </c>
      <c r="F77" s="47">
        <v>613</v>
      </c>
      <c r="G77" s="47">
        <v>1087</v>
      </c>
      <c r="H77" s="47">
        <v>61</v>
      </c>
      <c r="I77" s="47">
        <v>0</v>
      </c>
      <c r="J77" s="47">
        <v>8543</v>
      </c>
      <c r="K77" s="47">
        <v>3883</v>
      </c>
      <c r="L77" s="47">
        <v>285</v>
      </c>
      <c r="M77" s="47">
        <f t="shared" si="9"/>
        <v>12711</v>
      </c>
      <c r="N77" s="251">
        <f t="shared" si="10"/>
        <v>25946</v>
      </c>
      <c r="O77" s="53">
        <f t="shared" si="11"/>
        <v>2.3478019948282229</v>
      </c>
      <c r="P77" s="72">
        <f t="shared" si="13"/>
        <v>2.4445881049131879</v>
      </c>
      <c r="Q77" s="72">
        <f t="shared" si="12"/>
        <v>4.7923900997414108</v>
      </c>
    </row>
    <row r="78" spans="1:17" ht="15.75" thickBot="1" x14ac:dyDescent="0.3">
      <c r="A78" s="44" t="s">
        <v>903</v>
      </c>
      <c r="B78" s="45" t="s">
        <v>904</v>
      </c>
      <c r="C78" s="44" t="s">
        <v>798</v>
      </c>
      <c r="D78" s="47">
        <v>6296</v>
      </c>
      <c r="E78" s="47">
        <v>27564</v>
      </c>
      <c r="F78" s="47">
        <v>1161</v>
      </c>
      <c r="G78" s="47">
        <v>2316</v>
      </c>
      <c r="H78" s="47">
        <v>72</v>
      </c>
      <c r="I78" s="47">
        <v>2</v>
      </c>
      <c r="J78" s="47">
        <v>14025</v>
      </c>
      <c r="K78" s="47">
        <v>3500</v>
      </c>
      <c r="L78" s="47">
        <v>421</v>
      </c>
      <c r="M78" s="47">
        <f t="shared" si="9"/>
        <v>17946</v>
      </c>
      <c r="N78" s="251">
        <f t="shared" si="10"/>
        <v>48987</v>
      </c>
      <c r="O78" s="53">
        <f t="shared" si="11"/>
        <v>2.8503811944091488</v>
      </c>
      <c r="P78" s="72">
        <f t="shared" si="13"/>
        <v>4.9302731893265568</v>
      </c>
      <c r="Q78" s="72">
        <f t="shared" si="12"/>
        <v>7.7806543837357056</v>
      </c>
    </row>
    <row r="79" spans="1:17" ht="15.75" thickBot="1" x14ac:dyDescent="0.3">
      <c r="A79" s="44" t="s">
        <v>909</v>
      </c>
      <c r="B79" s="45" t="s">
        <v>910</v>
      </c>
      <c r="C79" s="44" t="s">
        <v>798</v>
      </c>
      <c r="D79" s="47">
        <v>4005</v>
      </c>
      <c r="E79" s="47">
        <v>14275</v>
      </c>
      <c r="F79" s="47">
        <v>358</v>
      </c>
      <c r="G79" s="47">
        <v>215</v>
      </c>
      <c r="H79" s="47">
        <v>28</v>
      </c>
      <c r="I79" s="47">
        <v>0</v>
      </c>
      <c r="J79" s="47">
        <v>0</v>
      </c>
      <c r="K79" s="47">
        <v>0</v>
      </c>
      <c r="L79" s="47">
        <v>0</v>
      </c>
      <c r="M79" s="47">
        <f t="shared" si="9"/>
        <v>0</v>
      </c>
      <c r="N79" s="251">
        <f t="shared" si="10"/>
        <v>14848</v>
      </c>
      <c r="O79" s="53">
        <f t="shared" si="11"/>
        <v>0</v>
      </c>
      <c r="P79" s="72">
        <f t="shared" si="13"/>
        <v>3.7073657927590511</v>
      </c>
      <c r="Q79" s="72">
        <f t="shared" si="12"/>
        <v>3.7073657927590511</v>
      </c>
    </row>
    <row r="80" spans="1:17" ht="15.75" thickBot="1" x14ac:dyDescent="0.3">
      <c r="A80" s="44" t="s">
        <v>921</v>
      </c>
      <c r="B80" s="45" t="s">
        <v>922</v>
      </c>
      <c r="C80" s="44" t="s">
        <v>798</v>
      </c>
      <c r="D80" s="47">
        <v>4191</v>
      </c>
      <c r="E80" s="47">
        <v>14388</v>
      </c>
      <c r="F80" s="47">
        <v>688</v>
      </c>
      <c r="G80" s="47">
        <v>1592</v>
      </c>
      <c r="H80" s="47">
        <v>38</v>
      </c>
      <c r="I80" s="47">
        <v>2</v>
      </c>
      <c r="J80" s="47">
        <v>10013</v>
      </c>
      <c r="K80" s="47">
        <v>3942</v>
      </c>
      <c r="L80" s="47">
        <v>0</v>
      </c>
      <c r="M80" s="47">
        <f t="shared" si="9"/>
        <v>13955</v>
      </c>
      <c r="N80" s="251">
        <f t="shared" si="10"/>
        <v>30623</v>
      </c>
      <c r="O80" s="53">
        <f t="shared" si="11"/>
        <v>3.3297542352660461</v>
      </c>
      <c r="P80" s="72">
        <f t="shared" si="13"/>
        <v>3.9770937723693631</v>
      </c>
      <c r="Q80" s="72">
        <f t="shared" si="12"/>
        <v>7.3068480076354092</v>
      </c>
    </row>
    <row r="81" spans="1:17" ht="15.75" thickBot="1" x14ac:dyDescent="0.3">
      <c r="A81" s="44" t="s">
        <v>963</v>
      </c>
      <c r="B81" s="45" t="s">
        <v>964</v>
      </c>
      <c r="C81" s="44" t="s">
        <v>798</v>
      </c>
      <c r="D81" s="47">
        <v>4622</v>
      </c>
      <c r="E81" s="47">
        <v>27637</v>
      </c>
      <c r="F81" s="47">
        <v>507</v>
      </c>
      <c r="G81" s="47">
        <v>1530</v>
      </c>
      <c r="H81" s="47">
        <v>29</v>
      </c>
      <c r="I81" s="47">
        <v>0</v>
      </c>
      <c r="J81" s="47">
        <v>11404</v>
      </c>
      <c r="K81" s="47">
        <v>1543</v>
      </c>
      <c r="L81" s="47">
        <v>156</v>
      </c>
      <c r="M81" s="47">
        <f t="shared" si="9"/>
        <v>13103</v>
      </c>
      <c r="N81" s="251">
        <f t="shared" si="10"/>
        <v>42777</v>
      </c>
      <c r="O81" s="53">
        <f t="shared" si="11"/>
        <v>2.8349199480744267</v>
      </c>
      <c r="P81" s="72">
        <f t="shared" si="13"/>
        <v>6.4201644309822585</v>
      </c>
      <c r="Q81" s="72">
        <f t="shared" si="12"/>
        <v>9.2550843790566848</v>
      </c>
    </row>
    <row r="82" spans="1:17" ht="15.75" thickBot="1" x14ac:dyDescent="0.3">
      <c r="A82" s="44" t="s">
        <v>977</v>
      </c>
      <c r="B82" s="45" t="s">
        <v>978</v>
      </c>
      <c r="C82" s="44" t="s">
        <v>798</v>
      </c>
      <c r="D82" s="47">
        <v>4986</v>
      </c>
      <c r="E82" s="47">
        <v>19496</v>
      </c>
      <c r="F82" s="47">
        <v>603</v>
      </c>
      <c r="G82" s="47">
        <v>1690</v>
      </c>
      <c r="H82" s="47">
        <v>32</v>
      </c>
      <c r="I82" s="47">
        <v>3</v>
      </c>
      <c r="J82" s="47">
        <v>15109</v>
      </c>
      <c r="K82" s="47">
        <v>3402</v>
      </c>
      <c r="L82" s="47">
        <v>0</v>
      </c>
      <c r="M82" s="47">
        <f t="shared" si="9"/>
        <v>18511</v>
      </c>
      <c r="N82" s="251">
        <f t="shared" si="10"/>
        <v>40300</v>
      </c>
      <c r="O82" s="53">
        <f t="shared" si="11"/>
        <v>3.7125952667468911</v>
      </c>
      <c r="P82" s="72">
        <f t="shared" si="13"/>
        <v>4.3700361010830324</v>
      </c>
      <c r="Q82" s="72">
        <f t="shared" si="12"/>
        <v>8.082631367829924</v>
      </c>
    </row>
    <row r="83" spans="1:17" ht="15.75" thickBot="1" x14ac:dyDescent="0.3">
      <c r="A83" s="44" t="s">
        <v>999</v>
      </c>
      <c r="B83" s="45" t="s">
        <v>1000</v>
      </c>
      <c r="C83" s="44" t="s">
        <v>798</v>
      </c>
      <c r="D83" s="47">
        <v>4514</v>
      </c>
      <c r="E83" s="47">
        <v>8158</v>
      </c>
      <c r="F83" s="47">
        <v>318</v>
      </c>
      <c r="G83" s="47">
        <v>584</v>
      </c>
      <c r="H83" s="47">
        <v>25</v>
      </c>
      <c r="I83" s="47">
        <v>2</v>
      </c>
      <c r="J83" s="47">
        <v>8438</v>
      </c>
      <c r="K83" s="47">
        <v>3457</v>
      </c>
      <c r="L83" s="47">
        <v>0</v>
      </c>
      <c r="M83" s="47">
        <f t="shared" si="9"/>
        <v>11895</v>
      </c>
      <c r="N83" s="251">
        <f t="shared" si="10"/>
        <v>20955</v>
      </c>
      <c r="O83" s="53">
        <f t="shared" si="11"/>
        <v>2.6351351351351351</v>
      </c>
      <c r="P83" s="72">
        <f t="shared" si="13"/>
        <v>2.0070890562693839</v>
      </c>
      <c r="Q83" s="72">
        <f t="shared" si="12"/>
        <v>4.6422241914045195</v>
      </c>
    </row>
    <row r="84" spans="1:17" ht="15.75" thickBot="1" x14ac:dyDescent="0.3">
      <c r="A84" s="44" t="s">
        <v>1013</v>
      </c>
      <c r="B84" s="45" t="s">
        <v>1014</v>
      </c>
      <c r="C84" s="44" t="s">
        <v>798</v>
      </c>
      <c r="D84" s="47">
        <v>6838</v>
      </c>
      <c r="E84" s="47">
        <v>13871</v>
      </c>
      <c r="F84" s="47">
        <v>575</v>
      </c>
      <c r="G84" s="47">
        <v>475</v>
      </c>
      <c r="H84" s="47">
        <v>51</v>
      </c>
      <c r="I84" s="47">
        <v>2</v>
      </c>
      <c r="J84" s="47">
        <v>14405</v>
      </c>
      <c r="K84" s="47">
        <v>0</v>
      </c>
      <c r="L84" s="47">
        <v>0</v>
      </c>
      <c r="M84" s="47">
        <f t="shared" ref="M84:M115" si="14">J84+K84+L84</f>
        <v>14405</v>
      </c>
      <c r="N84" s="251">
        <f t="shared" ref="N84:N115" si="15">E84+F84+G84+J84+K84+L84</f>
        <v>29326</v>
      </c>
      <c r="O84" s="53">
        <f t="shared" ref="O84:O115" si="16">(J84+K84+L84)/D84</f>
        <v>2.1066101199181047</v>
      </c>
      <c r="P84" s="72">
        <f t="shared" si="13"/>
        <v>2.1820707809300965</v>
      </c>
      <c r="Q84" s="72">
        <f t="shared" ref="Q84:Q115" si="17">N84/D84</f>
        <v>4.2886809008482016</v>
      </c>
    </row>
    <row r="85" spans="1:17" ht="15.75" thickBot="1" x14ac:dyDescent="0.3">
      <c r="A85" s="44" t="s">
        <v>1019</v>
      </c>
      <c r="B85" s="45" t="s">
        <v>1020</v>
      </c>
      <c r="C85" s="44" t="s">
        <v>798</v>
      </c>
      <c r="D85" s="47">
        <v>4869</v>
      </c>
      <c r="E85" s="47">
        <v>16724</v>
      </c>
      <c r="F85" s="47">
        <v>490</v>
      </c>
      <c r="G85" s="47">
        <v>353</v>
      </c>
      <c r="H85" s="47">
        <v>24</v>
      </c>
      <c r="I85" s="47">
        <v>0</v>
      </c>
      <c r="J85" s="47">
        <v>42000</v>
      </c>
      <c r="K85" s="47">
        <v>0</v>
      </c>
      <c r="L85" s="47">
        <v>0</v>
      </c>
      <c r="M85" s="47">
        <f t="shared" si="14"/>
        <v>42000</v>
      </c>
      <c r="N85" s="251">
        <f t="shared" si="15"/>
        <v>59567</v>
      </c>
      <c r="O85" s="53">
        <f t="shared" si="16"/>
        <v>8.6260012322858906</v>
      </c>
      <c r="P85" s="72">
        <f t="shared" si="13"/>
        <v>3.6079277058944341</v>
      </c>
      <c r="Q85" s="72">
        <f t="shared" si="17"/>
        <v>12.233928938180325</v>
      </c>
    </row>
    <row r="86" spans="1:17" ht="15.75" thickBot="1" x14ac:dyDescent="0.3">
      <c r="A86" s="44" t="s">
        <v>1021</v>
      </c>
      <c r="B86" s="45" t="s">
        <v>1022</v>
      </c>
      <c r="C86" s="44" t="s">
        <v>798</v>
      </c>
      <c r="D86" s="47">
        <v>4768</v>
      </c>
      <c r="E86" s="47">
        <v>24286</v>
      </c>
      <c r="F86" s="47">
        <v>1532</v>
      </c>
      <c r="G86" s="47">
        <v>1116</v>
      </c>
      <c r="H86" s="47">
        <v>57</v>
      </c>
      <c r="I86" s="47">
        <v>1</v>
      </c>
      <c r="J86" s="47">
        <v>12814</v>
      </c>
      <c r="K86" s="47">
        <v>1999</v>
      </c>
      <c r="L86" s="47">
        <v>0</v>
      </c>
      <c r="M86" s="47">
        <f t="shared" si="14"/>
        <v>14813</v>
      </c>
      <c r="N86" s="251">
        <f t="shared" si="15"/>
        <v>41747</v>
      </c>
      <c r="O86" s="53">
        <f t="shared" si="16"/>
        <v>3.106753355704698</v>
      </c>
      <c r="P86" s="72">
        <f t="shared" si="13"/>
        <v>5.6489093959731544</v>
      </c>
      <c r="Q86" s="72">
        <f t="shared" si="17"/>
        <v>8.7556627516778516</v>
      </c>
    </row>
    <row r="87" spans="1:17" ht="15.75" thickBot="1" x14ac:dyDescent="0.3">
      <c r="A87" s="44" t="s">
        <v>1035</v>
      </c>
      <c r="B87" s="45" t="s">
        <v>1036</v>
      </c>
      <c r="C87" s="44" t="s">
        <v>798</v>
      </c>
      <c r="D87" s="47">
        <v>5432</v>
      </c>
      <c r="E87" s="47">
        <v>17078</v>
      </c>
      <c r="F87" s="47">
        <v>1121</v>
      </c>
      <c r="G87" s="47">
        <v>1847</v>
      </c>
      <c r="H87" s="47">
        <v>62</v>
      </c>
      <c r="I87" s="47">
        <v>0</v>
      </c>
      <c r="J87" s="47">
        <v>24445</v>
      </c>
      <c r="K87" s="47">
        <v>4355</v>
      </c>
      <c r="L87" s="47">
        <v>137</v>
      </c>
      <c r="M87" s="47">
        <f t="shared" si="14"/>
        <v>28937</v>
      </c>
      <c r="N87" s="251">
        <f t="shared" si="15"/>
        <v>48983</v>
      </c>
      <c r="O87" s="53">
        <f t="shared" si="16"/>
        <v>5.3271354933726069</v>
      </c>
      <c r="P87" s="72">
        <f t="shared" si="13"/>
        <v>3.6903534609720179</v>
      </c>
      <c r="Q87" s="72">
        <f t="shared" si="17"/>
        <v>9.0174889543446248</v>
      </c>
    </row>
    <row r="88" spans="1:17" ht="15.75" thickBot="1" x14ac:dyDescent="0.3">
      <c r="A88" s="44" t="s">
        <v>1065</v>
      </c>
      <c r="B88" s="45" t="s">
        <v>1066</v>
      </c>
      <c r="C88" s="44" t="s">
        <v>798</v>
      </c>
      <c r="D88" s="47">
        <v>6164</v>
      </c>
      <c r="E88" s="47">
        <v>16514</v>
      </c>
      <c r="F88" s="47">
        <v>894</v>
      </c>
      <c r="G88" s="47">
        <v>1577</v>
      </c>
      <c r="H88" s="47">
        <v>26</v>
      </c>
      <c r="I88" s="47">
        <v>0</v>
      </c>
      <c r="J88" s="47">
        <v>8249</v>
      </c>
      <c r="K88" s="47">
        <v>3530</v>
      </c>
      <c r="L88" s="47">
        <v>264</v>
      </c>
      <c r="M88" s="47">
        <f t="shared" si="14"/>
        <v>12043</v>
      </c>
      <c r="N88" s="251">
        <f t="shared" si="15"/>
        <v>31028</v>
      </c>
      <c r="O88" s="53">
        <f t="shared" si="16"/>
        <v>1.9537637897469176</v>
      </c>
      <c r="P88" s="72">
        <f t="shared" si="13"/>
        <v>3.0799805321219988</v>
      </c>
      <c r="Q88" s="72">
        <f t="shared" si="17"/>
        <v>5.033744321868916</v>
      </c>
    </row>
    <row r="89" spans="1:17" ht="15.75" thickBot="1" x14ac:dyDescent="0.3">
      <c r="A89" s="44" t="s">
        <v>1075</v>
      </c>
      <c r="B89" s="45" t="s">
        <v>1076</v>
      </c>
      <c r="C89" s="44" t="s">
        <v>798</v>
      </c>
      <c r="D89" s="47">
        <v>5641</v>
      </c>
      <c r="E89" s="47">
        <v>17130</v>
      </c>
      <c r="F89" s="47">
        <v>915</v>
      </c>
      <c r="G89" s="47">
        <v>2154</v>
      </c>
      <c r="H89" s="47">
        <v>10</v>
      </c>
      <c r="I89" s="47">
        <v>0</v>
      </c>
      <c r="J89" s="47">
        <v>8126</v>
      </c>
      <c r="K89" s="47">
        <v>3263</v>
      </c>
      <c r="L89" s="47">
        <v>0</v>
      </c>
      <c r="M89" s="47">
        <f t="shared" si="14"/>
        <v>11389</v>
      </c>
      <c r="N89" s="251">
        <f t="shared" si="15"/>
        <v>31588</v>
      </c>
      <c r="O89" s="53">
        <f t="shared" si="16"/>
        <v>2.018968268037582</v>
      </c>
      <c r="P89" s="72">
        <f t="shared" si="13"/>
        <v>3.5807480943095196</v>
      </c>
      <c r="Q89" s="72">
        <f t="shared" si="17"/>
        <v>5.5997163623471016</v>
      </c>
    </row>
    <row r="90" spans="1:17" ht="15.75" thickBot="1" x14ac:dyDescent="0.3">
      <c r="A90" s="44" t="s">
        <v>1119</v>
      </c>
      <c r="B90" s="45" t="s">
        <v>1120</v>
      </c>
      <c r="C90" s="44" t="s">
        <v>798</v>
      </c>
      <c r="D90" s="47">
        <v>6119</v>
      </c>
      <c r="E90" s="47">
        <v>18190</v>
      </c>
      <c r="F90" s="47">
        <v>783</v>
      </c>
      <c r="G90" s="47">
        <v>2688</v>
      </c>
      <c r="H90" s="47">
        <v>38</v>
      </c>
      <c r="I90" s="47">
        <v>2</v>
      </c>
      <c r="J90" s="47">
        <v>16451</v>
      </c>
      <c r="K90" s="47">
        <v>4218</v>
      </c>
      <c r="L90" s="47">
        <v>0</v>
      </c>
      <c r="M90" s="47">
        <f t="shared" si="14"/>
        <v>20669</v>
      </c>
      <c r="N90" s="251">
        <f t="shared" si="15"/>
        <v>42330</v>
      </c>
      <c r="O90" s="53">
        <f t="shared" si="16"/>
        <v>3.3778395162608268</v>
      </c>
      <c r="P90" s="72">
        <f t="shared" si="13"/>
        <v>3.5399575093969604</v>
      </c>
      <c r="Q90" s="72">
        <f t="shared" si="17"/>
        <v>6.9177970256577872</v>
      </c>
    </row>
    <row r="91" spans="1:17" ht="15.75" thickBot="1" x14ac:dyDescent="0.3">
      <c r="A91" s="44" t="s">
        <v>1129</v>
      </c>
      <c r="B91" s="45" t="s">
        <v>1130</v>
      </c>
      <c r="C91" s="44" t="s">
        <v>798</v>
      </c>
      <c r="D91" s="47">
        <v>6582</v>
      </c>
      <c r="E91" s="47">
        <v>55000</v>
      </c>
      <c r="F91" s="47">
        <v>1300</v>
      </c>
      <c r="G91" s="47">
        <v>1600</v>
      </c>
      <c r="H91" s="47">
        <v>19</v>
      </c>
      <c r="I91" s="47">
        <v>1</v>
      </c>
      <c r="J91" s="47">
        <v>176</v>
      </c>
      <c r="K91" s="47">
        <v>0</v>
      </c>
      <c r="L91" s="47">
        <v>0</v>
      </c>
      <c r="M91" s="47">
        <f t="shared" si="14"/>
        <v>176</v>
      </c>
      <c r="N91" s="251">
        <f t="shared" si="15"/>
        <v>58076</v>
      </c>
      <c r="O91" s="53">
        <f t="shared" si="16"/>
        <v>2.6739592828927378E-2</v>
      </c>
      <c r="P91" s="72">
        <f t="shared" si="13"/>
        <v>8.7967183226982684</v>
      </c>
      <c r="Q91" s="72">
        <f t="shared" si="17"/>
        <v>8.8234579155271948</v>
      </c>
    </row>
    <row r="92" spans="1:17" ht="15.75" thickBot="1" x14ac:dyDescent="0.3">
      <c r="A92" s="44" t="s">
        <v>1139</v>
      </c>
      <c r="B92" s="45" t="s">
        <v>1140</v>
      </c>
      <c r="C92" s="44" t="s">
        <v>798</v>
      </c>
      <c r="D92" s="47">
        <v>5933</v>
      </c>
      <c r="E92" s="47">
        <v>26753</v>
      </c>
      <c r="F92" s="47">
        <v>1569</v>
      </c>
      <c r="G92" s="47">
        <v>1272</v>
      </c>
      <c r="H92" s="47">
        <v>20</v>
      </c>
      <c r="I92" s="47">
        <v>4</v>
      </c>
      <c r="J92" s="47">
        <v>7364</v>
      </c>
      <c r="K92" s="47">
        <v>2929</v>
      </c>
      <c r="L92" s="47">
        <v>0</v>
      </c>
      <c r="M92" s="47">
        <f t="shared" si="14"/>
        <v>10293</v>
      </c>
      <c r="N92" s="251">
        <f t="shared" si="15"/>
        <v>39887</v>
      </c>
      <c r="O92" s="53">
        <f t="shared" si="16"/>
        <v>1.7348727456598685</v>
      </c>
      <c r="P92" s="72">
        <f t="shared" si="13"/>
        <v>4.9880330355637961</v>
      </c>
      <c r="Q92" s="72">
        <f t="shared" si="17"/>
        <v>6.7229057812236643</v>
      </c>
    </row>
    <row r="93" spans="1:17" ht="15.75" thickBot="1" x14ac:dyDescent="0.3">
      <c r="A93" s="44" t="s">
        <v>1147</v>
      </c>
      <c r="B93" s="45" t="s">
        <v>1148</v>
      </c>
      <c r="C93" s="44" t="s">
        <v>798</v>
      </c>
      <c r="D93" s="47">
        <v>4220</v>
      </c>
      <c r="E93" s="47">
        <v>14890</v>
      </c>
      <c r="F93" s="47">
        <v>738</v>
      </c>
      <c r="G93" s="47">
        <v>1051</v>
      </c>
      <c r="H93" s="47">
        <v>19</v>
      </c>
      <c r="I93" s="47">
        <v>0</v>
      </c>
      <c r="J93" s="47">
        <v>8855</v>
      </c>
      <c r="K93" s="47">
        <v>19533</v>
      </c>
      <c r="L93" s="47">
        <v>400</v>
      </c>
      <c r="M93" s="47">
        <f t="shared" si="14"/>
        <v>28788</v>
      </c>
      <c r="N93" s="251">
        <f t="shared" si="15"/>
        <v>45467</v>
      </c>
      <c r="O93" s="53">
        <f t="shared" si="16"/>
        <v>6.821800947867299</v>
      </c>
      <c r="P93" s="72">
        <f t="shared" si="13"/>
        <v>3.9523696682464453</v>
      </c>
      <c r="Q93" s="72">
        <f t="shared" si="17"/>
        <v>10.774170616113745</v>
      </c>
    </row>
    <row r="94" spans="1:17" ht="15.75" thickBot="1" x14ac:dyDescent="0.3">
      <c r="A94" s="44" t="s">
        <v>1151</v>
      </c>
      <c r="B94" s="45" t="s">
        <v>1152</v>
      </c>
      <c r="C94" s="44" t="s">
        <v>798</v>
      </c>
      <c r="D94" s="47">
        <v>4610</v>
      </c>
      <c r="E94" s="47">
        <v>25299</v>
      </c>
      <c r="F94" s="47">
        <v>428</v>
      </c>
      <c r="G94" s="47">
        <v>789</v>
      </c>
      <c r="H94" s="47">
        <v>20</v>
      </c>
      <c r="I94" s="47">
        <v>3</v>
      </c>
      <c r="J94" s="47">
        <v>23142</v>
      </c>
      <c r="K94" s="47">
        <v>3136</v>
      </c>
      <c r="L94" s="47">
        <v>0</v>
      </c>
      <c r="M94" s="47">
        <f t="shared" si="14"/>
        <v>26278</v>
      </c>
      <c r="N94" s="251">
        <f t="shared" si="15"/>
        <v>52794</v>
      </c>
      <c r="O94" s="53">
        <f t="shared" si="16"/>
        <v>5.7002169197396961</v>
      </c>
      <c r="P94" s="72">
        <f t="shared" si="13"/>
        <v>5.7518438177874183</v>
      </c>
      <c r="Q94" s="72">
        <f t="shared" si="17"/>
        <v>11.452060737527114</v>
      </c>
    </row>
    <row r="95" spans="1:17" ht="15.75" thickBot="1" x14ac:dyDescent="0.3">
      <c r="A95" s="44" t="s">
        <v>1157</v>
      </c>
      <c r="B95" s="45" t="s">
        <v>1158</v>
      </c>
      <c r="C95" s="44" t="s">
        <v>798</v>
      </c>
      <c r="D95" s="47">
        <v>5531</v>
      </c>
      <c r="E95" s="47">
        <v>19481</v>
      </c>
      <c r="F95" s="47">
        <v>1889</v>
      </c>
      <c r="G95" s="47">
        <v>1590</v>
      </c>
      <c r="H95" s="47">
        <v>0</v>
      </c>
      <c r="I95" s="47">
        <v>0</v>
      </c>
      <c r="J95" s="47">
        <v>5806</v>
      </c>
      <c r="K95" s="47">
        <v>2631</v>
      </c>
      <c r="L95" s="47">
        <v>0</v>
      </c>
      <c r="M95" s="47">
        <f t="shared" si="14"/>
        <v>8437</v>
      </c>
      <c r="N95" s="251">
        <f t="shared" si="15"/>
        <v>31397</v>
      </c>
      <c r="O95" s="53">
        <f t="shared" si="16"/>
        <v>1.5254022780690653</v>
      </c>
      <c r="P95" s="72">
        <f t="shared" si="13"/>
        <v>4.1511480744892424</v>
      </c>
      <c r="Q95" s="72">
        <f t="shared" si="17"/>
        <v>5.6765503525583076</v>
      </c>
    </row>
    <row r="96" spans="1:17" ht="15.75" thickBot="1" x14ac:dyDescent="0.3">
      <c r="A96" s="44" t="s">
        <v>1161</v>
      </c>
      <c r="B96" s="45" t="s">
        <v>1162</v>
      </c>
      <c r="C96" s="44" t="s">
        <v>798</v>
      </c>
      <c r="D96" s="47">
        <v>5107</v>
      </c>
      <c r="E96" s="47">
        <v>40521</v>
      </c>
      <c r="F96" s="47">
        <v>674</v>
      </c>
      <c r="G96" s="47">
        <v>871</v>
      </c>
      <c r="H96" s="47">
        <v>36</v>
      </c>
      <c r="I96" s="47">
        <v>4</v>
      </c>
      <c r="J96" s="47">
        <v>13000</v>
      </c>
      <c r="K96" s="47">
        <v>3000</v>
      </c>
      <c r="L96" s="47">
        <v>0</v>
      </c>
      <c r="M96" s="47">
        <f t="shared" si="14"/>
        <v>16000</v>
      </c>
      <c r="N96" s="251">
        <f t="shared" si="15"/>
        <v>58066</v>
      </c>
      <c r="O96" s="53">
        <f t="shared" si="16"/>
        <v>3.1329547679655376</v>
      </c>
      <c r="P96" s="72">
        <f t="shared" si="13"/>
        <v>8.2369297043273946</v>
      </c>
      <c r="Q96" s="72">
        <f t="shared" si="17"/>
        <v>11.369884472292931</v>
      </c>
    </row>
    <row r="97" spans="1:17" ht="15.75" thickBot="1" x14ac:dyDescent="0.3">
      <c r="A97" s="44" t="s">
        <v>1167</v>
      </c>
      <c r="B97" s="45" t="s">
        <v>1168</v>
      </c>
      <c r="C97" s="44" t="s">
        <v>798</v>
      </c>
      <c r="D97" s="47">
        <v>5784</v>
      </c>
      <c r="E97" s="47">
        <v>24624</v>
      </c>
      <c r="F97" s="47">
        <v>2418</v>
      </c>
      <c r="G97" s="47">
        <v>2177</v>
      </c>
      <c r="H97" s="47">
        <v>56</v>
      </c>
      <c r="I97" s="47">
        <v>0</v>
      </c>
      <c r="J97" s="47">
        <v>0</v>
      </c>
      <c r="K97" s="47">
        <v>0</v>
      </c>
      <c r="L97" s="47">
        <v>0</v>
      </c>
      <c r="M97" s="47">
        <f t="shared" si="14"/>
        <v>0</v>
      </c>
      <c r="N97" s="251">
        <f t="shared" si="15"/>
        <v>29219</v>
      </c>
      <c r="O97" s="53">
        <f t="shared" si="16"/>
        <v>0</v>
      </c>
      <c r="P97" s="72">
        <f t="shared" si="13"/>
        <v>5.051694329183956</v>
      </c>
      <c r="Q97" s="72">
        <f t="shared" si="17"/>
        <v>5.051694329183956</v>
      </c>
    </row>
    <row r="98" spans="1:17" ht="15.75" thickBot="1" x14ac:dyDescent="0.3">
      <c r="A98" s="44" t="s">
        <v>1173</v>
      </c>
      <c r="B98" s="45" t="s">
        <v>1174</v>
      </c>
      <c r="C98" s="44" t="s">
        <v>798</v>
      </c>
      <c r="D98" s="47">
        <v>5713</v>
      </c>
      <c r="E98" s="47">
        <v>30052</v>
      </c>
      <c r="F98" s="47">
        <v>1063</v>
      </c>
      <c r="G98" s="47">
        <v>1312</v>
      </c>
      <c r="H98" s="47">
        <v>30</v>
      </c>
      <c r="I98" s="47">
        <v>0</v>
      </c>
      <c r="J98" s="47">
        <v>8543</v>
      </c>
      <c r="K98" s="47">
        <v>3883</v>
      </c>
      <c r="L98" s="47">
        <v>285</v>
      </c>
      <c r="M98" s="47">
        <f t="shared" si="14"/>
        <v>12711</v>
      </c>
      <c r="N98" s="251">
        <f t="shared" si="15"/>
        <v>45138</v>
      </c>
      <c r="O98" s="53">
        <f t="shared" si="16"/>
        <v>2.2249256082618589</v>
      </c>
      <c r="P98" s="72">
        <f t="shared" si="13"/>
        <v>5.6760021004726067</v>
      </c>
      <c r="Q98" s="72">
        <f t="shared" si="17"/>
        <v>7.9009277087344651</v>
      </c>
    </row>
    <row r="99" spans="1:17" ht="15.75" thickBot="1" x14ac:dyDescent="0.3">
      <c r="A99" s="44" t="s">
        <v>1177</v>
      </c>
      <c r="B99" s="45" t="s">
        <v>1178</v>
      </c>
      <c r="C99" s="44" t="s">
        <v>798</v>
      </c>
      <c r="D99" s="47">
        <v>6443</v>
      </c>
      <c r="E99" s="47">
        <v>16519</v>
      </c>
      <c r="F99" s="47">
        <v>291</v>
      </c>
      <c r="G99" s="47">
        <v>925</v>
      </c>
      <c r="H99" s="47">
        <v>25</v>
      </c>
      <c r="I99" s="47">
        <v>0</v>
      </c>
      <c r="J99" s="47">
        <v>16601</v>
      </c>
      <c r="K99" s="47">
        <v>3360</v>
      </c>
      <c r="L99" s="47">
        <v>290</v>
      </c>
      <c r="M99" s="47">
        <f t="shared" si="14"/>
        <v>20251</v>
      </c>
      <c r="N99" s="251">
        <f t="shared" si="15"/>
        <v>37986</v>
      </c>
      <c r="O99" s="53">
        <f t="shared" si="16"/>
        <v>3.1431010398882506</v>
      </c>
      <c r="P99" s="72">
        <f t="shared" si="13"/>
        <v>2.7525997206270372</v>
      </c>
      <c r="Q99" s="72">
        <f t="shared" si="17"/>
        <v>5.8957007605152878</v>
      </c>
    </row>
    <row r="100" spans="1:17" ht="15.75" thickBot="1" x14ac:dyDescent="0.3">
      <c r="A100" s="44" t="s">
        <v>1181</v>
      </c>
      <c r="B100" s="45" t="s">
        <v>1182</v>
      </c>
      <c r="C100" s="44" t="s">
        <v>798</v>
      </c>
      <c r="D100" s="47">
        <v>4080</v>
      </c>
      <c r="E100" s="47">
        <v>21730</v>
      </c>
      <c r="F100" s="47">
        <v>217</v>
      </c>
      <c r="G100" s="47">
        <v>2233</v>
      </c>
      <c r="H100" s="47">
        <v>8</v>
      </c>
      <c r="I100" s="47">
        <v>5</v>
      </c>
      <c r="J100" s="47">
        <v>21951</v>
      </c>
      <c r="K100" s="47">
        <v>4315</v>
      </c>
      <c r="L100" s="47">
        <v>0</v>
      </c>
      <c r="M100" s="47">
        <f t="shared" si="14"/>
        <v>26266</v>
      </c>
      <c r="N100" s="251">
        <f t="shared" si="15"/>
        <v>50446</v>
      </c>
      <c r="O100" s="53">
        <f t="shared" si="16"/>
        <v>6.4377450980392155</v>
      </c>
      <c r="P100" s="72">
        <f t="shared" si="13"/>
        <v>5.9264705882352944</v>
      </c>
      <c r="Q100" s="72">
        <f t="shared" si="17"/>
        <v>12.364215686274509</v>
      </c>
    </row>
    <row r="101" spans="1:17" ht="15.75" thickBot="1" x14ac:dyDescent="0.3">
      <c r="A101" s="44" t="s">
        <v>1183</v>
      </c>
      <c r="B101" s="45" t="s">
        <v>1184</v>
      </c>
      <c r="C101" s="44" t="s">
        <v>798</v>
      </c>
      <c r="D101" s="47">
        <v>5210</v>
      </c>
      <c r="E101" s="47">
        <v>25512</v>
      </c>
      <c r="F101" s="47">
        <v>1769</v>
      </c>
      <c r="G101" s="47">
        <v>2700</v>
      </c>
      <c r="H101" s="47">
        <v>22</v>
      </c>
      <c r="I101" s="47">
        <v>5</v>
      </c>
      <c r="J101" s="47">
        <v>1527</v>
      </c>
      <c r="K101" s="47">
        <v>742</v>
      </c>
      <c r="L101" s="47">
        <v>0</v>
      </c>
      <c r="M101" s="47">
        <f t="shared" si="14"/>
        <v>2269</v>
      </c>
      <c r="N101" s="251">
        <f t="shared" si="15"/>
        <v>32250</v>
      </c>
      <c r="O101" s="53">
        <f t="shared" si="16"/>
        <v>0.43550863723608446</v>
      </c>
      <c r="P101" s="72">
        <f t="shared" si="13"/>
        <v>5.7545105566218808</v>
      </c>
      <c r="Q101" s="72">
        <f t="shared" si="17"/>
        <v>6.1900191938579656</v>
      </c>
    </row>
    <row r="102" spans="1:17" ht="15.75" thickBot="1" x14ac:dyDescent="0.3">
      <c r="A102" s="44" t="s">
        <v>1185</v>
      </c>
      <c r="B102" s="45" t="s">
        <v>1186</v>
      </c>
      <c r="C102" s="44" t="s">
        <v>798</v>
      </c>
      <c r="D102" s="47">
        <v>6997</v>
      </c>
      <c r="E102" s="47">
        <v>30322</v>
      </c>
      <c r="F102" s="47">
        <v>2307</v>
      </c>
      <c r="G102" s="47">
        <v>2497</v>
      </c>
      <c r="H102" s="47">
        <v>101</v>
      </c>
      <c r="I102" s="47">
        <v>4</v>
      </c>
      <c r="J102" s="47">
        <v>32826</v>
      </c>
      <c r="K102" s="47">
        <v>3192</v>
      </c>
      <c r="L102" s="47">
        <v>225</v>
      </c>
      <c r="M102" s="47">
        <f t="shared" si="14"/>
        <v>36243</v>
      </c>
      <c r="N102" s="251">
        <f t="shared" si="15"/>
        <v>71369</v>
      </c>
      <c r="O102" s="53">
        <f t="shared" si="16"/>
        <v>5.1797913391453481</v>
      </c>
      <c r="P102" s="72">
        <f t="shared" si="13"/>
        <v>5.0201514934972131</v>
      </c>
      <c r="Q102" s="72">
        <f t="shared" si="17"/>
        <v>10.199942832642561</v>
      </c>
    </row>
    <row r="103" spans="1:17" ht="15.75" thickBot="1" x14ac:dyDescent="0.3">
      <c r="A103" s="44" t="s">
        <v>1197</v>
      </c>
      <c r="B103" s="45" t="s">
        <v>1198</v>
      </c>
      <c r="C103" s="44" t="s">
        <v>798</v>
      </c>
      <c r="D103" s="47">
        <v>4168</v>
      </c>
      <c r="E103" s="47">
        <v>29536</v>
      </c>
      <c r="F103" s="47">
        <v>2382</v>
      </c>
      <c r="G103" s="47">
        <v>3631</v>
      </c>
      <c r="H103" s="47">
        <v>18</v>
      </c>
      <c r="I103" s="47">
        <v>1</v>
      </c>
      <c r="J103" s="47">
        <v>7910</v>
      </c>
      <c r="K103" s="47">
        <v>3163</v>
      </c>
      <c r="L103" s="47">
        <v>0</v>
      </c>
      <c r="M103" s="47">
        <f t="shared" si="14"/>
        <v>11073</v>
      </c>
      <c r="N103" s="251">
        <f t="shared" si="15"/>
        <v>46622</v>
      </c>
      <c r="O103" s="53">
        <f t="shared" si="16"/>
        <v>2.6566698656429941</v>
      </c>
      <c r="P103" s="72">
        <f t="shared" si="13"/>
        <v>8.5290307101727443</v>
      </c>
      <c r="Q103" s="72">
        <f t="shared" si="17"/>
        <v>11.185700575815739</v>
      </c>
    </row>
    <row r="104" spans="1:17" ht="15.75" thickBot="1" x14ac:dyDescent="0.3">
      <c r="A104" s="44" t="s">
        <v>1211</v>
      </c>
      <c r="B104" s="45" t="s">
        <v>1212</v>
      </c>
      <c r="C104" s="44" t="s">
        <v>798</v>
      </c>
      <c r="D104" s="47">
        <v>4934</v>
      </c>
      <c r="E104" s="47">
        <v>26057</v>
      </c>
      <c r="F104" s="47">
        <v>3765</v>
      </c>
      <c r="G104" s="47">
        <v>6154</v>
      </c>
      <c r="H104" s="47">
        <v>43</v>
      </c>
      <c r="I104" s="47">
        <v>0</v>
      </c>
      <c r="J104" s="47">
        <v>7955</v>
      </c>
      <c r="K104" s="47">
        <v>9223</v>
      </c>
      <c r="L104" s="47">
        <v>0</v>
      </c>
      <c r="M104" s="47">
        <f t="shared" si="14"/>
        <v>17178</v>
      </c>
      <c r="N104" s="251">
        <f t="shared" si="15"/>
        <v>53154</v>
      </c>
      <c r="O104" s="53">
        <f t="shared" si="16"/>
        <v>3.481556546412647</v>
      </c>
      <c r="P104" s="72">
        <f t="shared" si="13"/>
        <v>7.2914471017430076</v>
      </c>
      <c r="Q104" s="72">
        <f t="shared" si="17"/>
        <v>10.773003648155655</v>
      </c>
    </row>
    <row r="105" spans="1:17" ht="15.75" thickBot="1" x14ac:dyDescent="0.3">
      <c r="A105" s="44" t="s">
        <v>1213</v>
      </c>
      <c r="B105" s="45" t="s">
        <v>1214</v>
      </c>
      <c r="C105" s="44" t="s">
        <v>798</v>
      </c>
      <c r="D105" s="47">
        <v>5857</v>
      </c>
      <c r="E105" s="47">
        <v>21612</v>
      </c>
      <c r="F105" s="47">
        <v>2830</v>
      </c>
      <c r="G105" s="47">
        <v>5755</v>
      </c>
      <c r="H105" s="47">
        <v>64</v>
      </c>
      <c r="I105" s="47">
        <v>0</v>
      </c>
      <c r="J105" s="47">
        <v>24028</v>
      </c>
      <c r="K105" s="47">
        <v>7700</v>
      </c>
      <c r="L105" s="47">
        <v>133</v>
      </c>
      <c r="M105" s="47">
        <f t="shared" si="14"/>
        <v>31861</v>
      </c>
      <c r="N105" s="251">
        <f t="shared" si="15"/>
        <v>62058</v>
      </c>
      <c r="O105" s="53">
        <f t="shared" si="16"/>
        <v>5.4398156052586648</v>
      </c>
      <c r="P105" s="72">
        <f t="shared" si="13"/>
        <v>5.1557111149052419</v>
      </c>
      <c r="Q105" s="72">
        <f t="shared" si="17"/>
        <v>10.595526720163907</v>
      </c>
    </row>
    <row r="106" spans="1:17" ht="15.75" thickBot="1" x14ac:dyDescent="0.3">
      <c r="A106" s="44" t="s">
        <v>1233</v>
      </c>
      <c r="B106" s="45" t="s">
        <v>1234</v>
      </c>
      <c r="C106" s="44" t="s">
        <v>798</v>
      </c>
      <c r="D106" s="47">
        <v>4141</v>
      </c>
      <c r="E106" s="47">
        <v>15138</v>
      </c>
      <c r="F106" s="47">
        <v>553</v>
      </c>
      <c r="G106" s="47">
        <v>3580</v>
      </c>
      <c r="H106" s="47">
        <v>0</v>
      </c>
      <c r="I106" s="47">
        <v>0</v>
      </c>
      <c r="J106" s="47">
        <v>33908</v>
      </c>
      <c r="K106" s="47">
        <v>8450</v>
      </c>
      <c r="L106" s="47">
        <v>125</v>
      </c>
      <c r="M106" s="47">
        <f t="shared" si="14"/>
        <v>42483</v>
      </c>
      <c r="N106" s="251">
        <f t="shared" si="15"/>
        <v>61754</v>
      </c>
      <c r="O106" s="53">
        <f t="shared" si="16"/>
        <v>10.25911615551799</v>
      </c>
      <c r="P106" s="72">
        <f t="shared" si="13"/>
        <v>4.6537068340980436</v>
      </c>
      <c r="Q106" s="72">
        <f t="shared" si="17"/>
        <v>14.912822989616036</v>
      </c>
    </row>
    <row r="107" spans="1:17" ht="15.75" thickBot="1" x14ac:dyDescent="0.3">
      <c r="A107" s="44" t="s">
        <v>1239</v>
      </c>
      <c r="B107" s="45" t="s">
        <v>1240</v>
      </c>
      <c r="C107" s="44" t="s">
        <v>798</v>
      </c>
      <c r="D107" s="47">
        <v>4197</v>
      </c>
      <c r="E107" s="47">
        <v>21911</v>
      </c>
      <c r="F107" s="47">
        <v>780</v>
      </c>
      <c r="G107" s="47">
        <v>205</v>
      </c>
      <c r="H107" s="47">
        <v>0</v>
      </c>
      <c r="I107" s="47">
        <v>1</v>
      </c>
      <c r="J107" s="47">
        <v>0</v>
      </c>
      <c r="K107" s="47">
        <v>0</v>
      </c>
      <c r="L107" s="47">
        <v>0</v>
      </c>
      <c r="M107" s="47">
        <f t="shared" si="14"/>
        <v>0</v>
      </c>
      <c r="N107" s="251">
        <f t="shared" si="15"/>
        <v>22896</v>
      </c>
      <c r="O107" s="53">
        <f t="shared" si="16"/>
        <v>0</v>
      </c>
      <c r="P107" s="72">
        <f t="shared" si="13"/>
        <v>5.455325232308792</v>
      </c>
      <c r="Q107" s="72">
        <f t="shared" si="17"/>
        <v>5.455325232308792</v>
      </c>
    </row>
    <row r="108" spans="1:17" ht="15.75" thickBot="1" x14ac:dyDescent="0.3">
      <c r="A108" s="44" t="s">
        <v>1245</v>
      </c>
      <c r="B108" s="45" t="s">
        <v>1246</v>
      </c>
      <c r="C108" s="44" t="s">
        <v>798</v>
      </c>
      <c r="D108" s="47">
        <v>5068</v>
      </c>
      <c r="E108" s="47">
        <v>46000</v>
      </c>
      <c r="F108" s="47">
        <v>1642</v>
      </c>
      <c r="G108" s="47">
        <v>5715</v>
      </c>
      <c r="H108" s="47">
        <v>77</v>
      </c>
      <c r="I108" s="47">
        <v>1</v>
      </c>
      <c r="J108" s="47">
        <v>24476</v>
      </c>
      <c r="K108" s="47">
        <v>4355</v>
      </c>
      <c r="L108" s="47">
        <v>137</v>
      </c>
      <c r="M108" s="47">
        <f t="shared" si="14"/>
        <v>28968</v>
      </c>
      <c r="N108" s="251">
        <f t="shared" si="15"/>
        <v>82325</v>
      </c>
      <c r="O108" s="53">
        <f t="shared" si="16"/>
        <v>5.7158642462509865</v>
      </c>
      <c r="P108" s="72">
        <f t="shared" si="13"/>
        <v>10.528216258879242</v>
      </c>
      <c r="Q108" s="72">
        <f t="shared" si="17"/>
        <v>16.244080505130228</v>
      </c>
    </row>
    <row r="109" spans="1:17" ht="15.75" thickBot="1" x14ac:dyDescent="0.3">
      <c r="A109" s="44" t="s">
        <v>1249</v>
      </c>
      <c r="B109" s="45" t="s">
        <v>1250</v>
      </c>
      <c r="C109" s="44" t="s">
        <v>798</v>
      </c>
      <c r="D109" s="47">
        <v>4968</v>
      </c>
      <c r="E109" s="47">
        <v>14582</v>
      </c>
      <c r="F109" s="47">
        <v>371</v>
      </c>
      <c r="G109" s="47">
        <v>949</v>
      </c>
      <c r="H109" s="47">
        <v>12</v>
      </c>
      <c r="I109" s="47">
        <v>0</v>
      </c>
      <c r="J109" s="47">
        <v>0</v>
      </c>
      <c r="K109" s="47">
        <v>8450</v>
      </c>
      <c r="L109" s="47">
        <v>0</v>
      </c>
      <c r="M109" s="47">
        <f t="shared" si="14"/>
        <v>8450</v>
      </c>
      <c r="N109" s="251">
        <f t="shared" si="15"/>
        <v>24352</v>
      </c>
      <c r="O109" s="53">
        <f t="shared" si="16"/>
        <v>1.7008856682769726</v>
      </c>
      <c r="P109" s="72">
        <f t="shared" si="13"/>
        <v>3.2008856682769724</v>
      </c>
      <c r="Q109" s="72">
        <f t="shared" si="17"/>
        <v>4.9017713365539448</v>
      </c>
    </row>
    <row r="110" spans="1:17" ht="15.75" thickBot="1" x14ac:dyDescent="0.3">
      <c r="A110" s="44" t="s">
        <v>1261</v>
      </c>
      <c r="B110" s="45" t="s">
        <v>1262</v>
      </c>
      <c r="C110" s="44" t="s">
        <v>798</v>
      </c>
      <c r="D110" s="47">
        <v>4101</v>
      </c>
      <c r="E110" s="47">
        <v>25582</v>
      </c>
      <c r="F110" s="47">
        <v>429</v>
      </c>
      <c r="G110" s="47">
        <v>3009</v>
      </c>
      <c r="H110" s="47">
        <v>12</v>
      </c>
      <c r="I110" s="47">
        <v>2</v>
      </c>
      <c r="J110" s="47">
        <v>12476</v>
      </c>
      <c r="K110" s="47">
        <v>2487</v>
      </c>
      <c r="L110" s="47">
        <v>245</v>
      </c>
      <c r="M110" s="47">
        <f t="shared" si="14"/>
        <v>15208</v>
      </c>
      <c r="N110" s="251">
        <f t="shared" si="15"/>
        <v>44228</v>
      </c>
      <c r="O110" s="53">
        <f t="shared" si="16"/>
        <v>3.7083638137039747</v>
      </c>
      <c r="P110" s="72">
        <f t="shared" si="13"/>
        <v>7.0763228480858329</v>
      </c>
      <c r="Q110" s="72">
        <f t="shared" si="17"/>
        <v>10.784686661789808</v>
      </c>
    </row>
    <row r="111" spans="1:17" ht="15.75" thickBot="1" x14ac:dyDescent="0.3">
      <c r="A111" s="44" t="s">
        <v>1263</v>
      </c>
      <c r="B111" s="45" t="s">
        <v>1264</v>
      </c>
      <c r="C111" s="44" t="s">
        <v>798</v>
      </c>
      <c r="D111" s="47">
        <v>5241</v>
      </c>
      <c r="E111" s="47">
        <v>19727</v>
      </c>
      <c r="F111" s="47">
        <v>921</v>
      </c>
      <c r="G111" s="47">
        <v>1154</v>
      </c>
      <c r="H111" s="47">
        <v>30</v>
      </c>
      <c r="I111" s="47">
        <v>0</v>
      </c>
      <c r="J111" s="47">
        <v>8492</v>
      </c>
      <c r="K111" s="47">
        <v>3514</v>
      </c>
      <c r="L111" s="47">
        <v>0</v>
      </c>
      <c r="M111" s="47">
        <f t="shared" si="14"/>
        <v>12006</v>
      </c>
      <c r="N111" s="251">
        <f t="shared" si="15"/>
        <v>33808</v>
      </c>
      <c r="O111" s="53">
        <f t="shared" si="16"/>
        <v>2.2907842014882656</v>
      </c>
      <c r="P111" s="72">
        <f t="shared" si="13"/>
        <v>4.1598931501621825</v>
      </c>
      <c r="Q111" s="72">
        <f t="shared" si="17"/>
        <v>6.4506773516504481</v>
      </c>
    </row>
    <row r="112" spans="1:17" ht="15.75" thickBot="1" x14ac:dyDescent="0.3">
      <c r="A112" s="44" t="s">
        <v>1271</v>
      </c>
      <c r="B112" s="45" t="s">
        <v>1272</v>
      </c>
      <c r="C112" s="44" t="s">
        <v>798</v>
      </c>
      <c r="D112" s="47">
        <v>5160</v>
      </c>
      <c r="E112" s="47">
        <v>23138</v>
      </c>
      <c r="F112" s="47">
        <v>1609</v>
      </c>
      <c r="G112" s="47">
        <v>2893</v>
      </c>
      <c r="H112" s="47">
        <v>69</v>
      </c>
      <c r="I112" s="47">
        <v>1</v>
      </c>
      <c r="J112" s="47">
        <v>14116</v>
      </c>
      <c r="K112" s="47">
        <v>3978</v>
      </c>
      <c r="L112" s="47">
        <v>0</v>
      </c>
      <c r="M112" s="47">
        <f t="shared" si="14"/>
        <v>18094</v>
      </c>
      <c r="N112" s="251">
        <f t="shared" si="15"/>
        <v>45734</v>
      </c>
      <c r="O112" s="53">
        <f t="shared" si="16"/>
        <v>3.5065891472868218</v>
      </c>
      <c r="P112" s="72">
        <f t="shared" si="13"/>
        <v>5.3565891472868215</v>
      </c>
      <c r="Q112" s="72">
        <f t="shared" si="17"/>
        <v>8.8631782945736433</v>
      </c>
    </row>
    <row r="113" spans="1:17" ht="15.75" thickBot="1" x14ac:dyDescent="0.3">
      <c r="A113" s="44" t="s">
        <v>1273</v>
      </c>
      <c r="B113" s="45" t="s">
        <v>1274</v>
      </c>
      <c r="C113" s="44" t="s">
        <v>798</v>
      </c>
      <c r="D113" s="47">
        <v>5841</v>
      </c>
      <c r="E113" s="47">
        <v>22748</v>
      </c>
      <c r="F113" s="47">
        <v>1054</v>
      </c>
      <c r="G113" s="47">
        <v>1435</v>
      </c>
      <c r="H113" s="47">
        <v>31</v>
      </c>
      <c r="I113" s="47">
        <v>1</v>
      </c>
      <c r="J113" s="47">
        <v>20557</v>
      </c>
      <c r="K113" s="47">
        <v>11691</v>
      </c>
      <c r="L113" s="47">
        <v>134</v>
      </c>
      <c r="M113" s="47">
        <f t="shared" si="14"/>
        <v>32382</v>
      </c>
      <c r="N113" s="251">
        <f t="shared" si="15"/>
        <v>57619</v>
      </c>
      <c r="O113" s="53">
        <f t="shared" si="16"/>
        <v>5.5439137134052388</v>
      </c>
      <c r="P113" s="72">
        <f t="shared" si="13"/>
        <v>4.3206642698168123</v>
      </c>
      <c r="Q113" s="72">
        <f t="shared" si="17"/>
        <v>9.8645779832220502</v>
      </c>
    </row>
    <row r="114" spans="1:17" ht="15.75" thickBot="1" x14ac:dyDescent="0.3">
      <c r="A114" s="44" t="s">
        <v>1279</v>
      </c>
      <c r="B114" s="45" t="s">
        <v>1280</v>
      </c>
      <c r="C114" s="44" t="s">
        <v>798</v>
      </c>
      <c r="D114" s="47">
        <v>4730</v>
      </c>
      <c r="E114" s="47">
        <v>33307</v>
      </c>
      <c r="F114" s="47">
        <v>713</v>
      </c>
      <c r="G114" s="47">
        <v>1859</v>
      </c>
      <c r="H114" s="47">
        <v>22</v>
      </c>
      <c r="I114" s="47">
        <v>1</v>
      </c>
      <c r="J114" s="47">
        <v>0</v>
      </c>
      <c r="K114" s="47">
        <v>0</v>
      </c>
      <c r="L114" s="47">
        <v>0</v>
      </c>
      <c r="M114" s="47">
        <f t="shared" si="14"/>
        <v>0</v>
      </c>
      <c r="N114" s="251">
        <f t="shared" si="15"/>
        <v>35879</v>
      </c>
      <c r="O114" s="53">
        <f t="shared" si="16"/>
        <v>0</v>
      </c>
      <c r="P114" s="72">
        <f t="shared" si="13"/>
        <v>7.5854122621564484</v>
      </c>
      <c r="Q114" s="72">
        <f t="shared" si="17"/>
        <v>7.5854122621564484</v>
      </c>
    </row>
    <row r="115" spans="1:17" ht="15.75" thickBot="1" x14ac:dyDescent="0.3">
      <c r="A115" s="44" t="s">
        <v>1297</v>
      </c>
      <c r="B115" s="45" t="s">
        <v>1298</v>
      </c>
      <c r="C115" s="44" t="s">
        <v>798</v>
      </c>
      <c r="D115" s="47">
        <v>5072</v>
      </c>
      <c r="E115" s="47">
        <v>25836</v>
      </c>
      <c r="F115" s="47">
        <v>676</v>
      </c>
      <c r="G115" s="47">
        <v>615</v>
      </c>
      <c r="H115" s="47">
        <v>55</v>
      </c>
      <c r="I115" s="47">
        <v>4</v>
      </c>
      <c r="J115" s="47">
        <v>8257</v>
      </c>
      <c r="K115" s="47">
        <v>3395</v>
      </c>
      <c r="L115" s="47">
        <v>0</v>
      </c>
      <c r="M115" s="47">
        <f t="shared" si="14"/>
        <v>11652</v>
      </c>
      <c r="N115" s="251">
        <f t="shared" si="15"/>
        <v>38779</v>
      </c>
      <c r="O115" s="53">
        <f t="shared" si="16"/>
        <v>2.2973186119873819</v>
      </c>
      <c r="P115" s="72">
        <f t="shared" si="13"/>
        <v>5.3483832807570977</v>
      </c>
      <c r="Q115" s="72">
        <f t="shared" si="17"/>
        <v>7.6457018927444791</v>
      </c>
    </row>
    <row r="116" spans="1:17" ht="15.75" thickBot="1" x14ac:dyDescent="0.3">
      <c r="A116" s="44" t="s">
        <v>1299</v>
      </c>
      <c r="B116" s="45" t="s">
        <v>1300</v>
      </c>
      <c r="C116" s="44" t="s">
        <v>798</v>
      </c>
      <c r="D116" s="47">
        <v>6634</v>
      </c>
      <c r="E116" s="47">
        <v>29931</v>
      </c>
      <c r="F116" s="47">
        <v>692</v>
      </c>
      <c r="G116" s="47">
        <v>2658</v>
      </c>
      <c r="H116" s="47">
        <v>60</v>
      </c>
      <c r="I116" s="47">
        <v>8</v>
      </c>
      <c r="J116" s="47">
        <v>450</v>
      </c>
      <c r="K116" s="47">
        <v>8450</v>
      </c>
      <c r="L116" s="47">
        <v>0</v>
      </c>
      <c r="M116" s="47">
        <f t="shared" ref="M116:M147" si="18">J116+K116+L116</f>
        <v>8900</v>
      </c>
      <c r="N116" s="251">
        <f t="shared" ref="N116:N147" si="19">E116+F116+G116+J116+K116+L116</f>
        <v>42181</v>
      </c>
      <c r="O116" s="53">
        <f t="shared" ref="O116:O147" si="20">(J116+K116+L116)/D116</f>
        <v>1.3415737111848056</v>
      </c>
      <c r="P116" s="72">
        <f t="shared" si="13"/>
        <v>5.0167319867350013</v>
      </c>
      <c r="Q116" s="72">
        <f t="shared" ref="Q116:Q147" si="21">N116/D116</f>
        <v>6.3583056979198069</v>
      </c>
    </row>
    <row r="117" spans="1:17" ht="15.75" thickBot="1" x14ac:dyDescent="0.3">
      <c r="A117" s="44" t="s">
        <v>1311</v>
      </c>
      <c r="B117" s="45" t="s">
        <v>1312</v>
      </c>
      <c r="C117" s="44" t="s">
        <v>798</v>
      </c>
      <c r="D117" s="47">
        <v>5302</v>
      </c>
      <c r="E117" s="47">
        <v>35529</v>
      </c>
      <c r="F117" s="47">
        <v>1175</v>
      </c>
      <c r="G117" s="47">
        <v>1845</v>
      </c>
      <c r="H117" s="47">
        <v>222</v>
      </c>
      <c r="I117" s="47">
        <v>3</v>
      </c>
      <c r="J117" s="47">
        <v>12784</v>
      </c>
      <c r="K117" s="47">
        <v>2783</v>
      </c>
      <c r="L117" s="47">
        <v>355</v>
      </c>
      <c r="M117" s="47">
        <f t="shared" si="18"/>
        <v>15922</v>
      </c>
      <c r="N117" s="251">
        <f t="shared" si="19"/>
        <v>54471</v>
      </c>
      <c r="O117" s="53">
        <f t="shared" si="20"/>
        <v>3.0030177291588078</v>
      </c>
      <c r="P117" s="72">
        <f t="shared" si="13"/>
        <v>7.270652583930592</v>
      </c>
      <c r="Q117" s="72">
        <f t="shared" si="21"/>
        <v>10.273670313089401</v>
      </c>
    </row>
    <row r="118" spans="1:17" ht="15.75" thickBot="1" x14ac:dyDescent="0.3">
      <c r="A118" s="44" t="s">
        <v>1313</v>
      </c>
      <c r="B118" s="45" t="s">
        <v>1314</v>
      </c>
      <c r="C118" s="44" t="s">
        <v>798</v>
      </c>
      <c r="D118" s="47">
        <v>6834</v>
      </c>
      <c r="E118" s="47">
        <v>22322</v>
      </c>
      <c r="F118" s="47">
        <v>1278</v>
      </c>
      <c r="G118" s="47">
        <v>1176</v>
      </c>
      <c r="H118" s="47">
        <v>55</v>
      </c>
      <c r="I118" s="47">
        <v>0</v>
      </c>
      <c r="J118" s="47">
        <v>13000</v>
      </c>
      <c r="K118" s="47">
        <v>3136</v>
      </c>
      <c r="L118" s="47">
        <v>0</v>
      </c>
      <c r="M118" s="47">
        <f t="shared" si="18"/>
        <v>16136</v>
      </c>
      <c r="N118" s="251">
        <f t="shared" si="19"/>
        <v>40912</v>
      </c>
      <c r="O118" s="53">
        <f t="shared" si="20"/>
        <v>2.3611354989757096</v>
      </c>
      <c r="P118" s="72">
        <f t="shared" si="13"/>
        <v>3.6254023997658766</v>
      </c>
      <c r="Q118" s="72">
        <f t="shared" si="21"/>
        <v>5.9865378987415863</v>
      </c>
    </row>
    <row r="119" spans="1:17" ht="15.75" thickBot="1" x14ac:dyDescent="0.3">
      <c r="A119" s="44" t="s">
        <v>1317</v>
      </c>
      <c r="B119" s="45" t="s">
        <v>1318</v>
      </c>
      <c r="C119" s="44" t="s">
        <v>798</v>
      </c>
      <c r="D119" s="47">
        <v>4469</v>
      </c>
      <c r="E119" s="47">
        <v>10154</v>
      </c>
      <c r="F119" s="47">
        <v>3</v>
      </c>
      <c r="G119" s="47">
        <v>274</v>
      </c>
      <c r="H119" s="47">
        <v>30</v>
      </c>
      <c r="I119" s="47">
        <v>4</v>
      </c>
      <c r="J119" s="47">
        <v>14146</v>
      </c>
      <c r="K119" s="47">
        <v>3169</v>
      </c>
      <c r="L119" s="47">
        <v>0</v>
      </c>
      <c r="M119" s="47">
        <f t="shared" si="18"/>
        <v>17315</v>
      </c>
      <c r="N119" s="251">
        <f t="shared" si="19"/>
        <v>27746</v>
      </c>
      <c r="O119" s="53">
        <f t="shared" si="20"/>
        <v>3.8744685611993734</v>
      </c>
      <c r="P119" s="72">
        <f t="shared" si="13"/>
        <v>2.3340792123517566</v>
      </c>
      <c r="Q119" s="72">
        <f t="shared" si="21"/>
        <v>6.2085477735511301</v>
      </c>
    </row>
    <row r="120" spans="1:17" ht="15.75" thickBot="1" x14ac:dyDescent="0.3">
      <c r="A120" s="44" t="s">
        <v>1325</v>
      </c>
      <c r="B120" s="45" t="s">
        <v>1326</v>
      </c>
      <c r="C120" s="44" t="s">
        <v>798</v>
      </c>
      <c r="D120" s="47">
        <v>6174</v>
      </c>
      <c r="E120" s="47">
        <v>26347</v>
      </c>
      <c r="F120" s="47">
        <v>2728</v>
      </c>
      <c r="G120" s="47">
        <v>2099</v>
      </c>
      <c r="H120" s="47">
        <v>23</v>
      </c>
      <c r="I120" s="47">
        <v>2</v>
      </c>
      <c r="J120" s="47">
        <v>30</v>
      </c>
      <c r="K120" s="47">
        <v>0</v>
      </c>
      <c r="L120" s="47">
        <v>0</v>
      </c>
      <c r="M120" s="47">
        <f t="shared" si="18"/>
        <v>30</v>
      </c>
      <c r="N120" s="251">
        <f t="shared" si="19"/>
        <v>31204</v>
      </c>
      <c r="O120" s="53">
        <f t="shared" si="20"/>
        <v>4.859086491739553E-3</v>
      </c>
      <c r="P120" s="72">
        <f t="shared" si="13"/>
        <v>5.0492387431162937</v>
      </c>
      <c r="Q120" s="72">
        <f t="shared" si="21"/>
        <v>5.0540978296080334</v>
      </c>
    </row>
    <row r="121" spans="1:17" ht="15.75" thickBot="1" x14ac:dyDescent="0.3">
      <c r="A121" s="44" t="s">
        <v>1345</v>
      </c>
      <c r="B121" s="45" t="s">
        <v>1346</v>
      </c>
      <c r="C121" s="44" t="s">
        <v>798</v>
      </c>
      <c r="D121" s="47">
        <v>5305</v>
      </c>
      <c r="E121" s="47">
        <v>18518</v>
      </c>
      <c r="F121" s="47">
        <v>318</v>
      </c>
      <c r="G121" s="47">
        <v>1293</v>
      </c>
      <c r="H121" s="47">
        <v>50</v>
      </c>
      <c r="I121" s="47">
        <v>0</v>
      </c>
      <c r="J121" s="47">
        <v>7718</v>
      </c>
      <c r="K121" s="47">
        <v>3184</v>
      </c>
      <c r="L121" s="47">
        <v>0</v>
      </c>
      <c r="M121" s="47">
        <f t="shared" si="18"/>
        <v>10902</v>
      </c>
      <c r="N121" s="251">
        <f t="shared" si="19"/>
        <v>31031</v>
      </c>
      <c r="O121" s="53">
        <f t="shared" si="20"/>
        <v>2.055042412818096</v>
      </c>
      <c r="P121" s="72">
        <f t="shared" si="13"/>
        <v>3.7943449575871817</v>
      </c>
      <c r="Q121" s="72">
        <f t="shared" si="21"/>
        <v>5.8493873704052781</v>
      </c>
    </row>
    <row r="122" spans="1:17" ht="15.75" thickBot="1" x14ac:dyDescent="0.3">
      <c r="A122" s="44" t="s">
        <v>1351</v>
      </c>
      <c r="B122" s="45" t="s">
        <v>1352</v>
      </c>
      <c r="C122" s="44" t="s">
        <v>798</v>
      </c>
      <c r="D122" s="47">
        <v>6341</v>
      </c>
      <c r="E122" s="47">
        <v>29726</v>
      </c>
      <c r="F122" s="47">
        <v>770</v>
      </c>
      <c r="G122" s="47">
        <v>5450</v>
      </c>
      <c r="H122" s="47">
        <v>29</v>
      </c>
      <c r="I122" s="47">
        <v>1</v>
      </c>
      <c r="J122" s="47">
        <v>350</v>
      </c>
      <c r="K122" s="47">
        <v>0</v>
      </c>
      <c r="L122" s="47">
        <v>0</v>
      </c>
      <c r="M122" s="47">
        <f t="shared" si="18"/>
        <v>350</v>
      </c>
      <c r="N122" s="251">
        <f t="shared" si="19"/>
        <v>36296</v>
      </c>
      <c r="O122" s="53">
        <f t="shared" si="20"/>
        <v>5.5196341271092887E-2</v>
      </c>
      <c r="P122" s="72">
        <f t="shared" si="13"/>
        <v>5.6688219523734427</v>
      </c>
      <c r="Q122" s="72">
        <f t="shared" si="21"/>
        <v>5.7240182936445354</v>
      </c>
    </row>
    <row r="123" spans="1:17" ht="15.75" thickBot="1" x14ac:dyDescent="0.3">
      <c r="A123" s="44" t="s">
        <v>1357</v>
      </c>
      <c r="B123" s="45" t="s">
        <v>1358</v>
      </c>
      <c r="C123" s="44" t="s">
        <v>798</v>
      </c>
      <c r="D123" s="47">
        <v>5433</v>
      </c>
      <c r="E123" s="47">
        <v>15078</v>
      </c>
      <c r="F123" s="47">
        <v>662</v>
      </c>
      <c r="G123" s="47">
        <v>1547</v>
      </c>
      <c r="H123" s="47">
        <v>62</v>
      </c>
      <c r="I123" s="47">
        <v>15</v>
      </c>
      <c r="J123" s="47">
        <v>0</v>
      </c>
      <c r="K123" s="47">
        <v>0</v>
      </c>
      <c r="L123" s="47">
        <v>0</v>
      </c>
      <c r="M123" s="47">
        <f t="shared" si="18"/>
        <v>0</v>
      </c>
      <c r="N123" s="251">
        <f t="shared" si="19"/>
        <v>17287</v>
      </c>
      <c r="O123" s="53">
        <f t="shared" si="20"/>
        <v>0</v>
      </c>
      <c r="P123" s="72">
        <f t="shared" si="13"/>
        <v>3.1818516473403275</v>
      </c>
      <c r="Q123" s="72">
        <f t="shared" si="21"/>
        <v>3.1818516473403275</v>
      </c>
    </row>
    <row r="124" spans="1:17" ht="15.75" thickBot="1" x14ac:dyDescent="0.3">
      <c r="A124" s="44" t="s">
        <v>1367</v>
      </c>
      <c r="B124" s="45" t="s">
        <v>1368</v>
      </c>
      <c r="C124" s="44" t="s">
        <v>798</v>
      </c>
      <c r="D124" s="47">
        <v>6654</v>
      </c>
      <c r="E124" s="47">
        <v>30419</v>
      </c>
      <c r="F124" s="47">
        <v>1265</v>
      </c>
      <c r="G124" s="47">
        <v>3542</v>
      </c>
      <c r="H124" s="47">
        <v>64</v>
      </c>
      <c r="I124" s="47">
        <v>3</v>
      </c>
      <c r="J124" s="47">
        <v>4200</v>
      </c>
      <c r="K124" s="47">
        <v>5234</v>
      </c>
      <c r="L124" s="47">
        <v>2</v>
      </c>
      <c r="M124" s="47">
        <f t="shared" si="18"/>
        <v>9436</v>
      </c>
      <c r="N124" s="251">
        <f t="shared" si="19"/>
        <v>44662</v>
      </c>
      <c r="O124" s="53">
        <f t="shared" si="20"/>
        <v>1.4180943793207093</v>
      </c>
      <c r="P124" s="72">
        <f t="shared" si="13"/>
        <v>5.2939585211902616</v>
      </c>
      <c r="Q124" s="72">
        <f t="shared" si="21"/>
        <v>6.7120529005109706</v>
      </c>
    </row>
    <row r="125" spans="1:17" ht="15.75" thickBot="1" x14ac:dyDescent="0.3">
      <c r="A125" s="44" t="s">
        <v>1371</v>
      </c>
      <c r="B125" s="45" t="s">
        <v>1372</v>
      </c>
      <c r="C125" s="44" t="s">
        <v>798</v>
      </c>
      <c r="D125" s="47">
        <v>4105</v>
      </c>
      <c r="E125" s="47">
        <v>18875</v>
      </c>
      <c r="F125" s="47">
        <v>371</v>
      </c>
      <c r="G125" s="47">
        <v>725</v>
      </c>
      <c r="H125" s="47">
        <v>26</v>
      </c>
      <c r="I125" s="47">
        <v>0</v>
      </c>
      <c r="J125" s="47">
        <v>570</v>
      </c>
      <c r="K125" s="47">
        <v>679</v>
      </c>
      <c r="L125" s="47">
        <v>0</v>
      </c>
      <c r="M125" s="47">
        <f t="shared" si="18"/>
        <v>1249</v>
      </c>
      <c r="N125" s="251">
        <f t="shared" si="19"/>
        <v>21220</v>
      </c>
      <c r="O125" s="53">
        <f t="shared" si="20"/>
        <v>0.30426309378806332</v>
      </c>
      <c r="P125" s="72">
        <f t="shared" si="13"/>
        <v>4.8650426309378805</v>
      </c>
      <c r="Q125" s="72">
        <f t="shared" si="21"/>
        <v>5.1693057247259437</v>
      </c>
    </row>
    <row r="126" spans="1:17" ht="15.75" thickBot="1" x14ac:dyDescent="0.3">
      <c r="A126" s="44" t="s">
        <v>1377</v>
      </c>
      <c r="B126" s="45" t="s">
        <v>1378</v>
      </c>
      <c r="C126" s="44" t="s">
        <v>798</v>
      </c>
      <c r="D126" s="47">
        <v>5033</v>
      </c>
      <c r="E126" s="47">
        <v>19500</v>
      </c>
      <c r="F126" s="47">
        <v>500</v>
      </c>
      <c r="G126" s="47">
        <v>3415</v>
      </c>
      <c r="H126" s="47">
        <v>67</v>
      </c>
      <c r="I126" s="47">
        <v>0</v>
      </c>
      <c r="J126" s="47">
        <v>9000</v>
      </c>
      <c r="K126" s="47">
        <v>2300</v>
      </c>
      <c r="L126" s="47">
        <v>0</v>
      </c>
      <c r="M126" s="47">
        <f t="shared" si="18"/>
        <v>11300</v>
      </c>
      <c r="N126" s="251">
        <f t="shared" si="19"/>
        <v>34715</v>
      </c>
      <c r="O126" s="53">
        <f t="shared" si="20"/>
        <v>2.2451818001192132</v>
      </c>
      <c r="P126" s="72">
        <f t="shared" si="13"/>
        <v>4.6522948539638387</v>
      </c>
      <c r="Q126" s="72">
        <f t="shared" si="21"/>
        <v>6.8974766540830519</v>
      </c>
    </row>
    <row r="127" spans="1:17" ht="15.75" thickBot="1" x14ac:dyDescent="0.3">
      <c r="A127" s="44" t="s">
        <v>1385</v>
      </c>
      <c r="B127" s="45" t="s">
        <v>1386</v>
      </c>
      <c r="C127" s="44" t="s">
        <v>798</v>
      </c>
      <c r="D127" s="47">
        <v>5413</v>
      </c>
      <c r="E127" s="47">
        <v>17669</v>
      </c>
      <c r="F127" s="47">
        <v>602</v>
      </c>
      <c r="G127" s="47">
        <v>704</v>
      </c>
      <c r="H127" s="47">
        <v>4</v>
      </c>
      <c r="I127" s="47">
        <v>3</v>
      </c>
      <c r="J127" s="47">
        <v>18812</v>
      </c>
      <c r="K127" s="47">
        <v>7080</v>
      </c>
      <c r="L127" s="47">
        <v>0</v>
      </c>
      <c r="M127" s="47">
        <f t="shared" si="18"/>
        <v>25892</v>
      </c>
      <c r="N127" s="251">
        <f t="shared" si="19"/>
        <v>44867</v>
      </c>
      <c r="O127" s="53">
        <f t="shared" si="20"/>
        <v>4.7832994642527247</v>
      </c>
      <c r="P127" s="72">
        <f t="shared" si="13"/>
        <v>3.5054498429706262</v>
      </c>
      <c r="Q127" s="72">
        <f t="shared" si="21"/>
        <v>8.2887493072233518</v>
      </c>
    </row>
    <row r="128" spans="1:17" ht="15.75" thickBot="1" x14ac:dyDescent="0.3">
      <c r="A128" s="44" t="s">
        <v>1391</v>
      </c>
      <c r="B128" s="45" t="s">
        <v>1392</v>
      </c>
      <c r="C128" s="44" t="s">
        <v>798</v>
      </c>
      <c r="D128" s="47">
        <v>6847</v>
      </c>
      <c r="E128" s="47">
        <v>15039</v>
      </c>
      <c r="F128" s="47">
        <v>168</v>
      </c>
      <c r="G128" s="47">
        <v>860</v>
      </c>
      <c r="H128" s="47">
        <v>0</v>
      </c>
      <c r="I128" s="47">
        <v>1</v>
      </c>
      <c r="J128" s="47">
        <v>18683</v>
      </c>
      <c r="K128" s="47">
        <v>5237</v>
      </c>
      <c r="L128" s="47">
        <v>0</v>
      </c>
      <c r="M128" s="47">
        <f t="shared" si="18"/>
        <v>23920</v>
      </c>
      <c r="N128" s="251">
        <f t="shared" si="19"/>
        <v>39987</v>
      </c>
      <c r="O128" s="53">
        <f t="shared" si="20"/>
        <v>3.4935008032715058</v>
      </c>
      <c r="P128" s="72">
        <f t="shared" si="13"/>
        <v>2.3465751423981307</v>
      </c>
      <c r="Q128" s="72">
        <f t="shared" si="21"/>
        <v>5.8400759456696365</v>
      </c>
    </row>
    <row r="129" spans="1:17" ht="15.75" thickBot="1" x14ac:dyDescent="0.3">
      <c r="A129" s="44" t="s">
        <v>1393</v>
      </c>
      <c r="B129" s="45" t="s">
        <v>1394</v>
      </c>
      <c r="C129" s="44" t="s">
        <v>798</v>
      </c>
      <c r="D129" s="47">
        <v>6240</v>
      </c>
      <c r="E129" s="47">
        <v>23979</v>
      </c>
      <c r="F129" s="47">
        <v>1016</v>
      </c>
      <c r="G129" s="47">
        <v>737</v>
      </c>
      <c r="H129" s="47">
        <v>25</v>
      </c>
      <c r="I129" s="47">
        <v>2</v>
      </c>
      <c r="J129" s="47">
        <v>8438</v>
      </c>
      <c r="K129" s="47">
        <v>3457</v>
      </c>
      <c r="L129" s="47">
        <v>0</v>
      </c>
      <c r="M129" s="47">
        <f t="shared" si="18"/>
        <v>11895</v>
      </c>
      <c r="N129" s="251">
        <f t="shared" si="19"/>
        <v>37627</v>
      </c>
      <c r="O129" s="53">
        <f t="shared" si="20"/>
        <v>1.90625</v>
      </c>
      <c r="P129" s="72">
        <f t="shared" si="13"/>
        <v>4.1237179487179487</v>
      </c>
      <c r="Q129" s="72">
        <f t="shared" si="21"/>
        <v>6.0299679487179487</v>
      </c>
    </row>
    <row r="130" spans="1:17" ht="15.75" thickBot="1" x14ac:dyDescent="0.3">
      <c r="A130" s="44" t="s">
        <v>1399</v>
      </c>
      <c r="B130" s="45" t="s">
        <v>1400</v>
      </c>
      <c r="C130" s="44" t="s">
        <v>798</v>
      </c>
      <c r="D130" s="47">
        <v>5376</v>
      </c>
      <c r="E130" s="47">
        <v>12684</v>
      </c>
      <c r="F130" s="47">
        <v>864</v>
      </c>
      <c r="G130" s="47">
        <v>969</v>
      </c>
      <c r="H130" s="47">
        <v>30</v>
      </c>
      <c r="I130" s="47">
        <v>2</v>
      </c>
      <c r="J130" s="47">
        <v>15886</v>
      </c>
      <c r="K130" s="47">
        <v>3589</v>
      </c>
      <c r="L130" s="47">
        <v>0</v>
      </c>
      <c r="M130" s="47">
        <f t="shared" si="18"/>
        <v>19475</v>
      </c>
      <c r="N130" s="251">
        <f t="shared" si="19"/>
        <v>33992</v>
      </c>
      <c r="O130" s="53">
        <f t="shared" si="20"/>
        <v>3.6225818452380953</v>
      </c>
      <c r="P130" s="72">
        <f t="shared" si="13"/>
        <v>2.7003348214285716</v>
      </c>
      <c r="Q130" s="72">
        <f t="shared" si="21"/>
        <v>6.322916666666667</v>
      </c>
    </row>
    <row r="131" spans="1:17" ht="15.75" thickBot="1" x14ac:dyDescent="0.3">
      <c r="A131" s="44" t="s">
        <v>1405</v>
      </c>
      <c r="B131" s="45" t="s">
        <v>1406</v>
      </c>
      <c r="C131" s="44" t="s">
        <v>798</v>
      </c>
      <c r="D131" s="47">
        <v>5523</v>
      </c>
      <c r="E131" s="47">
        <v>19868</v>
      </c>
      <c r="F131" s="47">
        <v>593</v>
      </c>
      <c r="G131" s="47">
        <v>1169</v>
      </c>
      <c r="H131" s="47">
        <v>37</v>
      </c>
      <c r="I131" s="47">
        <v>1</v>
      </c>
      <c r="J131" s="47">
        <v>8187</v>
      </c>
      <c r="K131" s="47">
        <v>2211</v>
      </c>
      <c r="L131" s="47">
        <v>0</v>
      </c>
      <c r="M131" s="47">
        <f t="shared" si="18"/>
        <v>10398</v>
      </c>
      <c r="N131" s="251">
        <f t="shared" si="19"/>
        <v>32028</v>
      </c>
      <c r="O131" s="53">
        <f t="shared" si="20"/>
        <v>1.8826724606192287</v>
      </c>
      <c r="P131" s="72">
        <f t="shared" si="13"/>
        <v>3.9163498098859315</v>
      </c>
      <c r="Q131" s="72">
        <f t="shared" si="21"/>
        <v>5.7990222705051604</v>
      </c>
    </row>
    <row r="132" spans="1:17" ht="15.75" thickBot="1" x14ac:dyDescent="0.3">
      <c r="A132" s="44" t="s">
        <v>1417</v>
      </c>
      <c r="B132" s="45" t="s">
        <v>1418</v>
      </c>
      <c r="C132" s="44" t="s">
        <v>798</v>
      </c>
      <c r="D132" s="47">
        <v>4659</v>
      </c>
      <c r="E132" s="47">
        <v>21539</v>
      </c>
      <c r="F132" s="47">
        <v>1063</v>
      </c>
      <c r="G132" s="47">
        <v>1782</v>
      </c>
      <c r="H132" s="47">
        <v>48</v>
      </c>
      <c r="I132" s="47">
        <v>1</v>
      </c>
      <c r="J132" s="47">
        <v>16512</v>
      </c>
      <c r="K132" s="47">
        <v>4405</v>
      </c>
      <c r="L132" s="47">
        <v>0</v>
      </c>
      <c r="M132" s="47">
        <f t="shared" si="18"/>
        <v>20917</v>
      </c>
      <c r="N132" s="251">
        <f t="shared" si="19"/>
        <v>45301</v>
      </c>
      <c r="O132" s="53">
        <f t="shared" si="20"/>
        <v>4.4895900407812839</v>
      </c>
      <c r="P132" s="72">
        <f t="shared" ref="P132:P195" si="22">(E132+F132+G132)/D132</f>
        <v>5.2337411461687058</v>
      </c>
      <c r="Q132" s="72">
        <f t="shared" si="21"/>
        <v>9.7233311869499897</v>
      </c>
    </row>
    <row r="133" spans="1:17" ht="15.75" thickBot="1" x14ac:dyDescent="0.3">
      <c r="A133" s="44" t="s">
        <v>1429</v>
      </c>
      <c r="B133" s="45" t="s">
        <v>1430</v>
      </c>
      <c r="C133" s="44" t="s">
        <v>798</v>
      </c>
      <c r="D133" s="47">
        <v>6295</v>
      </c>
      <c r="E133" s="47">
        <v>54520</v>
      </c>
      <c r="F133" s="47">
        <v>1426</v>
      </c>
      <c r="G133" s="47">
        <v>6235</v>
      </c>
      <c r="H133" s="47">
        <v>50</v>
      </c>
      <c r="I133" s="47">
        <v>4</v>
      </c>
      <c r="J133" s="47">
        <v>8500</v>
      </c>
      <c r="K133" s="47">
        <v>3825</v>
      </c>
      <c r="L133" s="47">
        <v>0</v>
      </c>
      <c r="M133" s="47">
        <f t="shared" si="18"/>
        <v>12325</v>
      </c>
      <c r="N133" s="251">
        <f t="shared" si="19"/>
        <v>74506</v>
      </c>
      <c r="O133" s="53">
        <f t="shared" si="20"/>
        <v>1.9579030976965845</v>
      </c>
      <c r="P133" s="72">
        <f t="shared" si="22"/>
        <v>9.8778395552025415</v>
      </c>
      <c r="Q133" s="72">
        <f t="shared" si="21"/>
        <v>11.835742652899127</v>
      </c>
    </row>
    <row r="134" spans="1:17" ht="15.75" thickBot="1" x14ac:dyDescent="0.3">
      <c r="A134" s="44" t="s">
        <v>1443</v>
      </c>
      <c r="B134" s="45" t="s">
        <v>1444</v>
      </c>
      <c r="C134" s="44" t="s">
        <v>798</v>
      </c>
      <c r="D134" s="47">
        <v>4434</v>
      </c>
      <c r="E134" s="47">
        <v>24992</v>
      </c>
      <c r="F134" s="47">
        <v>898</v>
      </c>
      <c r="G134" s="47">
        <v>1314</v>
      </c>
      <c r="H134" s="47">
        <v>65</v>
      </c>
      <c r="I134" s="47">
        <v>4</v>
      </c>
      <c r="J134" s="47">
        <v>8012</v>
      </c>
      <c r="K134" s="47">
        <v>3347</v>
      </c>
      <c r="L134" s="47">
        <v>285</v>
      </c>
      <c r="M134" s="47">
        <f t="shared" si="18"/>
        <v>11644</v>
      </c>
      <c r="N134" s="251">
        <f t="shared" si="19"/>
        <v>38848</v>
      </c>
      <c r="O134" s="53">
        <f t="shared" si="20"/>
        <v>2.6260712674785744</v>
      </c>
      <c r="P134" s="72">
        <f t="shared" si="22"/>
        <v>6.1353179972936402</v>
      </c>
      <c r="Q134" s="72">
        <f t="shared" si="21"/>
        <v>8.7613892647722142</v>
      </c>
    </row>
    <row r="135" spans="1:17" ht="15.75" thickBot="1" x14ac:dyDescent="0.3">
      <c r="A135" s="44" t="s">
        <v>1453</v>
      </c>
      <c r="B135" s="45" t="s">
        <v>1454</v>
      </c>
      <c r="C135" s="44" t="s">
        <v>798</v>
      </c>
      <c r="D135" s="47">
        <v>4375</v>
      </c>
      <c r="E135" s="47">
        <v>50897</v>
      </c>
      <c r="F135" s="47">
        <v>1351</v>
      </c>
      <c r="G135" s="47">
        <v>3685</v>
      </c>
      <c r="H135" s="47">
        <v>84</v>
      </c>
      <c r="I135" s="47">
        <v>1</v>
      </c>
      <c r="J135" s="47">
        <v>8257</v>
      </c>
      <c r="K135" s="47">
        <v>3395</v>
      </c>
      <c r="L135" s="47">
        <v>0</v>
      </c>
      <c r="M135" s="47">
        <f t="shared" si="18"/>
        <v>11652</v>
      </c>
      <c r="N135" s="251">
        <f t="shared" si="19"/>
        <v>67585</v>
      </c>
      <c r="O135" s="53">
        <f t="shared" si="20"/>
        <v>2.6633142857142857</v>
      </c>
      <c r="P135" s="72">
        <f t="shared" si="22"/>
        <v>12.784685714285715</v>
      </c>
      <c r="Q135" s="72">
        <f t="shared" si="21"/>
        <v>15.448</v>
      </c>
    </row>
    <row r="136" spans="1:17" ht="15.75" thickBot="1" x14ac:dyDescent="0.3">
      <c r="A136" s="44" t="s">
        <v>1457</v>
      </c>
      <c r="B136" s="45" t="s">
        <v>1458</v>
      </c>
      <c r="C136" s="44" t="s">
        <v>798</v>
      </c>
      <c r="D136" s="47">
        <v>5101</v>
      </c>
      <c r="E136" s="47">
        <v>19317</v>
      </c>
      <c r="F136" s="47">
        <v>2377</v>
      </c>
      <c r="G136" s="47">
        <v>2897</v>
      </c>
      <c r="H136" s="47">
        <v>50</v>
      </c>
      <c r="I136" s="47">
        <v>3</v>
      </c>
      <c r="J136" s="47">
        <v>22981</v>
      </c>
      <c r="K136" s="47">
        <v>8793</v>
      </c>
      <c r="L136" s="47">
        <v>752</v>
      </c>
      <c r="M136" s="47">
        <f t="shared" si="18"/>
        <v>32526</v>
      </c>
      <c r="N136" s="251">
        <f t="shared" si="19"/>
        <v>57117</v>
      </c>
      <c r="O136" s="53">
        <f t="shared" si="20"/>
        <v>6.376396784944129</v>
      </c>
      <c r="P136" s="72">
        <f t="shared" si="22"/>
        <v>4.8208194471672225</v>
      </c>
      <c r="Q136" s="72">
        <f t="shared" si="21"/>
        <v>11.197216232111352</v>
      </c>
    </row>
    <row r="137" spans="1:17" ht="15.75" thickBot="1" x14ac:dyDescent="0.3">
      <c r="A137" s="44" t="s">
        <v>1463</v>
      </c>
      <c r="B137" s="45" t="s">
        <v>1464</v>
      </c>
      <c r="C137" s="44" t="s">
        <v>798</v>
      </c>
      <c r="D137" s="47">
        <v>4038</v>
      </c>
      <c r="E137" s="47">
        <v>20871</v>
      </c>
      <c r="F137" s="47">
        <v>1042</v>
      </c>
      <c r="G137" s="47">
        <v>2738</v>
      </c>
      <c r="H137" s="47">
        <v>64</v>
      </c>
      <c r="I137" s="47">
        <v>5</v>
      </c>
      <c r="J137" s="47">
        <v>6947</v>
      </c>
      <c r="K137" s="47">
        <v>1500</v>
      </c>
      <c r="L137" s="47">
        <v>0</v>
      </c>
      <c r="M137" s="47">
        <f t="shared" si="18"/>
        <v>8447</v>
      </c>
      <c r="N137" s="251">
        <f t="shared" si="19"/>
        <v>33098</v>
      </c>
      <c r="O137" s="53">
        <f t="shared" si="20"/>
        <v>2.0918771669143141</v>
      </c>
      <c r="P137" s="72">
        <f t="shared" si="22"/>
        <v>6.104754829123328</v>
      </c>
      <c r="Q137" s="72">
        <f t="shared" si="21"/>
        <v>8.1966319960376417</v>
      </c>
    </row>
    <row r="138" spans="1:17" ht="15.75" thickBot="1" x14ac:dyDescent="0.3">
      <c r="A138" s="44" t="s">
        <v>1472</v>
      </c>
      <c r="B138" s="45" t="s">
        <v>1473</v>
      </c>
      <c r="C138" s="44" t="s">
        <v>798</v>
      </c>
      <c r="D138" s="47">
        <v>5635</v>
      </c>
      <c r="E138" s="47">
        <v>14268</v>
      </c>
      <c r="F138" s="47">
        <v>132</v>
      </c>
      <c r="G138" s="47">
        <v>2203</v>
      </c>
      <c r="H138" s="47">
        <v>55</v>
      </c>
      <c r="I138" s="47">
        <v>0</v>
      </c>
      <c r="J138" s="47">
        <v>7652</v>
      </c>
      <c r="K138" s="47">
        <v>3214</v>
      </c>
      <c r="L138" s="47">
        <v>0</v>
      </c>
      <c r="M138" s="47">
        <f t="shared" si="18"/>
        <v>10866</v>
      </c>
      <c r="N138" s="251">
        <f t="shared" si="19"/>
        <v>27469</v>
      </c>
      <c r="O138" s="53">
        <f t="shared" si="20"/>
        <v>1.9283052351375334</v>
      </c>
      <c r="P138" s="72">
        <f t="shared" si="22"/>
        <v>2.9464063886424134</v>
      </c>
      <c r="Q138" s="72">
        <f t="shared" si="21"/>
        <v>4.8747116237799464</v>
      </c>
    </row>
    <row r="139" spans="1:17" ht="15.75" thickBot="1" x14ac:dyDescent="0.3">
      <c r="A139" s="44" t="s">
        <v>1494</v>
      </c>
      <c r="B139" s="45" t="s">
        <v>1495</v>
      </c>
      <c r="C139" s="44" t="s">
        <v>798</v>
      </c>
      <c r="D139" s="47">
        <v>4046</v>
      </c>
      <c r="E139" s="47">
        <v>21231</v>
      </c>
      <c r="F139" s="47">
        <v>492</v>
      </c>
      <c r="G139" s="47">
        <v>1034</v>
      </c>
      <c r="H139" s="47">
        <v>91</v>
      </c>
      <c r="I139" s="47">
        <v>4</v>
      </c>
      <c r="J139" s="47">
        <v>27295</v>
      </c>
      <c r="K139" s="47">
        <v>7770</v>
      </c>
      <c r="L139" s="47">
        <v>0</v>
      </c>
      <c r="M139" s="47">
        <f t="shared" si="18"/>
        <v>35065</v>
      </c>
      <c r="N139" s="251">
        <f t="shared" si="19"/>
        <v>57822</v>
      </c>
      <c r="O139" s="53">
        <f t="shared" si="20"/>
        <v>8.6665842807711329</v>
      </c>
      <c r="P139" s="72">
        <f t="shared" si="22"/>
        <v>5.624567474048443</v>
      </c>
      <c r="Q139" s="72">
        <f t="shared" si="21"/>
        <v>14.291151754819575</v>
      </c>
    </row>
    <row r="140" spans="1:17" ht="15.75" thickBot="1" x14ac:dyDescent="0.3">
      <c r="A140" s="44" t="s">
        <v>1506</v>
      </c>
      <c r="B140" s="45" t="s">
        <v>1507</v>
      </c>
      <c r="C140" s="44" t="s">
        <v>798</v>
      </c>
      <c r="D140" s="47">
        <v>5479</v>
      </c>
      <c r="E140" s="47">
        <v>20261</v>
      </c>
      <c r="F140" s="47">
        <v>1740</v>
      </c>
      <c r="G140" s="47">
        <v>1757</v>
      </c>
      <c r="H140" s="47">
        <v>59</v>
      </c>
      <c r="I140" s="47">
        <v>2</v>
      </c>
      <c r="J140" s="47">
        <v>21486</v>
      </c>
      <c r="K140" s="47">
        <v>1814</v>
      </c>
      <c r="L140" s="47">
        <v>134</v>
      </c>
      <c r="M140" s="47">
        <f t="shared" si="18"/>
        <v>23434</v>
      </c>
      <c r="N140" s="251">
        <f t="shared" si="19"/>
        <v>47192</v>
      </c>
      <c r="O140" s="53">
        <f t="shared" si="20"/>
        <v>4.277057857273225</v>
      </c>
      <c r="P140" s="72">
        <f t="shared" si="22"/>
        <v>4.3361927359007115</v>
      </c>
      <c r="Q140" s="72">
        <f t="shared" si="21"/>
        <v>8.6132505931739374</v>
      </c>
    </row>
    <row r="141" spans="1:17" ht="15.75" thickBot="1" x14ac:dyDescent="0.3">
      <c r="A141" s="44" t="s">
        <v>1514</v>
      </c>
      <c r="B141" s="45" t="s">
        <v>1515</v>
      </c>
      <c r="C141" s="44" t="s">
        <v>798</v>
      </c>
      <c r="D141" s="47">
        <v>6680</v>
      </c>
      <c r="E141" s="47">
        <v>19720</v>
      </c>
      <c r="F141" s="47">
        <v>830</v>
      </c>
      <c r="G141" s="47">
        <v>670</v>
      </c>
      <c r="H141" s="47">
        <v>20</v>
      </c>
      <c r="I141" s="47">
        <v>0</v>
      </c>
      <c r="J141" s="47">
        <v>0</v>
      </c>
      <c r="K141" s="47">
        <v>0</v>
      </c>
      <c r="L141" s="47">
        <v>0</v>
      </c>
      <c r="M141" s="47">
        <f t="shared" si="18"/>
        <v>0</v>
      </c>
      <c r="N141" s="251">
        <f t="shared" si="19"/>
        <v>21220</v>
      </c>
      <c r="O141" s="53">
        <f t="shared" si="20"/>
        <v>0</v>
      </c>
      <c r="P141" s="72">
        <f t="shared" si="22"/>
        <v>3.1766467065868262</v>
      </c>
      <c r="Q141" s="72">
        <f t="shared" si="21"/>
        <v>3.1766467065868262</v>
      </c>
    </row>
    <row r="142" spans="1:17" ht="15.75" thickBot="1" x14ac:dyDescent="0.3">
      <c r="A142" s="44" t="s">
        <v>1522</v>
      </c>
      <c r="B142" s="45" t="s">
        <v>1523</v>
      </c>
      <c r="C142" s="44" t="s">
        <v>798</v>
      </c>
      <c r="D142" s="47">
        <v>6033</v>
      </c>
      <c r="E142" s="47">
        <v>32937</v>
      </c>
      <c r="F142" s="47">
        <v>2134</v>
      </c>
      <c r="G142" s="47">
        <v>1938</v>
      </c>
      <c r="H142" s="47">
        <v>3</v>
      </c>
      <c r="I142" s="47">
        <v>0</v>
      </c>
      <c r="J142" s="47">
        <v>14172</v>
      </c>
      <c r="K142" s="47">
        <v>4123</v>
      </c>
      <c r="L142" s="47">
        <v>0</v>
      </c>
      <c r="M142" s="47">
        <f t="shared" si="18"/>
        <v>18295</v>
      </c>
      <c r="N142" s="251">
        <f t="shared" si="19"/>
        <v>55304</v>
      </c>
      <c r="O142" s="53">
        <f t="shared" si="20"/>
        <v>3.0324879827614786</v>
      </c>
      <c r="P142" s="72">
        <f t="shared" si="22"/>
        <v>6.1344273164263221</v>
      </c>
      <c r="Q142" s="72">
        <f t="shared" si="21"/>
        <v>9.1669152991878011</v>
      </c>
    </row>
    <row r="143" spans="1:17" ht="15.75" thickBot="1" x14ac:dyDescent="0.3">
      <c r="A143" s="44" t="s">
        <v>1530</v>
      </c>
      <c r="B143" s="45" t="s">
        <v>1531</v>
      </c>
      <c r="C143" s="44" t="s">
        <v>798</v>
      </c>
      <c r="D143" s="47">
        <v>4576</v>
      </c>
      <c r="E143" s="47">
        <v>21900</v>
      </c>
      <c r="F143" s="47">
        <v>919</v>
      </c>
      <c r="G143" s="47">
        <v>2377</v>
      </c>
      <c r="H143" s="47">
        <v>90</v>
      </c>
      <c r="I143" s="47">
        <v>2</v>
      </c>
      <c r="J143" s="47">
        <v>15909</v>
      </c>
      <c r="K143" s="47">
        <v>3196</v>
      </c>
      <c r="L143" s="47">
        <v>246</v>
      </c>
      <c r="M143" s="47">
        <f t="shared" si="18"/>
        <v>19351</v>
      </c>
      <c r="N143" s="251">
        <f t="shared" si="19"/>
        <v>44547</v>
      </c>
      <c r="O143" s="53">
        <f t="shared" si="20"/>
        <v>4.2288024475524475</v>
      </c>
      <c r="P143" s="72">
        <f t="shared" si="22"/>
        <v>5.5061188811188808</v>
      </c>
      <c r="Q143" s="72">
        <f t="shared" si="21"/>
        <v>9.7349213286713283</v>
      </c>
    </row>
    <row r="144" spans="1:17" ht="15.75" thickBot="1" x14ac:dyDescent="0.3">
      <c r="A144" s="44" t="s">
        <v>1544</v>
      </c>
      <c r="B144" s="45" t="s">
        <v>1545</v>
      </c>
      <c r="C144" s="44" t="s">
        <v>798</v>
      </c>
      <c r="D144" s="47">
        <v>4757</v>
      </c>
      <c r="E144" s="47">
        <v>18252</v>
      </c>
      <c r="F144" s="47">
        <v>596</v>
      </c>
      <c r="G144" s="47">
        <v>3015</v>
      </c>
      <c r="H144" s="47">
        <v>44</v>
      </c>
      <c r="I144" s="47">
        <v>6</v>
      </c>
      <c r="J144" s="47">
        <v>6052</v>
      </c>
      <c r="K144" s="47">
        <v>963</v>
      </c>
      <c r="L144" s="47">
        <v>0</v>
      </c>
      <c r="M144" s="47">
        <f t="shared" si="18"/>
        <v>7015</v>
      </c>
      <c r="N144" s="251">
        <f t="shared" si="19"/>
        <v>28878</v>
      </c>
      <c r="O144" s="53">
        <f t="shared" si="20"/>
        <v>1.4746689089762455</v>
      </c>
      <c r="P144" s="72">
        <f t="shared" si="22"/>
        <v>4.5959638427580405</v>
      </c>
      <c r="Q144" s="72">
        <f t="shared" si="21"/>
        <v>6.0706327517342862</v>
      </c>
    </row>
    <row r="145" spans="1:17" ht="15.75" thickBot="1" x14ac:dyDescent="0.3">
      <c r="A145" s="44" t="s">
        <v>1550</v>
      </c>
      <c r="B145" s="45" t="s">
        <v>1551</v>
      </c>
      <c r="C145" s="44" t="s">
        <v>798</v>
      </c>
      <c r="D145" s="47">
        <v>4614</v>
      </c>
      <c r="E145" s="47">
        <v>12968</v>
      </c>
      <c r="F145" s="47">
        <v>285</v>
      </c>
      <c r="G145" s="47">
        <v>292</v>
      </c>
      <c r="H145" s="47">
        <v>18</v>
      </c>
      <c r="I145" s="47">
        <v>1</v>
      </c>
      <c r="J145" s="47">
        <v>18562</v>
      </c>
      <c r="K145" s="47">
        <v>1615</v>
      </c>
      <c r="L145" s="47">
        <v>2240</v>
      </c>
      <c r="M145" s="47">
        <f t="shared" si="18"/>
        <v>22417</v>
      </c>
      <c r="N145" s="251">
        <f t="shared" si="19"/>
        <v>35962</v>
      </c>
      <c r="O145" s="53">
        <f t="shared" si="20"/>
        <v>4.8584742089293451</v>
      </c>
      <c r="P145" s="72">
        <f t="shared" si="22"/>
        <v>2.9356306892067621</v>
      </c>
      <c r="Q145" s="72">
        <f t="shared" si="21"/>
        <v>7.7941048981361076</v>
      </c>
    </row>
    <row r="146" spans="1:17" ht="15.75" thickBot="1" x14ac:dyDescent="0.3">
      <c r="A146" s="44" t="s">
        <v>1560</v>
      </c>
      <c r="B146" s="45" t="s">
        <v>1561</v>
      </c>
      <c r="C146" s="44" t="s">
        <v>798</v>
      </c>
      <c r="D146" s="47">
        <v>6999</v>
      </c>
      <c r="E146" s="47">
        <v>22274</v>
      </c>
      <c r="F146" s="47">
        <v>1165</v>
      </c>
      <c r="G146" s="47">
        <v>3140</v>
      </c>
      <c r="H146" s="47">
        <v>28</v>
      </c>
      <c r="I146" s="47">
        <v>0</v>
      </c>
      <c r="J146" s="47">
        <v>45109</v>
      </c>
      <c r="K146" s="47">
        <v>16674</v>
      </c>
      <c r="L146" s="47">
        <v>815</v>
      </c>
      <c r="M146" s="47">
        <f t="shared" si="18"/>
        <v>62598</v>
      </c>
      <c r="N146" s="251">
        <f t="shared" si="19"/>
        <v>89177</v>
      </c>
      <c r="O146" s="53">
        <f t="shared" si="20"/>
        <v>8.9438491213030424</v>
      </c>
      <c r="P146" s="72">
        <f t="shared" si="22"/>
        <v>3.797542506072296</v>
      </c>
      <c r="Q146" s="72">
        <f t="shared" si="21"/>
        <v>12.741391627375339</v>
      </c>
    </row>
    <row r="147" spans="1:17" ht="15.75" thickBot="1" x14ac:dyDescent="0.3">
      <c r="A147" s="44" t="s">
        <v>1570</v>
      </c>
      <c r="B147" s="45" t="s">
        <v>1571</v>
      </c>
      <c r="C147" s="44" t="s">
        <v>798</v>
      </c>
      <c r="D147" s="47">
        <v>4837</v>
      </c>
      <c r="E147" s="47">
        <v>24070</v>
      </c>
      <c r="F147" s="47">
        <v>850</v>
      </c>
      <c r="G147" s="47">
        <v>1713</v>
      </c>
      <c r="H147" s="47">
        <v>42</v>
      </c>
      <c r="I147" s="47">
        <v>0</v>
      </c>
      <c r="J147" s="47">
        <v>15909</v>
      </c>
      <c r="K147" s="47">
        <v>3196</v>
      </c>
      <c r="L147" s="47">
        <v>246</v>
      </c>
      <c r="M147" s="47">
        <f t="shared" si="18"/>
        <v>19351</v>
      </c>
      <c r="N147" s="251">
        <f t="shared" si="19"/>
        <v>45984</v>
      </c>
      <c r="O147" s="53">
        <f t="shared" si="20"/>
        <v>4.0006202191440972</v>
      </c>
      <c r="P147" s="72">
        <f t="shared" si="22"/>
        <v>5.5060988215836266</v>
      </c>
      <c r="Q147" s="72">
        <f t="shared" si="21"/>
        <v>9.5067190407277238</v>
      </c>
    </row>
    <row r="148" spans="1:17" ht="15.75" thickBot="1" x14ac:dyDescent="0.3">
      <c r="A148" s="44" t="s">
        <v>1588</v>
      </c>
      <c r="B148" s="45" t="s">
        <v>1589</v>
      </c>
      <c r="C148" s="44" t="s">
        <v>798</v>
      </c>
      <c r="D148" s="47">
        <v>5240</v>
      </c>
      <c r="E148" s="47">
        <v>17018</v>
      </c>
      <c r="F148" s="47">
        <v>674</v>
      </c>
      <c r="G148" s="47">
        <v>667</v>
      </c>
      <c r="H148" s="47">
        <v>19</v>
      </c>
      <c r="I148" s="47">
        <v>0</v>
      </c>
      <c r="J148" s="47">
        <v>25714</v>
      </c>
      <c r="K148" s="47">
        <v>6052</v>
      </c>
      <c r="L148" s="47">
        <v>0</v>
      </c>
      <c r="M148" s="47">
        <f t="shared" ref="M148:M177" si="23">J148+K148+L148</f>
        <v>31766</v>
      </c>
      <c r="N148" s="251">
        <f t="shared" ref="N148:N177" si="24">E148+F148+G148+J148+K148+L148</f>
        <v>50125</v>
      </c>
      <c r="O148" s="53">
        <f t="shared" ref="O148:O177" si="25">(J148+K148+L148)/D148</f>
        <v>6.0622137404580156</v>
      </c>
      <c r="P148" s="72">
        <f t="shared" si="22"/>
        <v>3.5036259541984731</v>
      </c>
      <c r="Q148" s="72">
        <f t="shared" ref="Q148:Q177" si="26">N148/D148</f>
        <v>9.5658396946564892</v>
      </c>
    </row>
    <row r="149" spans="1:17" ht="15.75" thickBot="1" x14ac:dyDescent="0.3">
      <c r="A149" s="44" t="s">
        <v>806</v>
      </c>
      <c r="B149" s="45" t="s">
        <v>807</v>
      </c>
      <c r="C149" s="44" t="s">
        <v>808</v>
      </c>
      <c r="D149" s="47">
        <v>7410</v>
      </c>
      <c r="E149" s="47">
        <v>32312</v>
      </c>
      <c r="F149" s="47">
        <v>455</v>
      </c>
      <c r="G149" s="47">
        <v>1325</v>
      </c>
      <c r="H149" s="47">
        <v>55</v>
      </c>
      <c r="I149" s="47">
        <v>2</v>
      </c>
      <c r="J149" s="47">
        <v>14419</v>
      </c>
      <c r="K149" s="47">
        <v>4405</v>
      </c>
      <c r="L149" s="47">
        <v>0</v>
      </c>
      <c r="M149" s="47">
        <f t="shared" si="23"/>
        <v>18824</v>
      </c>
      <c r="N149" s="251">
        <f t="shared" si="24"/>
        <v>52916</v>
      </c>
      <c r="O149" s="53">
        <f t="shared" si="25"/>
        <v>2.5403508771929824</v>
      </c>
      <c r="P149" s="72">
        <f t="shared" si="22"/>
        <v>4.6008097165991906</v>
      </c>
      <c r="Q149" s="72">
        <f t="shared" si="26"/>
        <v>7.1411605937921729</v>
      </c>
    </row>
    <row r="150" spans="1:17" ht="15.75" thickBot="1" x14ac:dyDescent="0.3">
      <c r="A150" s="44" t="s">
        <v>809</v>
      </c>
      <c r="B150" s="45" t="s">
        <v>810</v>
      </c>
      <c r="C150" s="44" t="s">
        <v>808</v>
      </c>
      <c r="D150" s="47">
        <v>11600</v>
      </c>
      <c r="E150" s="47">
        <v>17649</v>
      </c>
      <c r="F150" s="47">
        <v>596</v>
      </c>
      <c r="G150" s="47">
        <v>889</v>
      </c>
      <c r="H150" s="47">
        <v>28</v>
      </c>
      <c r="I150" s="47">
        <v>1</v>
      </c>
      <c r="J150" s="47">
        <v>8543</v>
      </c>
      <c r="K150" s="47">
        <v>3883</v>
      </c>
      <c r="L150" s="47">
        <v>285</v>
      </c>
      <c r="M150" s="47">
        <f t="shared" si="23"/>
        <v>12711</v>
      </c>
      <c r="N150" s="251">
        <f t="shared" si="24"/>
        <v>31845</v>
      </c>
      <c r="O150" s="53">
        <f t="shared" si="25"/>
        <v>1.0957758620689655</v>
      </c>
      <c r="P150" s="72">
        <f t="shared" si="22"/>
        <v>1.6494827586206897</v>
      </c>
      <c r="Q150" s="72">
        <f t="shared" si="26"/>
        <v>2.745258620689655</v>
      </c>
    </row>
    <row r="151" spans="1:17" ht="15.75" thickBot="1" x14ac:dyDescent="0.3">
      <c r="A151" s="44" t="s">
        <v>811</v>
      </c>
      <c r="B151" s="45" t="s">
        <v>812</v>
      </c>
      <c r="C151" s="44" t="s">
        <v>808</v>
      </c>
      <c r="D151" s="47">
        <v>11569</v>
      </c>
      <c r="E151" s="47">
        <v>25599</v>
      </c>
      <c r="F151" s="47">
        <v>1424</v>
      </c>
      <c r="G151" s="47">
        <v>7460</v>
      </c>
      <c r="H151" s="47">
        <v>42</v>
      </c>
      <c r="I151" s="47">
        <v>1</v>
      </c>
      <c r="J151" s="47">
        <v>72265</v>
      </c>
      <c r="K151" s="47">
        <v>28064</v>
      </c>
      <c r="L151" s="47">
        <v>0</v>
      </c>
      <c r="M151" s="47">
        <f t="shared" si="23"/>
        <v>100329</v>
      </c>
      <c r="N151" s="251">
        <f t="shared" si="24"/>
        <v>134812</v>
      </c>
      <c r="O151" s="53">
        <f t="shared" si="25"/>
        <v>8.6722275045379895</v>
      </c>
      <c r="P151" s="72">
        <f t="shared" si="22"/>
        <v>2.9806379116604718</v>
      </c>
      <c r="Q151" s="72">
        <f t="shared" si="26"/>
        <v>11.652865416198461</v>
      </c>
    </row>
    <row r="152" spans="1:17" ht="15.75" thickBot="1" x14ac:dyDescent="0.3">
      <c r="A152" s="44" t="s">
        <v>813</v>
      </c>
      <c r="B152" s="45" t="s">
        <v>814</v>
      </c>
      <c r="C152" s="44" t="s">
        <v>808</v>
      </c>
      <c r="D152" s="47">
        <v>9706</v>
      </c>
      <c r="E152" s="47">
        <v>44744</v>
      </c>
      <c r="F152" s="47">
        <v>2550</v>
      </c>
      <c r="G152" s="47">
        <v>3935</v>
      </c>
      <c r="H152" s="47">
        <v>32</v>
      </c>
      <c r="I152" s="47">
        <v>5</v>
      </c>
      <c r="J152" s="47">
        <v>14744</v>
      </c>
      <c r="K152" s="47">
        <v>3935</v>
      </c>
      <c r="L152" s="47">
        <v>113</v>
      </c>
      <c r="M152" s="47">
        <f t="shared" si="23"/>
        <v>18792</v>
      </c>
      <c r="N152" s="251">
        <f t="shared" si="24"/>
        <v>70021</v>
      </c>
      <c r="O152" s="53">
        <f t="shared" si="25"/>
        <v>1.9361219864001649</v>
      </c>
      <c r="P152" s="72">
        <f t="shared" si="22"/>
        <v>5.2780754172676696</v>
      </c>
      <c r="Q152" s="72">
        <f t="shared" si="26"/>
        <v>7.2141974036678347</v>
      </c>
    </row>
    <row r="153" spans="1:17" ht="15.75" thickBot="1" x14ac:dyDescent="0.3">
      <c r="A153" s="44" t="s">
        <v>825</v>
      </c>
      <c r="B153" s="45" t="s">
        <v>826</v>
      </c>
      <c r="C153" s="44" t="s">
        <v>808</v>
      </c>
      <c r="D153" s="47">
        <v>11902</v>
      </c>
      <c r="E153" s="47">
        <v>88003</v>
      </c>
      <c r="F153" s="47">
        <v>1372</v>
      </c>
      <c r="G153" s="47">
        <v>2494</v>
      </c>
      <c r="H153" s="47">
        <v>120</v>
      </c>
      <c r="I153" s="47">
        <v>6</v>
      </c>
      <c r="J153" s="47">
        <v>16451</v>
      </c>
      <c r="K153" s="47">
        <v>4218</v>
      </c>
      <c r="L153" s="47">
        <v>0</v>
      </c>
      <c r="M153" s="47">
        <f t="shared" si="23"/>
        <v>20669</v>
      </c>
      <c r="N153" s="251">
        <f t="shared" si="24"/>
        <v>112538</v>
      </c>
      <c r="O153" s="53">
        <f t="shared" si="25"/>
        <v>1.7365988909426988</v>
      </c>
      <c r="P153" s="72">
        <f t="shared" si="22"/>
        <v>7.7187867585279788</v>
      </c>
      <c r="Q153" s="72">
        <f t="shared" si="26"/>
        <v>9.4553856494706778</v>
      </c>
    </row>
    <row r="154" spans="1:17" ht="15.75" thickBot="1" x14ac:dyDescent="0.3">
      <c r="A154" s="44" t="s">
        <v>833</v>
      </c>
      <c r="B154" s="45" t="s">
        <v>834</v>
      </c>
      <c r="C154" s="44" t="s">
        <v>808</v>
      </c>
      <c r="D154" s="47">
        <v>11000</v>
      </c>
      <c r="E154" s="47">
        <v>64984</v>
      </c>
      <c r="F154" s="47">
        <v>1487</v>
      </c>
      <c r="G154" s="47">
        <v>1852</v>
      </c>
      <c r="H154" s="47">
        <v>44</v>
      </c>
      <c r="I154" s="47">
        <v>0</v>
      </c>
      <c r="J154" s="47">
        <v>23404</v>
      </c>
      <c r="K154" s="47">
        <v>5302</v>
      </c>
      <c r="L154" s="47">
        <v>46</v>
      </c>
      <c r="M154" s="47">
        <f t="shared" si="23"/>
        <v>28752</v>
      </c>
      <c r="N154" s="251">
        <f t="shared" si="24"/>
        <v>97075</v>
      </c>
      <c r="O154" s="53">
        <f t="shared" si="25"/>
        <v>2.6138181818181816</v>
      </c>
      <c r="P154" s="72">
        <f t="shared" si="22"/>
        <v>6.2111818181818181</v>
      </c>
      <c r="Q154" s="72">
        <f t="shared" si="26"/>
        <v>8.8249999999999993</v>
      </c>
    </row>
    <row r="155" spans="1:17" ht="15.75" thickBot="1" x14ac:dyDescent="0.3">
      <c r="A155" s="44" t="s">
        <v>848</v>
      </c>
      <c r="B155" s="45" t="s">
        <v>849</v>
      </c>
      <c r="C155" s="44" t="s">
        <v>808</v>
      </c>
      <c r="D155" s="47">
        <v>7172</v>
      </c>
      <c r="E155" s="47">
        <v>19766</v>
      </c>
      <c r="F155" s="47">
        <v>1063</v>
      </c>
      <c r="G155" s="47">
        <v>3082</v>
      </c>
      <c r="H155" s="47">
        <v>26</v>
      </c>
      <c r="I155" s="47">
        <v>2</v>
      </c>
      <c r="J155" s="47">
        <v>15966</v>
      </c>
      <c r="K155" s="47">
        <v>3279</v>
      </c>
      <c r="L155" s="47">
        <v>246</v>
      </c>
      <c r="M155" s="47">
        <f t="shared" si="23"/>
        <v>19491</v>
      </c>
      <c r="N155" s="251">
        <f t="shared" si="24"/>
        <v>43402</v>
      </c>
      <c r="O155" s="53">
        <f t="shared" si="25"/>
        <v>2.7176519799219188</v>
      </c>
      <c r="P155" s="72">
        <f t="shared" si="22"/>
        <v>3.3339375348577804</v>
      </c>
      <c r="Q155" s="72">
        <f t="shared" si="26"/>
        <v>6.0515895147796988</v>
      </c>
    </row>
    <row r="156" spans="1:17" ht="15.75" thickBot="1" x14ac:dyDescent="0.3">
      <c r="A156" s="44" t="s">
        <v>859</v>
      </c>
      <c r="B156" s="45" t="s">
        <v>860</v>
      </c>
      <c r="C156" s="44" t="s">
        <v>808</v>
      </c>
      <c r="D156" s="47">
        <v>11598</v>
      </c>
      <c r="E156" s="47">
        <v>20700</v>
      </c>
      <c r="F156" s="47">
        <v>75</v>
      </c>
      <c r="G156" s="47">
        <v>280</v>
      </c>
      <c r="H156" s="47">
        <v>17</v>
      </c>
      <c r="I156" s="47">
        <v>2</v>
      </c>
      <c r="J156" s="47">
        <v>0</v>
      </c>
      <c r="K156" s="47">
        <v>0</v>
      </c>
      <c r="L156" s="47">
        <v>0</v>
      </c>
      <c r="M156" s="47">
        <f t="shared" si="23"/>
        <v>0</v>
      </c>
      <c r="N156" s="251">
        <f t="shared" si="24"/>
        <v>21055</v>
      </c>
      <c r="O156" s="53">
        <f t="shared" si="25"/>
        <v>0</v>
      </c>
      <c r="P156" s="72">
        <f t="shared" si="22"/>
        <v>1.8153992067597862</v>
      </c>
      <c r="Q156" s="72">
        <f t="shared" si="26"/>
        <v>1.8153992067597862</v>
      </c>
    </row>
    <row r="157" spans="1:17" ht="15.75" thickBot="1" x14ac:dyDescent="0.3">
      <c r="A157" s="44" t="s">
        <v>879</v>
      </c>
      <c r="B157" s="45" t="s">
        <v>880</v>
      </c>
      <c r="C157" s="44" t="s">
        <v>808</v>
      </c>
      <c r="D157" s="47">
        <v>9197</v>
      </c>
      <c r="E157" s="47">
        <v>46423</v>
      </c>
      <c r="F157" s="47">
        <v>4397</v>
      </c>
      <c r="G157" s="47">
        <v>2841</v>
      </c>
      <c r="H157" s="47">
        <v>90</v>
      </c>
      <c r="I157" s="47">
        <v>0</v>
      </c>
      <c r="J157" s="47">
        <v>12929</v>
      </c>
      <c r="K157" s="47">
        <v>3165</v>
      </c>
      <c r="L157" s="47">
        <v>324</v>
      </c>
      <c r="M157" s="47">
        <f t="shared" si="23"/>
        <v>16418</v>
      </c>
      <c r="N157" s="251">
        <f t="shared" si="24"/>
        <v>70079</v>
      </c>
      <c r="O157" s="53">
        <f t="shared" si="25"/>
        <v>1.7851473306512993</v>
      </c>
      <c r="P157" s="72">
        <f t="shared" si="22"/>
        <v>5.8346199847776452</v>
      </c>
      <c r="Q157" s="72">
        <f t="shared" si="26"/>
        <v>7.6197673154289438</v>
      </c>
    </row>
    <row r="158" spans="1:17" ht="15.75" thickBot="1" x14ac:dyDescent="0.3">
      <c r="A158" s="44" t="s">
        <v>889</v>
      </c>
      <c r="B158" s="45" t="s">
        <v>890</v>
      </c>
      <c r="C158" s="44" t="s">
        <v>808</v>
      </c>
      <c r="D158" s="47">
        <v>11825</v>
      </c>
      <c r="E158" s="47">
        <v>62103</v>
      </c>
      <c r="F158" s="47">
        <v>6144</v>
      </c>
      <c r="G158" s="47">
        <v>7859</v>
      </c>
      <c r="H158" s="47">
        <v>109</v>
      </c>
      <c r="I158" s="47">
        <v>1</v>
      </c>
      <c r="J158" s="47">
        <v>16524</v>
      </c>
      <c r="K158" s="47">
        <v>5346</v>
      </c>
      <c r="L158" s="47">
        <v>759</v>
      </c>
      <c r="M158" s="47">
        <f t="shared" si="23"/>
        <v>22629</v>
      </c>
      <c r="N158" s="251">
        <f t="shared" si="24"/>
        <v>98735</v>
      </c>
      <c r="O158" s="53">
        <f t="shared" si="25"/>
        <v>1.9136575052854123</v>
      </c>
      <c r="P158" s="72">
        <f t="shared" si="22"/>
        <v>6.4360253699788581</v>
      </c>
      <c r="Q158" s="72">
        <f t="shared" si="26"/>
        <v>8.3496828752642713</v>
      </c>
    </row>
    <row r="159" spans="1:17" ht="15.75" thickBot="1" x14ac:dyDescent="0.3">
      <c r="A159" s="44" t="s">
        <v>893</v>
      </c>
      <c r="B159" s="45" t="s">
        <v>894</v>
      </c>
      <c r="C159" s="44" t="s">
        <v>808</v>
      </c>
      <c r="D159" s="47">
        <v>7226</v>
      </c>
      <c r="E159" s="47">
        <v>30470</v>
      </c>
      <c r="F159" s="47">
        <v>1207</v>
      </c>
      <c r="G159" s="47">
        <v>2572</v>
      </c>
      <c r="H159" s="47">
        <v>40</v>
      </c>
      <c r="I159" s="47">
        <v>5</v>
      </c>
      <c r="J159" s="47">
        <v>25645</v>
      </c>
      <c r="K159" s="47">
        <v>4500</v>
      </c>
      <c r="L159" s="47">
        <v>312</v>
      </c>
      <c r="M159" s="47">
        <f t="shared" si="23"/>
        <v>30457</v>
      </c>
      <c r="N159" s="251">
        <f t="shared" si="24"/>
        <v>64706</v>
      </c>
      <c r="O159" s="53">
        <f t="shared" si="25"/>
        <v>4.2149183504013283</v>
      </c>
      <c r="P159" s="72">
        <f t="shared" si="22"/>
        <v>4.7396900083033486</v>
      </c>
      <c r="Q159" s="72">
        <f t="shared" si="26"/>
        <v>8.954608358704677</v>
      </c>
    </row>
    <row r="160" spans="1:17" ht="15.75" thickBot="1" x14ac:dyDescent="0.3">
      <c r="A160" s="44" t="s">
        <v>911</v>
      </c>
      <c r="B160" s="45" t="s">
        <v>912</v>
      </c>
      <c r="C160" s="44" t="s">
        <v>808</v>
      </c>
      <c r="D160" s="47">
        <v>10090</v>
      </c>
      <c r="E160" s="47">
        <v>40148</v>
      </c>
      <c r="F160" s="47">
        <v>1449</v>
      </c>
      <c r="G160" s="47">
        <v>3572</v>
      </c>
      <c r="H160" s="47">
        <v>89</v>
      </c>
      <c r="I160" s="47">
        <v>3</v>
      </c>
      <c r="J160" s="47">
        <v>13672</v>
      </c>
      <c r="K160" s="47">
        <v>3248</v>
      </c>
      <c r="L160" s="47">
        <v>324</v>
      </c>
      <c r="M160" s="47">
        <f t="shared" si="23"/>
        <v>17244</v>
      </c>
      <c r="N160" s="251">
        <f t="shared" si="24"/>
        <v>62413</v>
      </c>
      <c r="O160" s="53">
        <f t="shared" si="25"/>
        <v>1.7090188305252725</v>
      </c>
      <c r="P160" s="72">
        <f t="shared" si="22"/>
        <v>4.4766105054509415</v>
      </c>
      <c r="Q160" s="72">
        <f t="shared" si="26"/>
        <v>6.1856293359762144</v>
      </c>
    </row>
    <row r="161" spans="1:17" ht="15.75" thickBot="1" x14ac:dyDescent="0.3">
      <c r="A161" s="44" t="s">
        <v>913</v>
      </c>
      <c r="B161" s="45" t="s">
        <v>914</v>
      </c>
      <c r="C161" s="44" t="s">
        <v>808</v>
      </c>
      <c r="D161" s="47">
        <v>9705</v>
      </c>
      <c r="E161" s="47">
        <v>29285</v>
      </c>
      <c r="F161" s="47">
        <v>1116</v>
      </c>
      <c r="G161" s="47">
        <v>2593</v>
      </c>
      <c r="H161" s="47">
        <v>64</v>
      </c>
      <c r="I161" s="47">
        <v>0</v>
      </c>
      <c r="J161" s="47">
        <v>16562</v>
      </c>
      <c r="K161" s="47">
        <v>4421</v>
      </c>
      <c r="L161" s="47">
        <v>0</v>
      </c>
      <c r="M161" s="47">
        <f t="shared" si="23"/>
        <v>20983</v>
      </c>
      <c r="N161" s="251">
        <f t="shared" si="24"/>
        <v>53977</v>
      </c>
      <c r="O161" s="53">
        <f t="shared" si="25"/>
        <v>2.1620814013395155</v>
      </c>
      <c r="P161" s="72">
        <f t="shared" si="22"/>
        <v>3.3996908809891808</v>
      </c>
      <c r="Q161" s="72">
        <f t="shared" si="26"/>
        <v>5.5617722823286968</v>
      </c>
    </row>
    <row r="162" spans="1:17" ht="15.75" thickBot="1" x14ac:dyDescent="0.3">
      <c r="A162" s="44" t="s">
        <v>919</v>
      </c>
      <c r="B162" s="45" t="s">
        <v>920</v>
      </c>
      <c r="C162" s="44" t="s">
        <v>808</v>
      </c>
      <c r="D162" s="47">
        <v>8692</v>
      </c>
      <c r="E162" s="47">
        <v>48304</v>
      </c>
      <c r="F162" s="47">
        <v>2210</v>
      </c>
      <c r="G162" s="47">
        <v>2391</v>
      </c>
      <c r="H162" s="47">
        <v>70</v>
      </c>
      <c r="I162" s="47">
        <v>5</v>
      </c>
      <c r="J162" s="47">
        <v>8543</v>
      </c>
      <c r="K162" s="47">
        <v>3883</v>
      </c>
      <c r="L162" s="47">
        <v>285</v>
      </c>
      <c r="M162" s="47">
        <f t="shared" si="23"/>
        <v>12711</v>
      </c>
      <c r="N162" s="251">
        <f t="shared" si="24"/>
        <v>65616</v>
      </c>
      <c r="O162" s="53">
        <f t="shared" si="25"/>
        <v>1.4623791992636908</v>
      </c>
      <c r="P162" s="72">
        <f t="shared" si="22"/>
        <v>6.0866313851817759</v>
      </c>
      <c r="Q162" s="72">
        <f t="shared" si="26"/>
        <v>7.5490105844454671</v>
      </c>
    </row>
    <row r="163" spans="1:17" ht="15.75" thickBot="1" x14ac:dyDescent="0.3">
      <c r="A163" s="44" t="s">
        <v>927</v>
      </c>
      <c r="B163" s="45" t="s">
        <v>928</v>
      </c>
      <c r="C163" s="44" t="s">
        <v>808</v>
      </c>
      <c r="D163" s="47">
        <v>11833</v>
      </c>
      <c r="E163" s="47">
        <v>48835</v>
      </c>
      <c r="F163" s="47">
        <v>1453</v>
      </c>
      <c r="G163" s="47">
        <v>4621</v>
      </c>
      <c r="H163" s="47">
        <v>103</v>
      </c>
      <c r="I163" s="47">
        <v>5</v>
      </c>
      <c r="J163" s="47">
        <v>8257</v>
      </c>
      <c r="K163" s="47">
        <v>3395</v>
      </c>
      <c r="L163" s="47">
        <v>0</v>
      </c>
      <c r="M163" s="47">
        <f t="shared" si="23"/>
        <v>11652</v>
      </c>
      <c r="N163" s="251">
        <f t="shared" si="24"/>
        <v>66561</v>
      </c>
      <c r="O163" s="53">
        <f t="shared" si="25"/>
        <v>0.98470379447308376</v>
      </c>
      <c r="P163" s="72">
        <f t="shared" si="22"/>
        <v>4.6403278965604668</v>
      </c>
      <c r="Q163" s="72">
        <f t="shared" si="26"/>
        <v>5.6250316910335503</v>
      </c>
    </row>
    <row r="164" spans="1:17" ht="15.75" thickBot="1" x14ac:dyDescent="0.3">
      <c r="A164" s="44" t="s">
        <v>931</v>
      </c>
      <c r="B164" s="45" t="s">
        <v>932</v>
      </c>
      <c r="C164" s="44" t="s">
        <v>808</v>
      </c>
      <c r="D164" s="47">
        <v>10857</v>
      </c>
      <c r="E164" s="47">
        <v>42642</v>
      </c>
      <c r="F164" s="47">
        <v>1180</v>
      </c>
      <c r="G164" s="47">
        <v>1811</v>
      </c>
      <c r="H164" s="47">
        <v>66</v>
      </c>
      <c r="I164" s="47">
        <v>1</v>
      </c>
      <c r="J164" s="47">
        <v>11365</v>
      </c>
      <c r="K164" s="47">
        <v>12626</v>
      </c>
      <c r="L164" s="47">
        <v>0</v>
      </c>
      <c r="M164" s="47">
        <f t="shared" si="23"/>
        <v>23991</v>
      </c>
      <c r="N164" s="251">
        <f t="shared" si="24"/>
        <v>69624</v>
      </c>
      <c r="O164" s="53">
        <f t="shared" si="25"/>
        <v>2.209726443768997</v>
      </c>
      <c r="P164" s="72">
        <f t="shared" si="22"/>
        <v>4.2030947775628631</v>
      </c>
      <c r="Q164" s="72">
        <f t="shared" si="26"/>
        <v>6.4128212213318596</v>
      </c>
    </row>
    <row r="165" spans="1:17" ht="15.75" thickBot="1" x14ac:dyDescent="0.3">
      <c r="A165" s="44" t="s">
        <v>935</v>
      </c>
      <c r="B165" s="45" t="s">
        <v>936</v>
      </c>
      <c r="C165" s="44" t="s">
        <v>808</v>
      </c>
      <c r="D165" s="47">
        <v>9483</v>
      </c>
      <c r="E165" s="47">
        <v>22248</v>
      </c>
      <c r="F165" s="47">
        <v>738</v>
      </c>
      <c r="G165" s="47">
        <v>1074</v>
      </c>
      <c r="H165" s="47">
        <v>0</v>
      </c>
      <c r="I165" s="47">
        <v>0</v>
      </c>
      <c r="J165" s="47">
        <v>9854</v>
      </c>
      <c r="K165" s="47">
        <v>12626</v>
      </c>
      <c r="L165" s="47">
        <v>0</v>
      </c>
      <c r="M165" s="47">
        <f t="shared" si="23"/>
        <v>22480</v>
      </c>
      <c r="N165" s="251">
        <f t="shared" si="24"/>
        <v>46540</v>
      </c>
      <c r="O165" s="53">
        <f t="shared" si="25"/>
        <v>2.370557840345882</v>
      </c>
      <c r="P165" s="72">
        <f t="shared" si="22"/>
        <v>2.5371717810819363</v>
      </c>
      <c r="Q165" s="72">
        <f t="shared" si="26"/>
        <v>4.9077296214278183</v>
      </c>
    </row>
    <row r="166" spans="1:17" ht="15.75" thickBot="1" x14ac:dyDescent="0.3">
      <c r="A166" s="44" t="s">
        <v>937</v>
      </c>
      <c r="B166" s="45" t="s">
        <v>938</v>
      </c>
      <c r="C166" s="44" t="s">
        <v>808</v>
      </c>
      <c r="D166" s="47">
        <v>8257</v>
      </c>
      <c r="E166" s="47">
        <v>31854</v>
      </c>
      <c r="F166" s="47">
        <v>1900</v>
      </c>
      <c r="G166" s="47">
        <v>3005</v>
      </c>
      <c r="H166" s="47">
        <v>32</v>
      </c>
      <c r="I166" s="47">
        <v>9</v>
      </c>
      <c r="J166" s="47">
        <v>14206</v>
      </c>
      <c r="K166" s="47">
        <v>3960</v>
      </c>
      <c r="L166" s="47">
        <v>20</v>
      </c>
      <c r="M166" s="47">
        <f t="shared" si="23"/>
        <v>18186</v>
      </c>
      <c r="N166" s="251">
        <f t="shared" si="24"/>
        <v>54945</v>
      </c>
      <c r="O166" s="53">
        <f t="shared" si="25"/>
        <v>2.2024948528521255</v>
      </c>
      <c r="P166" s="72">
        <f t="shared" si="22"/>
        <v>4.4518590287029189</v>
      </c>
      <c r="Q166" s="72">
        <f t="shared" si="26"/>
        <v>6.6543538815550445</v>
      </c>
    </row>
    <row r="167" spans="1:17" ht="15.75" thickBot="1" x14ac:dyDescent="0.3">
      <c r="A167" s="44" t="s">
        <v>943</v>
      </c>
      <c r="B167" s="45" t="s">
        <v>944</v>
      </c>
      <c r="C167" s="44" t="s">
        <v>808</v>
      </c>
      <c r="D167" s="47">
        <v>9810</v>
      </c>
      <c r="E167" s="47">
        <v>38693</v>
      </c>
      <c r="F167" s="47">
        <v>4463</v>
      </c>
      <c r="G167" s="47">
        <v>3882</v>
      </c>
      <c r="H167" s="47">
        <v>150</v>
      </c>
      <c r="I167" s="47">
        <v>4</v>
      </c>
      <c r="J167" s="47">
        <v>24103</v>
      </c>
      <c r="K167" s="47">
        <v>4259</v>
      </c>
      <c r="L167" s="47">
        <v>137</v>
      </c>
      <c r="M167" s="47">
        <f t="shared" si="23"/>
        <v>28499</v>
      </c>
      <c r="N167" s="251">
        <f t="shared" si="24"/>
        <v>75537</v>
      </c>
      <c r="O167" s="53">
        <f t="shared" si="25"/>
        <v>2.9050968399592252</v>
      </c>
      <c r="P167" s="72">
        <f t="shared" si="22"/>
        <v>4.794903160040775</v>
      </c>
      <c r="Q167" s="72">
        <f t="shared" si="26"/>
        <v>7.7</v>
      </c>
    </row>
    <row r="168" spans="1:17" ht="15.75" thickBot="1" x14ac:dyDescent="0.3">
      <c r="A168" s="44" t="s">
        <v>979</v>
      </c>
      <c r="B168" s="45" t="s">
        <v>980</v>
      </c>
      <c r="C168" s="44" t="s">
        <v>808</v>
      </c>
      <c r="D168" s="47">
        <v>11862</v>
      </c>
      <c r="E168" s="47">
        <v>33518</v>
      </c>
      <c r="F168" s="47">
        <v>1649</v>
      </c>
      <c r="G168" s="47">
        <v>2821</v>
      </c>
      <c r="H168" s="47">
        <v>55</v>
      </c>
      <c r="I168" s="47">
        <v>5</v>
      </c>
      <c r="J168" s="47">
        <v>20630</v>
      </c>
      <c r="K168" s="47">
        <v>19649</v>
      </c>
      <c r="L168" s="47">
        <v>14919</v>
      </c>
      <c r="M168" s="47">
        <f t="shared" si="23"/>
        <v>55198</v>
      </c>
      <c r="N168" s="251">
        <f t="shared" si="24"/>
        <v>93186</v>
      </c>
      <c r="O168" s="53">
        <f t="shared" si="25"/>
        <v>4.6533468217838472</v>
      </c>
      <c r="P168" s="72">
        <f t="shared" si="22"/>
        <v>3.2024953633451356</v>
      </c>
      <c r="Q168" s="72">
        <f t="shared" si="26"/>
        <v>7.8558421851289832</v>
      </c>
    </row>
    <row r="169" spans="1:17" ht="15.75" thickBot="1" x14ac:dyDescent="0.3">
      <c r="A169" s="44" t="s">
        <v>1003</v>
      </c>
      <c r="B169" s="45" t="s">
        <v>1004</v>
      </c>
      <c r="C169" s="44" t="s">
        <v>808</v>
      </c>
      <c r="D169" s="47">
        <v>10021</v>
      </c>
      <c r="E169" s="47">
        <v>27534</v>
      </c>
      <c r="F169" s="47">
        <v>1605</v>
      </c>
      <c r="G169" s="47">
        <v>1976</v>
      </c>
      <c r="H169" s="47">
        <v>0</v>
      </c>
      <c r="I169" s="47">
        <v>0</v>
      </c>
      <c r="J169" s="47">
        <v>0</v>
      </c>
      <c r="K169" s="47">
        <v>0</v>
      </c>
      <c r="L169" s="47">
        <v>0</v>
      </c>
      <c r="M169" s="47">
        <f t="shared" si="23"/>
        <v>0</v>
      </c>
      <c r="N169" s="251">
        <f t="shared" si="24"/>
        <v>31115</v>
      </c>
      <c r="O169" s="53">
        <f t="shared" si="25"/>
        <v>0</v>
      </c>
      <c r="P169" s="72">
        <f t="shared" si="22"/>
        <v>3.1049795429597844</v>
      </c>
      <c r="Q169" s="72">
        <f t="shared" si="26"/>
        <v>3.1049795429597844</v>
      </c>
    </row>
    <row r="170" spans="1:17" ht="15.75" thickBot="1" x14ac:dyDescent="0.3">
      <c r="A170" s="44" t="s">
        <v>1015</v>
      </c>
      <c r="B170" s="45" t="s">
        <v>1016</v>
      </c>
      <c r="C170" s="44" t="s">
        <v>808</v>
      </c>
      <c r="D170" s="47">
        <v>7439</v>
      </c>
      <c r="E170" s="47">
        <v>28472</v>
      </c>
      <c r="F170" s="47">
        <v>658</v>
      </c>
      <c r="G170" s="47">
        <v>2101</v>
      </c>
      <c r="H170" s="47">
        <v>38</v>
      </c>
      <c r="I170" s="47">
        <v>5</v>
      </c>
      <c r="J170" s="47">
        <v>9364</v>
      </c>
      <c r="K170" s="47">
        <v>11161</v>
      </c>
      <c r="L170" s="47">
        <v>0</v>
      </c>
      <c r="M170" s="47">
        <f t="shared" si="23"/>
        <v>20525</v>
      </c>
      <c r="N170" s="251">
        <f t="shared" si="24"/>
        <v>51756</v>
      </c>
      <c r="O170" s="53">
        <f t="shared" si="25"/>
        <v>2.7591074069095307</v>
      </c>
      <c r="P170" s="72">
        <f t="shared" si="22"/>
        <v>4.1982793386207824</v>
      </c>
      <c r="Q170" s="72">
        <f t="shared" si="26"/>
        <v>6.9573867455303136</v>
      </c>
    </row>
    <row r="171" spans="1:17" ht="15.75" thickBot="1" x14ac:dyDescent="0.3">
      <c r="A171" s="44" t="s">
        <v>1029</v>
      </c>
      <c r="B171" s="45" t="s">
        <v>1030</v>
      </c>
      <c r="C171" s="44" t="s">
        <v>808</v>
      </c>
      <c r="D171" s="47">
        <v>7392</v>
      </c>
      <c r="E171" s="47">
        <v>33216</v>
      </c>
      <c r="F171" s="47">
        <v>262</v>
      </c>
      <c r="G171" s="47">
        <v>1123</v>
      </c>
      <c r="H171" s="47">
        <v>35</v>
      </c>
      <c r="I171" s="47">
        <v>0</v>
      </c>
      <c r="J171" s="47">
        <v>12476</v>
      </c>
      <c r="K171" s="47">
        <v>2487</v>
      </c>
      <c r="L171" s="47">
        <v>245</v>
      </c>
      <c r="M171" s="47">
        <f t="shared" si="23"/>
        <v>15208</v>
      </c>
      <c r="N171" s="251">
        <f t="shared" si="24"/>
        <v>49809</v>
      </c>
      <c r="O171" s="53">
        <f t="shared" si="25"/>
        <v>2.0573593073593073</v>
      </c>
      <c r="P171" s="72">
        <f t="shared" si="22"/>
        <v>4.6808712121212119</v>
      </c>
      <c r="Q171" s="72">
        <f t="shared" si="26"/>
        <v>6.7382305194805197</v>
      </c>
    </row>
    <row r="172" spans="1:17" ht="15.75" thickBot="1" x14ac:dyDescent="0.3">
      <c r="A172" s="44" t="s">
        <v>1033</v>
      </c>
      <c r="B172" s="45" t="s">
        <v>1034</v>
      </c>
      <c r="C172" s="44" t="s">
        <v>808</v>
      </c>
      <c r="D172" s="47">
        <v>9512</v>
      </c>
      <c r="E172" s="47">
        <v>39745</v>
      </c>
      <c r="F172" s="47">
        <v>1956</v>
      </c>
      <c r="G172" s="47">
        <v>2160</v>
      </c>
      <c r="H172" s="47">
        <v>22</v>
      </c>
      <c r="I172" s="47">
        <v>0</v>
      </c>
      <c r="J172" s="47">
        <v>0</v>
      </c>
      <c r="K172" s="47">
        <v>0</v>
      </c>
      <c r="L172" s="47">
        <v>0</v>
      </c>
      <c r="M172" s="47">
        <f t="shared" si="23"/>
        <v>0</v>
      </c>
      <c r="N172" s="251">
        <f t="shared" si="24"/>
        <v>43861</v>
      </c>
      <c r="O172" s="53">
        <f t="shared" si="25"/>
        <v>0</v>
      </c>
      <c r="P172" s="72">
        <f t="shared" si="22"/>
        <v>4.611122792262405</v>
      </c>
      <c r="Q172" s="72">
        <f t="shared" si="26"/>
        <v>4.611122792262405</v>
      </c>
    </row>
    <row r="173" spans="1:17" ht="15.75" thickBot="1" x14ac:dyDescent="0.3">
      <c r="A173" s="44" t="s">
        <v>1045</v>
      </c>
      <c r="B173" s="45" t="s">
        <v>1046</v>
      </c>
      <c r="C173" s="44" t="s">
        <v>808</v>
      </c>
      <c r="D173" s="47">
        <v>7717</v>
      </c>
      <c r="E173" s="47">
        <v>37502</v>
      </c>
      <c r="F173" s="47">
        <v>1643</v>
      </c>
      <c r="G173" s="47">
        <v>59</v>
      </c>
      <c r="H173" s="47">
        <v>48</v>
      </c>
      <c r="I173" s="47">
        <v>0</v>
      </c>
      <c r="J173" s="47">
        <v>0</v>
      </c>
      <c r="K173" s="47">
        <v>0</v>
      </c>
      <c r="L173" s="47">
        <v>0</v>
      </c>
      <c r="M173" s="47">
        <f t="shared" si="23"/>
        <v>0</v>
      </c>
      <c r="N173" s="251">
        <f t="shared" si="24"/>
        <v>39204</v>
      </c>
      <c r="O173" s="53">
        <f t="shared" si="25"/>
        <v>0</v>
      </c>
      <c r="P173" s="72">
        <f t="shared" si="22"/>
        <v>5.080212517817805</v>
      </c>
      <c r="Q173" s="72">
        <f t="shared" si="26"/>
        <v>5.080212517817805</v>
      </c>
    </row>
    <row r="174" spans="1:17" ht="15.75" thickBot="1" x14ac:dyDescent="0.3">
      <c r="A174" s="44" t="s">
        <v>1069</v>
      </c>
      <c r="B174" s="45" t="s">
        <v>1070</v>
      </c>
      <c r="C174" s="44" t="s">
        <v>808</v>
      </c>
      <c r="D174" s="47">
        <v>7824</v>
      </c>
      <c r="E174" s="47">
        <v>36725</v>
      </c>
      <c r="F174" s="47">
        <v>1283</v>
      </c>
      <c r="G174" s="47">
        <v>1104</v>
      </c>
      <c r="H174" s="47">
        <v>57</v>
      </c>
      <c r="I174" s="47">
        <v>4</v>
      </c>
      <c r="J174" s="47">
        <v>14167</v>
      </c>
      <c r="K174" s="47">
        <v>3986</v>
      </c>
      <c r="L174" s="47">
        <v>0</v>
      </c>
      <c r="M174" s="47">
        <f t="shared" si="23"/>
        <v>18153</v>
      </c>
      <c r="N174" s="251">
        <f t="shared" si="24"/>
        <v>57265</v>
      </c>
      <c r="O174" s="53">
        <f t="shared" si="25"/>
        <v>2.3201687116564416</v>
      </c>
      <c r="P174" s="72">
        <f t="shared" si="22"/>
        <v>4.9989775051124745</v>
      </c>
      <c r="Q174" s="72">
        <f t="shared" si="26"/>
        <v>7.3191462167689165</v>
      </c>
    </row>
    <row r="175" spans="1:17" ht="15.75" thickBot="1" x14ac:dyDescent="0.3">
      <c r="A175" s="44" t="s">
        <v>1081</v>
      </c>
      <c r="B175" s="45" t="s">
        <v>1082</v>
      </c>
      <c r="C175" s="44" t="s">
        <v>808</v>
      </c>
      <c r="D175" s="47">
        <v>9476</v>
      </c>
      <c r="E175" s="47">
        <v>18866</v>
      </c>
      <c r="F175" s="47">
        <v>771</v>
      </c>
      <c r="G175" s="47">
        <v>1018</v>
      </c>
      <c r="H175" s="47">
        <v>25</v>
      </c>
      <c r="I175" s="47">
        <v>0</v>
      </c>
      <c r="J175" s="47">
        <v>15942</v>
      </c>
      <c r="K175" s="47">
        <v>3221</v>
      </c>
      <c r="L175" s="47">
        <v>264</v>
      </c>
      <c r="M175" s="47">
        <f t="shared" si="23"/>
        <v>19427</v>
      </c>
      <c r="N175" s="251">
        <f t="shared" si="24"/>
        <v>40082</v>
      </c>
      <c r="O175" s="53">
        <f t="shared" si="25"/>
        <v>2.0501266357112704</v>
      </c>
      <c r="P175" s="72">
        <f t="shared" si="22"/>
        <v>2.179717180244829</v>
      </c>
      <c r="Q175" s="72">
        <f t="shared" si="26"/>
        <v>4.2298438159560998</v>
      </c>
    </row>
    <row r="176" spans="1:17" ht="15.75" thickBot="1" x14ac:dyDescent="0.3">
      <c r="A176" s="44" t="s">
        <v>1087</v>
      </c>
      <c r="B176" s="45" t="s">
        <v>1088</v>
      </c>
      <c r="C176" s="44" t="s">
        <v>808</v>
      </c>
      <c r="D176" s="47">
        <v>10983</v>
      </c>
      <c r="E176" s="47">
        <v>49398</v>
      </c>
      <c r="F176" s="47">
        <v>4998</v>
      </c>
      <c r="G176" s="47">
        <v>4904</v>
      </c>
      <c r="H176" s="47">
        <v>75</v>
      </c>
      <c r="I176" s="47">
        <v>3</v>
      </c>
      <c r="J176" s="47">
        <v>8127</v>
      </c>
      <c r="K176" s="47">
        <v>11164</v>
      </c>
      <c r="L176" s="47">
        <v>0</v>
      </c>
      <c r="M176" s="47">
        <f t="shared" si="23"/>
        <v>19291</v>
      </c>
      <c r="N176" s="251">
        <f t="shared" si="24"/>
        <v>78591</v>
      </c>
      <c r="O176" s="53">
        <f t="shared" si="25"/>
        <v>1.7564417736501867</v>
      </c>
      <c r="P176" s="72">
        <f t="shared" si="22"/>
        <v>5.3992533916052077</v>
      </c>
      <c r="Q176" s="72">
        <f t="shared" si="26"/>
        <v>7.1556951652553948</v>
      </c>
    </row>
    <row r="177" spans="1:17" ht="15.75" thickBot="1" x14ac:dyDescent="0.3">
      <c r="A177" s="44" t="s">
        <v>1095</v>
      </c>
      <c r="B177" s="45" t="s">
        <v>1096</v>
      </c>
      <c r="C177" s="44" t="s">
        <v>808</v>
      </c>
      <c r="D177" s="47">
        <v>11239</v>
      </c>
      <c r="E177" s="47">
        <v>43118</v>
      </c>
      <c r="F177" s="47">
        <v>1851</v>
      </c>
      <c r="G177" s="47">
        <v>781</v>
      </c>
      <c r="H177" s="47">
        <v>25</v>
      </c>
      <c r="I177" s="47">
        <v>1</v>
      </c>
      <c r="J177" s="47">
        <v>6601</v>
      </c>
      <c r="K177" s="47">
        <v>2851</v>
      </c>
      <c r="L177" s="47">
        <v>0</v>
      </c>
      <c r="M177" s="47">
        <f t="shared" si="23"/>
        <v>9452</v>
      </c>
      <c r="N177" s="251">
        <f t="shared" si="24"/>
        <v>55202</v>
      </c>
      <c r="O177" s="53">
        <f t="shared" si="25"/>
        <v>0.84100008897588752</v>
      </c>
      <c r="P177" s="72">
        <f t="shared" si="22"/>
        <v>4.0706468547023755</v>
      </c>
      <c r="Q177" s="72">
        <f t="shared" si="26"/>
        <v>4.9116469436782628</v>
      </c>
    </row>
    <row r="178" spans="1:17" ht="15.75" thickBot="1" x14ac:dyDescent="0.3">
      <c r="A178" s="122" t="s">
        <v>1109</v>
      </c>
      <c r="B178" s="248" t="s">
        <v>1110</v>
      </c>
      <c r="C178" s="122" t="s">
        <v>808</v>
      </c>
      <c r="D178" s="249">
        <v>8875</v>
      </c>
      <c r="E178" s="249">
        <v>35516</v>
      </c>
      <c r="F178" s="249">
        <v>2936</v>
      </c>
      <c r="G178" s="249">
        <v>2393</v>
      </c>
      <c r="H178" s="249">
        <v>40</v>
      </c>
      <c r="I178" s="249">
        <v>5</v>
      </c>
      <c r="J178" s="249" t="s">
        <v>3479</v>
      </c>
      <c r="K178" s="249" t="s">
        <v>3479</v>
      </c>
      <c r="L178" s="249" t="s">
        <v>3479</v>
      </c>
      <c r="M178" s="249" t="s">
        <v>3479</v>
      </c>
      <c r="N178" s="250" t="s">
        <v>3480</v>
      </c>
      <c r="O178" s="250" t="s">
        <v>3480</v>
      </c>
      <c r="P178" s="72">
        <f t="shared" si="22"/>
        <v>4.6022535211267606</v>
      </c>
      <c r="Q178" s="249" t="s">
        <v>3480</v>
      </c>
    </row>
    <row r="179" spans="1:17" ht="15.75" thickBot="1" x14ac:dyDescent="0.3">
      <c r="A179" s="44" t="s">
        <v>1127</v>
      </c>
      <c r="B179" s="45" t="s">
        <v>1128</v>
      </c>
      <c r="C179" s="44" t="s">
        <v>808</v>
      </c>
      <c r="D179" s="47">
        <v>8133</v>
      </c>
      <c r="E179" s="47">
        <v>24154</v>
      </c>
      <c r="F179" s="47">
        <v>3820</v>
      </c>
      <c r="G179" s="47">
        <v>1546</v>
      </c>
      <c r="H179" s="47">
        <v>88</v>
      </c>
      <c r="I179" s="47">
        <v>10</v>
      </c>
      <c r="J179" s="47">
        <v>16907</v>
      </c>
      <c r="K179" s="47">
        <v>10414</v>
      </c>
      <c r="L179" s="47">
        <v>137</v>
      </c>
      <c r="M179" s="47">
        <f t="shared" ref="M179:M203" si="27">J179+K179+L179</f>
        <v>27458</v>
      </c>
      <c r="N179" s="251">
        <f t="shared" ref="N179:N203" si="28">E179+F179+G179+J179+K179+L179</f>
        <v>56978</v>
      </c>
      <c r="O179" s="53">
        <f t="shared" ref="O179:O203" si="29">(J179+K179+L179)/D179</f>
        <v>3.3761219722119757</v>
      </c>
      <c r="P179" s="72">
        <f t="shared" si="22"/>
        <v>3.6296569531538179</v>
      </c>
      <c r="Q179" s="72">
        <f t="shared" ref="Q179:Q203" si="30">N179/D179</f>
        <v>7.0057789253657941</v>
      </c>
    </row>
    <row r="180" spans="1:17" ht="15.75" thickBot="1" x14ac:dyDescent="0.3">
      <c r="A180" s="44" t="s">
        <v>1135</v>
      </c>
      <c r="B180" s="45" t="s">
        <v>1136</v>
      </c>
      <c r="C180" s="44" t="s">
        <v>808</v>
      </c>
      <c r="D180" s="47">
        <v>7135</v>
      </c>
      <c r="E180" s="47">
        <v>15945</v>
      </c>
      <c r="F180" s="47">
        <v>1187</v>
      </c>
      <c r="G180" s="47">
        <v>2804</v>
      </c>
      <c r="H180" s="47">
        <v>70</v>
      </c>
      <c r="I180" s="47">
        <v>2</v>
      </c>
      <c r="J180" s="47">
        <v>7802</v>
      </c>
      <c r="K180" s="47">
        <v>3134</v>
      </c>
      <c r="L180" s="47">
        <v>0</v>
      </c>
      <c r="M180" s="47">
        <f t="shared" si="27"/>
        <v>10936</v>
      </c>
      <c r="N180" s="251">
        <f t="shared" si="28"/>
        <v>30872</v>
      </c>
      <c r="O180" s="53">
        <f t="shared" si="29"/>
        <v>1.5327259985984583</v>
      </c>
      <c r="P180" s="72">
        <f t="shared" si="22"/>
        <v>2.794113524877365</v>
      </c>
      <c r="Q180" s="72">
        <f t="shared" si="30"/>
        <v>4.3268395234758232</v>
      </c>
    </row>
    <row r="181" spans="1:17" ht="15.75" thickBot="1" x14ac:dyDescent="0.3">
      <c r="A181" s="44" t="s">
        <v>1143</v>
      </c>
      <c r="B181" s="45" t="s">
        <v>1144</v>
      </c>
      <c r="C181" s="44" t="s">
        <v>808</v>
      </c>
      <c r="D181" s="47">
        <v>11870</v>
      </c>
      <c r="E181" s="47">
        <v>52261</v>
      </c>
      <c r="F181" s="47">
        <v>1560</v>
      </c>
      <c r="G181" s="47">
        <v>1405</v>
      </c>
      <c r="H181" s="47">
        <v>53</v>
      </c>
      <c r="I181" s="47">
        <v>2</v>
      </c>
      <c r="J181" s="47">
        <v>19799</v>
      </c>
      <c r="K181" s="47">
        <v>3945</v>
      </c>
      <c r="L181" s="47">
        <v>0</v>
      </c>
      <c r="M181" s="47">
        <f t="shared" si="27"/>
        <v>23744</v>
      </c>
      <c r="N181" s="251">
        <f t="shared" si="28"/>
        <v>78970</v>
      </c>
      <c r="O181" s="53">
        <f t="shared" si="29"/>
        <v>2.0003369839932601</v>
      </c>
      <c r="P181" s="72">
        <f t="shared" si="22"/>
        <v>4.6525695029486096</v>
      </c>
      <c r="Q181" s="72">
        <f t="shared" si="30"/>
        <v>6.6529064869418706</v>
      </c>
    </row>
    <row r="182" spans="1:17" ht="15.75" thickBot="1" x14ac:dyDescent="0.3">
      <c r="A182" s="44" t="s">
        <v>1163</v>
      </c>
      <c r="B182" s="45" t="s">
        <v>1164</v>
      </c>
      <c r="C182" s="44" t="s">
        <v>808</v>
      </c>
      <c r="D182" s="47">
        <v>8764</v>
      </c>
      <c r="E182" s="47">
        <v>41140</v>
      </c>
      <c r="F182" s="47">
        <v>2665</v>
      </c>
      <c r="G182" s="47">
        <v>2392</v>
      </c>
      <c r="H182" s="47">
        <v>120</v>
      </c>
      <c r="I182" s="47">
        <v>3</v>
      </c>
      <c r="J182" s="47">
        <v>25427</v>
      </c>
      <c r="K182" s="47">
        <v>7271</v>
      </c>
      <c r="L182" s="47">
        <v>1016</v>
      </c>
      <c r="M182" s="47">
        <f t="shared" si="27"/>
        <v>33714</v>
      </c>
      <c r="N182" s="251">
        <f t="shared" si="28"/>
        <v>79911</v>
      </c>
      <c r="O182" s="53">
        <f t="shared" si="29"/>
        <v>3.8468735737106345</v>
      </c>
      <c r="P182" s="72">
        <f t="shared" si="22"/>
        <v>5.2712231857599265</v>
      </c>
      <c r="Q182" s="72">
        <f t="shared" si="30"/>
        <v>9.1180967594705606</v>
      </c>
    </row>
    <row r="183" spans="1:17" ht="15.75" thickBot="1" x14ac:dyDescent="0.3">
      <c r="A183" s="44" t="s">
        <v>1193</v>
      </c>
      <c r="B183" s="45" t="s">
        <v>1194</v>
      </c>
      <c r="C183" s="44" t="s">
        <v>808</v>
      </c>
      <c r="D183" s="47">
        <v>9555</v>
      </c>
      <c r="E183" s="47">
        <v>20000</v>
      </c>
      <c r="F183" s="47">
        <v>660</v>
      </c>
      <c r="G183" s="47">
        <v>2087</v>
      </c>
      <c r="H183" s="47">
        <v>30</v>
      </c>
      <c r="I183" s="47">
        <v>0</v>
      </c>
      <c r="J183" s="47">
        <v>18551</v>
      </c>
      <c r="K183" s="47">
        <v>2240</v>
      </c>
      <c r="L183" s="47">
        <v>181</v>
      </c>
      <c r="M183" s="47">
        <f t="shared" si="27"/>
        <v>20972</v>
      </c>
      <c r="N183" s="251">
        <f t="shared" si="28"/>
        <v>43719</v>
      </c>
      <c r="O183" s="53">
        <f t="shared" si="29"/>
        <v>2.1948717948717951</v>
      </c>
      <c r="P183" s="72">
        <f t="shared" si="22"/>
        <v>2.3806384092098378</v>
      </c>
      <c r="Q183" s="72">
        <f t="shared" si="30"/>
        <v>4.5755102040816329</v>
      </c>
    </row>
    <row r="184" spans="1:17" ht="15.75" thickBot="1" x14ac:dyDescent="0.3">
      <c r="A184" s="44" t="s">
        <v>1199</v>
      </c>
      <c r="B184" s="45" t="s">
        <v>1200</v>
      </c>
      <c r="C184" s="44" t="s">
        <v>808</v>
      </c>
      <c r="D184" s="47">
        <v>9533</v>
      </c>
      <c r="E184" s="47">
        <v>22663</v>
      </c>
      <c r="F184" s="47">
        <v>1057</v>
      </c>
      <c r="G184" s="47">
        <v>926</v>
      </c>
      <c r="H184" s="47">
        <v>31</v>
      </c>
      <c r="I184" s="47">
        <v>0</v>
      </c>
      <c r="J184" s="47">
        <v>8466</v>
      </c>
      <c r="K184" s="47">
        <v>3967</v>
      </c>
      <c r="L184" s="47">
        <v>265</v>
      </c>
      <c r="M184" s="47">
        <f t="shared" si="27"/>
        <v>12698</v>
      </c>
      <c r="N184" s="251">
        <f t="shared" si="28"/>
        <v>37344</v>
      </c>
      <c r="O184" s="53">
        <f t="shared" si="29"/>
        <v>1.3320046155459981</v>
      </c>
      <c r="P184" s="72">
        <f t="shared" si="22"/>
        <v>2.5853351515787266</v>
      </c>
      <c r="Q184" s="72">
        <f t="shared" si="30"/>
        <v>3.9173397671247248</v>
      </c>
    </row>
    <row r="185" spans="1:17" ht="15.75" thickBot="1" x14ac:dyDescent="0.3">
      <c r="A185" s="44" t="s">
        <v>1217</v>
      </c>
      <c r="B185" s="45" t="s">
        <v>1218</v>
      </c>
      <c r="C185" s="44" t="s">
        <v>808</v>
      </c>
      <c r="D185" s="47">
        <v>10470</v>
      </c>
      <c r="E185" s="47">
        <v>24947</v>
      </c>
      <c r="F185" s="47">
        <v>1458</v>
      </c>
      <c r="G185" s="47">
        <v>3069</v>
      </c>
      <c r="H185" s="47">
        <v>20</v>
      </c>
      <c r="I185" s="47">
        <v>0</v>
      </c>
      <c r="J185" s="47">
        <v>1622</v>
      </c>
      <c r="K185" s="47">
        <v>0</v>
      </c>
      <c r="L185" s="47">
        <v>0</v>
      </c>
      <c r="M185" s="47">
        <f t="shared" si="27"/>
        <v>1622</v>
      </c>
      <c r="N185" s="251">
        <f t="shared" si="28"/>
        <v>31096</v>
      </c>
      <c r="O185" s="53">
        <f t="shared" si="29"/>
        <v>0.15491881566380133</v>
      </c>
      <c r="P185" s="72">
        <f t="shared" si="22"/>
        <v>2.8150907354345751</v>
      </c>
      <c r="Q185" s="72">
        <f t="shared" si="30"/>
        <v>2.9700095510983764</v>
      </c>
    </row>
    <row r="186" spans="1:17" ht="15.75" thickBot="1" x14ac:dyDescent="0.3">
      <c r="A186" s="44" t="s">
        <v>1229</v>
      </c>
      <c r="B186" s="45" t="s">
        <v>1230</v>
      </c>
      <c r="C186" s="44" t="s">
        <v>808</v>
      </c>
      <c r="D186" s="47">
        <v>11581</v>
      </c>
      <c r="E186" s="47">
        <v>38660</v>
      </c>
      <c r="F186" s="47">
        <v>2759</v>
      </c>
      <c r="G186" s="47">
        <v>3237</v>
      </c>
      <c r="H186" s="47">
        <v>34</v>
      </c>
      <c r="I186" s="47">
        <v>0</v>
      </c>
      <c r="J186" s="47">
        <v>15509</v>
      </c>
      <c r="K186" s="47">
        <v>2886</v>
      </c>
      <c r="L186" s="47">
        <v>0</v>
      </c>
      <c r="M186" s="47">
        <f t="shared" si="27"/>
        <v>18395</v>
      </c>
      <c r="N186" s="251">
        <f t="shared" si="28"/>
        <v>63051</v>
      </c>
      <c r="O186" s="53">
        <f t="shared" si="29"/>
        <v>1.5883775148950867</v>
      </c>
      <c r="P186" s="72">
        <f t="shared" si="22"/>
        <v>3.8559709869614025</v>
      </c>
      <c r="Q186" s="72">
        <f t="shared" si="30"/>
        <v>5.4443485018564894</v>
      </c>
    </row>
    <row r="187" spans="1:17" ht="15.75" thickBot="1" x14ac:dyDescent="0.3">
      <c r="A187" s="44" t="s">
        <v>1251</v>
      </c>
      <c r="B187" s="45" t="s">
        <v>1252</v>
      </c>
      <c r="C187" s="44" t="s">
        <v>808</v>
      </c>
      <c r="D187" s="47">
        <v>7312</v>
      </c>
      <c r="E187" s="47">
        <v>27303</v>
      </c>
      <c r="F187" s="47">
        <v>1248</v>
      </c>
      <c r="G187" s="47">
        <v>4322</v>
      </c>
      <c r="H187" s="47">
        <v>33</v>
      </c>
      <c r="I187" s="47">
        <v>2</v>
      </c>
      <c r="J187" s="47">
        <v>20314</v>
      </c>
      <c r="K187" s="47">
        <v>0</v>
      </c>
      <c r="L187" s="47">
        <v>0</v>
      </c>
      <c r="M187" s="47">
        <f t="shared" si="27"/>
        <v>20314</v>
      </c>
      <c r="N187" s="251">
        <f t="shared" si="28"/>
        <v>53187</v>
      </c>
      <c r="O187" s="53">
        <f t="shared" si="29"/>
        <v>2.7781728665207877</v>
      </c>
      <c r="P187" s="72">
        <f t="shared" si="22"/>
        <v>4.495760393873085</v>
      </c>
      <c r="Q187" s="72">
        <f t="shared" si="30"/>
        <v>7.2739332603938731</v>
      </c>
    </row>
    <row r="188" spans="1:17" ht="15.75" thickBot="1" x14ac:dyDescent="0.3">
      <c r="A188" s="44" t="s">
        <v>1257</v>
      </c>
      <c r="B188" s="45" t="s">
        <v>1258</v>
      </c>
      <c r="C188" s="44" t="s">
        <v>808</v>
      </c>
      <c r="D188" s="47">
        <v>8344</v>
      </c>
      <c r="E188" s="47">
        <v>30867</v>
      </c>
      <c r="F188" s="47">
        <v>404</v>
      </c>
      <c r="G188" s="47">
        <v>370</v>
      </c>
      <c r="H188" s="47">
        <v>27</v>
      </c>
      <c r="I188" s="47">
        <v>0</v>
      </c>
      <c r="J188" s="47">
        <v>6738</v>
      </c>
      <c r="K188" s="47">
        <v>3294</v>
      </c>
      <c r="L188" s="47">
        <v>285</v>
      </c>
      <c r="M188" s="47">
        <f t="shared" si="27"/>
        <v>10317</v>
      </c>
      <c r="N188" s="251">
        <f t="shared" si="28"/>
        <v>41958</v>
      </c>
      <c r="O188" s="53">
        <f t="shared" si="29"/>
        <v>1.2364573346116969</v>
      </c>
      <c r="P188" s="72">
        <f t="shared" si="22"/>
        <v>3.792066155321189</v>
      </c>
      <c r="Q188" s="72">
        <f t="shared" si="30"/>
        <v>5.0285234899328861</v>
      </c>
    </row>
    <row r="189" spans="1:17" ht="15.75" thickBot="1" x14ac:dyDescent="0.3">
      <c r="A189" s="44" t="s">
        <v>1277</v>
      </c>
      <c r="B189" s="45" t="s">
        <v>1278</v>
      </c>
      <c r="C189" s="44" t="s">
        <v>808</v>
      </c>
      <c r="D189" s="47">
        <v>10715</v>
      </c>
      <c r="E189" s="47">
        <v>31846</v>
      </c>
      <c r="F189" s="47">
        <v>569</v>
      </c>
      <c r="G189" s="47">
        <v>2050</v>
      </c>
      <c r="H189" s="47">
        <v>12</v>
      </c>
      <c r="I189" s="47">
        <v>0</v>
      </c>
      <c r="J189" s="47">
        <v>0</v>
      </c>
      <c r="K189" s="47">
        <v>0</v>
      </c>
      <c r="L189" s="47">
        <v>0</v>
      </c>
      <c r="M189" s="47">
        <f t="shared" si="27"/>
        <v>0</v>
      </c>
      <c r="N189" s="251">
        <f t="shared" si="28"/>
        <v>34465</v>
      </c>
      <c r="O189" s="53">
        <f t="shared" si="29"/>
        <v>0</v>
      </c>
      <c r="P189" s="72">
        <f t="shared" si="22"/>
        <v>3.2165188987400839</v>
      </c>
      <c r="Q189" s="72">
        <f t="shared" si="30"/>
        <v>3.2165188987400839</v>
      </c>
    </row>
    <row r="190" spans="1:17" ht="15.75" thickBot="1" x14ac:dyDescent="0.3">
      <c r="A190" s="44" t="s">
        <v>1289</v>
      </c>
      <c r="B190" s="45" t="s">
        <v>1290</v>
      </c>
      <c r="C190" s="44" t="s">
        <v>808</v>
      </c>
      <c r="D190" s="47">
        <v>7424</v>
      </c>
      <c r="E190" s="47">
        <v>22755</v>
      </c>
      <c r="F190" s="47">
        <v>692</v>
      </c>
      <c r="G190" s="47">
        <v>1559</v>
      </c>
      <c r="H190" s="47">
        <v>21</v>
      </c>
      <c r="I190" s="47">
        <v>0</v>
      </c>
      <c r="J190" s="47">
        <v>8438</v>
      </c>
      <c r="K190" s="47">
        <v>3457</v>
      </c>
      <c r="L190" s="47">
        <v>0</v>
      </c>
      <c r="M190" s="47">
        <f t="shared" si="27"/>
        <v>11895</v>
      </c>
      <c r="N190" s="251">
        <f t="shared" si="28"/>
        <v>36901</v>
      </c>
      <c r="O190" s="53">
        <f t="shared" si="29"/>
        <v>1.6022359913793103</v>
      </c>
      <c r="P190" s="72">
        <f t="shared" si="22"/>
        <v>3.3682650862068964</v>
      </c>
      <c r="Q190" s="72">
        <f t="shared" si="30"/>
        <v>4.9705010775862073</v>
      </c>
    </row>
    <row r="191" spans="1:17" ht="15.75" thickBot="1" x14ac:dyDescent="0.3">
      <c r="A191" s="44" t="s">
        <v>1295</v>
      </c>
      <c r="B191" s="45" t="s">
        <v>1296</v>
      </c>
      <c r="C191" s="44" t="s">
        <v>808</v>
      </c>
      <c r="D191" s="47">
        <v>9765</v>
      </c>
      <c r="E191" s="47">
        <v>42730</v>
      </c>
      <c r="F191" s="47">
        <v>1105</v>
      </c>
      <c r="G191" s="47">
        <v>5734</v>
      </c>
      <c r="H191" s="47">
        <v>21</v>
      </c>
      <c r="I191" s="47">
        <v>0</v>
      </c>
      <c r="J191" s="47">
        <v>15108</v>
      </c>
      <c r="K191" s="47">
        <v>2960</v>
      </c>
      <c r="L191" s="47">
        <v>0</v>
      </c>
      <c r="M191" s="47">
        <f t="shared" si="27"/>
        <v>18068</v>
      </c>
      <c r="N191" s="251">
        <f t="shared" si="28"/>
        <v>67637</v>
      </c>
      <c r="O191" s="53">
        <f t="shared" si="29"/>
        <v>1.8502816180235535</v>
      </c>
      <c r="P191" s="72">
        <f t="shared" si="22"/>
        <v>5.0761904761904759</v>
      </c>
      <c r="Q191" s="72">
        <f t="shared" si="30"/>
        <v>6.9264720942140299</v>
      </c>
    </row>
    <row r="192" spans="1:17" ht="15.75" thickBot="1" x14ac:dyDescent="0.3">
      <c r="A192" s="44" t="s">
        <v>1305</v>
      </c>
      <c r="B192" s="45" t="s">
        <v>1306</v>
      </c>
      <c r="C192" s="44" t="s">
        <v>808</v>
      </c>
      <c r="D192" s="47">
        <v>9623</v>
      </c>
      <c r="E192" s="47">
        <v>26519</v>
      </c>
      <c r="F192" s="47">
        <v>1399</v>
      </c>
      <c r="G192" s="47">
        <v>1504</v>
      </c>
      <c r="H192" s="47">
        <v>59</v>
      </c>
      <c r="I192" s="47">
        <v>7</v>
      </c>
      <c r="J192" s="47">
        <v>8543</v>
      </c>
      <c r="K192" s="47">
        <v>3883</v>
      </c>
      <c r="L192" s="47">
        <v>285</v>
      </c>
      <c r="M192" s="47">
        <f t="shared" si="27"/>
        <v>12711</v>
      </c>
      <c r="N192" s="251">
        <f t="shared" si="28"/>
        <v>42133</v>
      </c>
      <c r="O192" s="53">
        <f t="shared" si="29"/>
        <v>1.3208978489036682</v>
      </c>
      <c r="P192" s="72">
        <f t="shared" si="22"/>
        <v>3.0574664865426584</v>
      </c>
      <c r="Q192" s="72">
        <f t="shared" si="30"/>
        <v>4.3783643354463262</v>
      </c>
    </row>
    <row r="193" spans="1:17" ht="15.75" thickBot="1" x14ac:dyDescent="0.3">
      <c r="A193" s="44" t="s">
        <v>1309</v>
      </c>
      <c r="B193" s="45" t="s">
        <v>1310</v>
      </c>
      <c r="C193" s="44" t="s">
        <v>808</v>
      </c>
      <c r="D193" s="47">
        <v>7656</v>
      </c>
      <c r="E193" s="47">
        <v>33165</v>
      </c>
      <c r="F193" s="47">
        <v>1119</v>
      </c>
      <c r="G193" s="47">
        <v>370</v>
      </c>
      <c r="H193" s="47">
        <v>25</v>
      </c>
      <c r="I193" s="47">
        <v>3</v>
      </c>
      <c r="J193" s="47">
        <v>8012</v>
      </c>
      <c r="K193" s="47">
        <v>3347</v>
      </c>
      <c r="L193" s="47">
        <v>285</v>
      </c>
      <c r="M193" s="47">
        <f t="shared" si="27"/>
        <v>11644</v>
      </c>
      <c r="N193" s="251">
        <f t="shared" si="28"/>
        <v>46298</v>
      </c>
      <c r="O193" s="53">
        <f t="shared" si="29"/>
        <v>1.5208986415882968</v>
      </c>
      <c r="P193" s="72">
        <f t="shared" si="22"/>
        <v>4.5263845350052243</v>
      </c>
      <c r="Q193" s="72">
        <f t="shared" si="30"/>
        <v>6.0472831765935213</v>
      </c>
    </row>
    <row r="194" spans="1:17" ht="15.75" thickBot="1" x14ac:dyDescent="0.3">
      <c r="A194" s="44" t="s">
        <v>1321</v>
      </c>
      <c r="B194" s="45" t="s">
        <v>1322</v>
      </c>
      <c r="C194" s="44" t="s">
        <v>808</v>
      </c>
      <c r="D194" s="47">
        <v>8354</v>
      </c>
      <c r="E194" s="47">
        <v>16844</v>
      </c>
      <c r="F194" s="47">
        <v>1840</v>
      </c>
      <c r="G194" s="47">
        <v>2486</v>
      </c>
      <c r="H194" s="47">
        <v>3</v>
      </c>
      <c r="I194" s="47">
        <v>0</v>
      </c>
      <c r="J194" s="47">
        <v>44506</v>
      </c>
      <c r="K194" s="47">
        <v>16035</v>
      </c>
      <c r="L194" s="47">
        <v>853</v>
      </c>
      <c r="M194" s="47">
        <f t="shared" si="27"/>
        <v>61394</v>
      </c>
      <c r="N194" s="251">
        <f t="shared" si="28"/>
        <v>82564</v>
      </c>
      <c r="O194" s="53">
        <f t="shared" si="29"/>
        <v>7.3490543452238448</v>
      </c>
      <c r="P194" s="72">
        <f t="shared" si="22"/>
        <v>2.5341153938233183</v>
      </c>
      <c r="Q194" s="72">
        <f t="shared" si="30"/>
        <v>9.8831697390471636</v>
      </c>
    </row>
    <row r="195" spans="1:17" ht="15.75" thickBot="1" x14ac:dyDescent="0.3">
      <c r="A195" s="44" t="s">
        <v>1339</v>
      </c>
      <c r="B195" s="45" t="s">
        <v>1340</v>
      </c>
      <c r="C195" s="44" t="s">
        <v>808</v>
      </c>
      <c r="D195" s="47">
        <v>8640</v>
      </c>
      <c r="E195" s="47">
        <v>29562</v>
      </c>
      <c r="F195" s="47">
        <v>335</v>
      </c>
      <c r="G195" s="47">
        <v>1305</v>
      </c>
      <c r="H195" s="47">
        <v>5</v>
      </c>
      <c r="I195" s="47">
        <v>0</v>
      </c>
      <c r="J195" s="47">
        <v>2415</v>
      </c>
      <c r="K195" s="47">
        <v>0</v>
      </c>
      <c r="L195" s="47">
        <v>0</v>
      </c>
      <c r="M195" s="47">
        <f t="shared" si="27"/>
        <v>2415</v>
      </c>
      <c r="N195" s="251">
        <f t="shared" si="28"/>
        <v>33617</v>
      </c>
      <c r="O195" s="53">
        <f t="shared" si="29"/>
        <v>0.2795138888888889</v>
      </c>
      <c r="P195" s="72">
        <f t="shared" si="22"/>
        <v>3.6113425925925924</v>
      </c>
      <c r="Q195" s="72">
        <f t="shared" si="30"/>
        <v>3.8908564814814817</v>
      </c>
    </row>
    <row r="196" spans="1:17" ht="15.75" thickBot="1" x14ac:dyDescent="0.3">
      <c r="A196" s="44" t="s">
        <v>1349</v>
      </c>
      <c r="B196" s="45" t="s">
        <v>1350</v>
      </c>
      <c r="C196" s="44" t="s">
        <v>808</v>
      </c>
      <c r="D196" s="47">
        <v>9969</v>
      </c>
      <c r="E196" s="47">
        <v>33351</v>
      </c>
      <c r="F196" s="47">
        <v>3245</v>
      </c>
      <c r="G196" s="47">
        <v>2232</v>
      </c>
      <c r="H196" s="47">
        <v>53</v>
      </c>
      <c r="I196" s="47">
        <v>0</v>
      </c>
      <c r="J196" s="47">
        <v>16880</v>
      </c>
      <c r="K196" s="47">
        <v>5552</v>
      </c>
      <c r="L196" s="47">
        <v>834</v>
      </c>
      <c r="M196" s="47">
        <f t="shared" si="27"/>
        <v>23266</v>
      </c>
      <c r="N196" s="251">
        <f t="shared" si="28"/>
        <v>62094</v>
      </c>
      <c r="O196" s="53">
        <f t="shared" si="29"/>
        <v>2.3338348881532753</v>
      </c>
      <c r="P196" s="72">
        <f t="shared" ref="P196:P259" si="31">(E196+F196+G196)/D196</f>
        <v>3.8948741097401944</v>
      </c>
      <c r="Q196" s="72">
        <f t="shared" si="30"/>
        <v>6.2287089978934693</v>
      </c>
    </row>
    <row r="197" spans="1:17" ht="15.75" thickBot="1" x14ac:dyDescent="0.3">
      <c r="A197" s="44" t="s">
        <v>1353</v>
      </c>
      <c r="B197" s="45" t="s">
        <v>1354</v>
      </c>
      <c r="C197" s="44" t="s">
        <v>808</v>
      </c>
      <c r="D197" s="47">
        <v>7034</v>
      </c>
      <c r="E197" s="47">
        <v>41517</v>
      </c>
      <c r="F197" s="47">
        <v>848</v>
      </c>
      <c r="G197" s="47">
        <v>2621</v>
      </c>
      <c r="H197" s="47">
        <v>21</v>
      </c>
      <c r="I197" s="47">
        <v>0</v>
      </c>
      <c r="J197" s="47">
        <v>7955</v>
      </c>
      <c r="K197" s="47">
        <v>3218</v>
      </c>
      <c r="L197" s="47">
        <v>0</v>
      </c>
      <c r="M197" s="47">
        <f t="shared" si="27"/>
        <v>11173</v>
      </c>
      <c r="N197" s="251">
        <f t="shared" si="28"/>
        <v>56159</v>
      </c>
      <c r="O197" s="53">
        <f t="shared" si="29"/>
        <v>1.5884276371907875</v>
      </c>
      <c r="P197" s="72">
        <f t="shared" si="31"/>
        <v>6.3955075348308217</v>
      </c>
      <c r="Q197" s="72">
        <f t="shared" si="30"/>
        <v>7.9839351720216092</v>
      </c>
    </row>
    <row r="198" spans="1:17" ht="15.75" thickBot="1" x14ac:dyDescent="0.3">
      <c r="A198" s="44" t="s">
        <v>1361</v>
      </c>
      <c r="B198" s="45" t="s">
        <v>1362</v>
      </c>
      <c r="C198" s="44" t="s">
        <v>808</v>
      </c>
      <c r="D198" s="47">
        <v>8833</v>
      </c>
      <c r="E198" s="47">
        <v>37668</v>
      </c>
      <c r="F198" s="47">
        <v>1814</v>
      </c>
      <c r="G198" s="47">
        <v>2374</v>
      </c>
      <c r="H198" s="47">
        <v>35</v>
      </c>
      <c r="I198" s="47">
        <v>1</v>
      </c>
      <c r="J198" s="47">
        <v>16321</v>
      </c>
      <c r="K198" s="47">
        <v>2252</v>
      </c>
      <c r="L198" s="47">
        <v>181</v>
      </c>
      <c r="M198" s="47">
        <f t="shared" si="27"/>
        <v>18754</v>
      </c>
      <c r="N198" s="251">
        <f t="shared" si="28"/>
        <v>60610</v>
      </c>
      <c r="O198" s="53">
        <f t="shared" si="29"/>
        <v>2.1231744594135629</v>
      </c>
      <c r="P198" s="72">
        <f t="shared" si="31"/>
        <v>4.7385939092041207</v>
      </c>
      <c r="Q198" s="72">
        <f t="shared" si="30"/>
        <v>6.8617683686176836</v>
      </c>
    </row>
    <row r="199" spans="1:17" ht="15.75" thickBot="1" x14ac:dyDescent="0.3">
      <c r="A199" s="44" t="s">
        <v>1369</v>
      </c>
      <c r="B199" s="45" t="s">
        <v>1370</v>
      </c>
      <c r="C199" s="44" t="s">
        <v>808</v>
      </c>
      <c r="D199" s="47">
        <v>11503</v>
      </c>
      <c r="E199" s="47">
        <v>48443</v>
      </c>
      <c r="F199" s="47">
        <v>4940</v>
      </c>
      <c r="G199" s="47">
        <v>21023</v>
      </c>
      <c r="H199" s="47">
        <v>62</v>
      </c>
      <c r="I199" s="47">
        <v>9</v>
      </c>
      <c r="J199" s="47">
        <v>4014</v>
      </c>
      <c r="K199" s="47">
        <v>12915</v>
      </c>
      <c r="L199" s="47">
        <v>294</v>
      </c>
      <c r="M199" s="47">
        <f t="shared" si="27"/>
        <v>17223</v>
      </c>
      <c r="N199" s="251">
        <f t="shared" si="28"/>
        <v>91629</v>
      </c>
      <c r="O199" s="53">
        <f t="shared" si="29"/>
        <v>1.4972615839346257</v>
      </c>
      <c r="P199" s="72">
        <f t="shared" si="31"/>
        <v>6.4683995479440144</v>
      </c>
      <c r="Q199" s="72">
        <f t="shared" si="30"/>
        <v>7.9656611318786403</v>
      </c>
    </row>
    <row r="200" spans="1:17" ht="15.75" thickBot="1" x14ac:dyDescent="0.3">
      <c r="A200" s="44" t="s">
        <v>1395</v>
      </c>
      <c r="B200" s="45" t="s">
        <v>1396</v>
      </c>
      <c r="C200" s="44" t="s">
        <v>808</v>
      </c>
      <c r="D200" s="47">
        <v>8891</v>
      </c>
      <c r="E200" s="47">
        <v>21432</v>
      </c>
      <c r="F200" s="47">
        <v>786</v>
      </c>
      <c r="G200" s="47">
        <v>2039</v>
      </c>
      <c r="H200" s="47">
        <v>84</v>
      </c>
      <c r="I200" s="47">
        <v>2</v>
      </c>
      <c r="J200" s="47">
        <v>6856</v>
      </c>
      <c r="K200" s="47">
        <v>3321</v>
      </c>
      <c r="L200" s="47">
        <v>0</v>
      </c>
      <c r="M200" s="47">
        <f t="shared" si="27"/>
        <v>10177</v>
      </c>
      <c r="N200" s="251">
        <f t="shared" si="28"/>
        <v>34434</v>
      </c>
      <c r="O200" s="53">
        <f t="shared" si="29"/>
        <v>1.1446406478461366</v>
      </c>
      <c r="P200" s="72">
        <f t="shared" si="31"/>
        <v>2.7282645371724215</v>
      </c>
      <c r="Q200" s="72">
        <f t="shared" si="30"/>
        <v>3.8729051850185581</v>
      </c>
    </row>
    <row r="201" spans="1:17" ht="15.75" thickBot="1" x14ac:dyDescent="0.3">
      <c r="A201" s="44" t="s">
        <v>1403</v>
      </c>
      <c r="B201" s="45" t="s">
        <v>1404</v>
      </c>
      <c r="C201" s="44" t="s">
        <v>808</v>
      </c>
      <c r="D201" s="47">
        <v>8543</v>
      </c>
      <c r="E201" s="47">
        <v>18376</v>
      </c>
      <c r="F201" s="47">
        <v>676</v>
      </c>
      <c r="G201" s="47">
        <v>640</v>
      </c>
      <c r="H201" s="47">
        <v>75</v>
      </c>
      <c r="I201" s="47">
        <v>2</v>
      </c>
      <c r="J201" s="47">
        <v>14971</v>
      </c>
      <c r="K201" s="47">
        <v>8450</v>
      </c>
      <c r="L201" s="47">
        <v>67</v>
      </c>
      <c r="M201" s="47">
        <f t="shared" si="27"/>
        <v>23488</v>
      </c>
      <c r="N201" s="251">
        <f t="shared" si="28"/>
        <v>43180</v>
      </c>
      <c r="O201" s="53">
        <f t="shared" si="29"/>
        <v>2.7493854617815754</v>
      </c>
      <c r="P201" s="72">
        <f t="shared" si="31"/>
        <v>2.3050450661360178</v>
      </c>
      <c r="Q201" s="72">
        <f t="shared" si="30"/>
        <v>5.0544305279175932</v>
      </c>
    </row>
    <row r="202" spans="1:17" ht="15.75" thickBot="1" x14ac:dyDescent="0.3">
      <c r="A202" s="44" t="s">
        <v>1411</v>
      </c>
      <c r="B202" s="45" t="s">
        <v>1412</v>
      </c>
      <c r="C202" s="44" t="s">
        <v>808</v>
      </c>
      <c r="D202" s="47">
        <v>7580</v>
      </c>
      <c r="E202" s="47">
        <v>32894</v>
      </c>
      <c r="F202" s="47">
        <v>2275</v>
      </c>
      <c r="G202" s="47">
        <v>4115</v>
      </c>
      <c r="H202" s="47">
        <v>24</v>
      </c>
      <c r="I202" s="47">
        <v>4</v>
      </c>
      <c r="J202" s="47">
        <v>10684</v>
      </c>
      <c r="K202" s="47">
        <v>0</v>
      </c>
      <c r="L202" s="47">
        <v>0</v>
      </c>
      <c r="M202" s="47">
        <f t="shared" si="27"/>
        <v>10684</v>
      </c>
      <c r="N202" s="251">
        <f t="shared" si="28"/>
        <v>49968</v>
      </c>
      <c r="O202" s="53">
        <f t="shared" si="29"/>
        <v>1.4094986807387864</v>
      </c>
      <c r="P202" s="72">
        <f t="shared" si="31"/>
        <v>5.182585751978892</v>
      </c>
      <c r="Q202" s="72">
        <f t="shared" si="30"/>
        <v>6.5920844327176784</v>
      </c>
    </row>
    <row r="203" spans="1:17" ht="15.75" thickBot="1" x14ac:dyDescent="0.3">
      <c r="A203" s="44" t="s">
        <v>1419</v>
      </c>
      <c r="B203" s="45" t="s">
        <v>1420</v>
      </c>
      <c r="C203" s="44" t="s">
        <v>808</v>
      </c>
      <c r="D203" s="47">
        <v>7903</v>
      </c>
      <c r="E203" s="47">
        <v>26204</v>
      </c>
      <c r="F203" s="47">
        <v>403</v>
      </c>
      <c r="G203" s="47">
        <v>1725</v>
      </c>
      <c r="H203" s="47">
        <v>23</v>
      </c>
      <c r="I203" s="47">
        <v>0</v>
      </c>
      <c r="J203" s="47">
        <v>137</v>
      </c>
      <c r="K203" s="47">
        <v>16</v>
      </c>
      <c r="L203" s="47">
        <v>48</v>
      </c>
      <c r="M203" s="47">
        <f t="shared" si="27"/>
        <v>201</v>
      </c>
      <c r="N203" s="251">
        <f t="shared" si="28"/>
        <v>28533</v>
      </c>
      <c r="O203" s="53">
        <f t="shared" si="29"/>
        <v>2.5433379729216752E-2</v>
      </c>
      <c r="P203" s="72">
        <f t="shared" si="31"/>
        <v>3.5849677337719852</v>
      </c>
      <c r="Q203" s="72">
        <f t="shared" si="30"/>
        <v>3.6104011135012022</v>
      </c>
    </row>
    <row r="204" spans="1:17" ht="15.75" thickBot="1" x14ac:dyDescent="0.3">
      <c r="A204" s="122" t="s">
        <v>1435</v>
      </c>
      <c r="B204" s="248" t="s">
        <v>1436</v>
      </c>
      <c r="C204" s="122" t="s">
        <v>808</v>
      </c>
      <c r="D204" s="249">
        <v>11480</v>
      </c>
      <c r="E204" s="249">
        <v>40195</v>
      </c>
      <c r="F204" s="249">
        <v>2534</v>
      </c>
      <c r="G204" s="249">
        <v>4950</v>
      </c>
      <c r="H204" s="249">
        <v>36</v>
      </c>
      <c r="I204" s="249">
        <v>0</v>
      </c>
      <c r="J204" s="249" t="s">
        <v>3479</v>
      </c>
      <c r="K204" s="249" t="s">
        <v>3479</v>
      </c>
      <c r="L204" s="249" t="s">
        <v>3479</v>
      </c>
      <c r="M204" s="249" t="s">
        <v>3479</v>
      </c>
      <c r="N204" s="250" t="s">
        <v>3480</v>
      </c>
      <c r="O204" s="250" t="s">
        <v>3480</v>
      </c>
      <c r="P204" s="72">
        <f t="shared" si="31"/>
        <v>4.1532229965156793</v>
      </c>
      <c r="Q204" s="249" t="s">
        <v>3480</v>
      </c>
    </row>
    <row r="205" spans="1:17" ht="15.75" thickBot="1" x14ac:dyDescent="0.3">
      <c r="A205" s="44" t="s">
        <v>1437</v>
      </c>
      <c r="B205" s="45" t="s">
        <v>1438</v>
      </c>
      <c r="C205" s="44" t="s">
        <v>808</v>
      </c>
      <c r="D205" s="47">
        <v>7798</v>
      </c>
      <c r="E205" s="47">
        <v>25406</v>
      </c>
      <c r="F205" s="47">
        <v>1904</v>
      </c>
      <c r="G205" s="47">
        <v>1587</v>
      </c>
      <c r="H205" s="47">
        <v>38</v>
      </c>
      <c r="I205" s="47">
        <v>296</v>
      </c>
      <c r="J205" s="47">
        <v>12440</v>
      </c>
      <c r="K205" s="47">
        <v>3676</v>
      </c>
      <c r="L205" s="47">
        <v>0</v>
      </c>
      <c r="M205" s="47">
        <f>J205+K205+L205</f>
        <v>16116</v>
      </c>
      <c r="N205" s="251">
        <f>E205+F205+G205+J205+K205+L205</f>
        <v>45013</v>
      </c>
      <c r="O205" s="53">
        <f>(J205+K205+L205)/D205</f>
        <v>2.0666837650679661</v>
      </c>
      <c r="P205" s="72">
        <f t="shared" si="31"/>
        <v>3.7056937676327264</v>
      </c>
      <c r="Q205" s="72">
        <f>N205/D205</f>
        <v>5.7723775327006921</v>
      </c>
    </row>
    <row r="206" spans="1:17" ht="15.75" thickBot="1" x14ac:dyDescent="0.3">
      <c r="A206" s="44" t="s">
        <v>1445</v>
      </c>
      <c r="B206" s="45" t="s">
        <v>1446</v>
      </c>
      <c r="C206" s="44" t="s">
        <v>808</v>
      </c>
      <c r="D206" s="47">
        <v>7357</v>
      </c>
      <c r="E206" s="47">
        <v>15695</v>
      </c>
      <c r="F206" s="47">
        <v>528</v>
      </c>
      <c r="G206" s="47">
        <v>753</v>
      </c>
      <c r="H206" s="47">
        <v>72</v>
      </c>
      <c r="I206" s="47">
        <v>0</v>
      </c>
      <c r="J206" s="47">
        <v>8127</v>
      </c>
      <c r="K206" s="47">
        <v>11176</v>
      </c>
      <c r="L206" s="47">
        <v>0</v>
      </c>
      <c r="M206" s="47">
        <f>J206+K206+L206</f>
        <v>19303</v>
      </c>
      <c r="N206" s="251">
        <f>E206+F206+G206+J206+K206+L206</f>
        <v>36279</v>
      </c>
      <c r="O206" s="53">
        <f>(J206+K206+L206)/D206</f>
        <v>2.6237596846540709</v>
      </c>
      <c r="P206" s="72">
        <f t="shared" si="31"/>
        <v>2.307462280820987</v>
      </c>
      <c r="Q206" s="72">
        <f>N206/D206</f>
        <v>4.931221965475058</v>
      </c>
    </row>
    <row r="207" spans="1:17" ht="15.75" thickBot="1" x14ac:dyDescent="0.3">
      <c r="A207" s="44" t="s">
        <v>1451</v>
      </c>
      <c r="B207" s="45" t="s">
        <v>1452</v>
      </c>
      <c r="C207" s="44" t="s">
        <v>808</v>
      </c>
      <c r="D207" s="47">
        <v>7103</v>
      </c>
      <c r="E207" s="47">
        <v>28310</v>
      </c>
      <c r="F207" s="47">
        <v>2565</v>
      </c>
      <c r="G207" s="47">
        <v>0</v>
      </c>
      <c r="H207" s="47">
        <v>41</v>
      </c>
      <c r="I207" s="47">
        <v>1</v>
      </c>
      <c r="J207" s="47">
        <v>8257</v>
      </c>
      <c r="K207" s="47">
        <v>3395</v>
      </c>
      <c r="L207" s="47">
        <v>0</v>
      </c>
      <c r="M207" s="47">
        <f>J207+K207+L207</f>
        <v>11652</v>
      </c>
      <c r="N207" s="251">
        <f>E207+F207+G207+J207+K207+L207</f>
        <v>42527</v>
      </c>
      <c r="O207" s="53">
        <f>(J207+K207+L207)/D207</f>
        <v>1.6404336195973532</v>
      </c>
      <c r="P207" s="72">
        <f t="shared" si="31"/>
        <v>4.3467548922990282</v>
      </c>
      <c r="Q207" s="72">
        <f>N207/D207</f>
        <v>5.9871885118963819</v>
      </c>
    </row>
    <row r="208" spans="1:17" ht="15.75" thickBot="1" x14ac:dyDescent="0.3">
      <c r="A208" s="122" t="s">
        <v>1455</v>
      </c>
      <c r="B208" s="248" t="s">
        <v>1456</v>
      </c>
      <c r="C208" s="122" t="s">
        <v>808</v>
      </c>
      <c r="D208" s="249">
        <v>10017</v>
      </c>
      <c r="E208" s="249">
        <v>43089</v>
      </c>
      <c r="F208" s="249">
        <v>1875</v>
      </c>
      <c r="G208" s="249">
        <v>2756</v>
      </c>
      <c r="H208" s="249">
        <v>94</v>
      </c>
      <c r="I208" s="249">
        <v>1</v>
      </c>
      <c r="J208" s="249" t="s">
        <v>3479</v>
      </c>
      <c r="K208" s="249" t="s">
        <v>3479</v>
      </c>
      <c r="L208" s="249" t="s">
        <v>3479</v>
      </c>
      <c r="M208" s="249" t="s">
        <v>3479</v>
      </c>
      <c r="N208" s="250" t="s">
        <v>3480</v>
      </c>
      <c r="O208" s="250" t="s">
        <v>3480</v>
      </c>
      <c r="P208" s="72">
        <f t="shared" si="31"/>
        <v>4.7639013676749524</v>
      </c>
      <c r="Q208" s="249" t="s">
        <v>3480</v>
      </c>
    </row>
    <row r="209" spans="1:17" ht="15.75" thickBot="1" x14ac:dyDescent="0.3">
      <c r="A209" s="44" t="s">
        <v>1461</v>
      </c>
      <c r="B209" s="45" t="s">
        <v>1462</v>
      </c>
      <c r="C209" s="44" t="s">
        <v>808</v>
      </c>
      <c r="D209" s="47">
        <v>7272</v>
      </c>
      <c r="E209" s="47">
        <v>25535</v>
      </c>
      <c r="F209" s="47">
        <v>475</v>
      </c>
      <c r="G209" s="47">
        <v>3679</v>
      </c>
      <c r="H209" s="47">
        <v>56</v>
      </c>
      <c r="I209" s="47">
        <v>7</v>
      </c>
      <c r="J209" s="47">
        <v>14733</v>
      </c>
      <c r="K209" s="47">
        <v>3304</v>
      </c>
      <c r="L209" s="47">
        <v>0</v>
      </c>
      <c r="M209" s="47">
        <f t="shared" ref="M209:M229" si="32">J209+K209+L209</f>
        <v>18037</v>
      </c>
      <c r="N209" s="251">
        <f t="shared" ref="N209:N229" si="33">E209+F209+G209+J209+K209+L209</f>
        <v>47726</v>
      </c>
      <c r="O209" s="53">
        <f t="shared" ref="O209:O229" si="34">(J209+K209+L209)/D209</f>
        <v>2.4803355335533555</v>
      </c>
      <c r="P209" s="72">
        <f t="shared" si="31"/>
        <v>4.0826457645764576</v>
      </c>
      <c r="Q209" s="72">
        <f t="shared" ref="Q209:Q229" si="35">N209/D209</f>
        <v>6.562981298129813</v>
      </c>
    </row>
    <row r="210" spans="1:17" ht="15.75" thickBot="1" x14ac:dyDescent="0.3">
      <c r="A210" s="44" t="s">
        <v>1467</v>
      </c>
      <c r="B210" s="45" t="s">
        <v>1468</v>
      </c>
      <c r="C210" s="44" t="s">
        <v>808</v>
      </c>
      <c r="D210" s="47">
        <v>11377</v>
      </c>
      <c r="E210" s="47">
        <v>40828</v>
      </c>
      <c r="F210" s="47">
        <v>1053</v>
      </c>
      <c r="G210" s="47">
        <v>1489</v>
      </c>
      <c r="H210" s="47">
        <v>84</v>
      </c>
      <c r="I210" s="47">
        <v>3</v>
      </c>
      <c r="J210" s="47">
        <v>14259</v>
      </c>
      <c r="K210" s="47">
        <v>3164</v>
      </c>
      <c r="L210" s="47">
        <v>196</v>
      </c>
      <c r="M210" s="47">
        <f t="shared" si="32"/>
        <v>17619</v>
      </c>
      <c r="N210" s="251">
        <f t="shared" si="33"/>
        <v>60989</v>
      </c>
      <c r="O210" s="53">
        <f t="shared" si="34"/>
        <v>1.5486507866748704</v>
      </c>
      <c r="P210" s="72">
        <f t="shared" si="31"/>
        <v>3.8120769974509976</v>
      </c>
      <c r="Q210" s="72">
        <f t="shared" si="35"/>
        <v>5.360727784125868</v>
      </c>
    </row>
    <row r="211" spans="1:17" ht="15.75" thickBot="1" x14ac:dyDescent="0.3">
      <c r="A211" s="44" t="s">
        <v>1480</v>
      </c>
      <c r="B211" s="45" t="s">
        <v>1481</v>
      </c>
      <c r="C211" s="44" t="s">
        <v>808</v>
      </c>
      <c r="D211" s="47">
        <v>8386</v>
      </c>
      <c r="E211" s="47">
        <v>45689</v>
      </c>
      <c r="F211" s="47">
        <v>1056</v>
      </c>
      <c r="G211" s="47">
        <v>940</v>
      </c>
      <c r="H211" s="47">
        <v>57</v>
      </c>
      <c r="I211" s="47">
        <v>3</v>
      </c>
      <c r="J211" s="47">
        <v>13452</v>
      </c>
      <c r="K211" s="47">
        <v>2416</v>
      </c>
      <c r="L211" s="47">
        <v>244</v>
      </c>
      <c r="M211" s="47">
        <f t="shared" si="32"/>
        <v>16112</v>
      </c>
      <c r="N211" s="251">
        <f t="shared" si="33"/>
        <v>63797</v>
      </c>
      <c r="O211" s="53">
        <f t="shared" si="34"/>
        <v>1.9212974004292869</v>
      </c>
      <c r="P211" s="72">
        <f t="shared" si="31"/>
        <v>5.6862628189840212</v>
      </c>
      <c r="Q211" s="72">
        <f t="shared" si="35"/>
        <v>7.6075602194133083</v>
      </c>
    </row>
    <row r="212" spans="1:17" ht="15.75" thickBot="1" x14ac:dyDescent="0.3">
      <c r="A212" s="44" t="s">
        <v>1486</v>
      </c>
      <c r="B212" s="45" t="s">
        <v>1487</v>
      </c>
      <c r="C212" s="44" t="s">
        <v>808</v>
      </c>
      <c r="D212" s="47">
        <v>9110</v>
      </c>
      <c r="E212" s="47">
        <v>36784</v>
      </c>
      <c r="F212" s="47">
        <v>787</v>
      </c>
      <c r="G212" s="47">
        <v>1388</v>
      </c>
      <c r="H212" s="47">
        <v>47</v>
      </c>
      <c r="I212" s="47">
        <v>2</v>
      </c>
      <c r="J212" s="47">
        <v>6167</v>
      </c>
      <c r="K212" s="47">
        <v>8226</v>
      </c>
      <c r="L212" s="47">
        <v>0</v>
      </c>
      <c r="M212" s="47">
        <f t="shared" si="32"/>
        <v>14393</v>
      </c>
      <c r="N212" s="251">
        <f t="shared" si="33"/>
        <v>53352</v>
      </c>
      <c r="O212" s="53">
        <f t="shared" si="34"/>
        <v>1.5799121844127333</v>
      </c>
      <c r="P212" s="72">
        <f t="shared" si="31"/>
        <v>4.2765093304061468</v>
      </c>
      <c r="Q212" s="72">
        <f t="shared" si="35"/>
        <v>5.8564215148188801</v>
      </c>
    </row>
    <row r="213" spans="1:17" ht="15.75" thickBot="1" x14ac:dyDescent="0.3">
      <c r="A213" s="44" t="s">
        <v>1488</v>
      </c>
      <c r="B213" s="45" t="s">
        <v>1489</v>
      </c>
      <c r="C213" s="44" t="s">
        <v>808</v>
      </c>
      <c r="D213" s="47">
        <v>9645</v>
      </c>
      <c r="E213" s="47">
        <v>55802</v>
      </c>
      <c r="F213" s="47">
        <v>2239</v>
      </c>
      <c r="G213" s="47">
        <v>2179</v>
      </c>
      <c r="H213" s="47">
        <v>80</v>
      </c>
      <c r="I213" s="47">
        <v>11</v>
      </c>
      <c r="J213" s="47">
        <v>8543</v>
      </c>
      <c r="K213" s="47">
        <v>3883</v>
      </c>
      <c r="L213" s="47">
        <v>285</v>
      </c>
      <c r="M213" s="47">
        <f t="shared" si="32"/>
        <v>12711</v>
      </c>
      <c r="N213" s="251">
        <f t="shared" si="33"/>
        <v>72931</v>
      </c>
      <c r="O213" s="53">
        <f t="shared" si="34"/>
        <v>1.3178849144634526</v>
      </c>
      <c r="P213" s="72">
        <f t="shared" si="31"/>
        <v>6.2436495593571797</v>
      </c>
      <c r="Q213" s="72">
        <f t="shared" si="35"/>
        <v>7.5615344738206325</v>
      </c>
    </row>
    <row r="214" spans="1:17" ht="15.75" thickBot="1" x14ac:dyDescent="0.3">
      <c r="A214" s="44" t="s">
        <v>1504</v>
      </c>
      <c r="B214" s="45" t="s">
        <v>1505</v>
      </c>
      <c r="C214" s="44" t="s">
        <v>808</v>
      </c>
      <c r="D214" s="47">
        <v>9301</v>
      </c>
      <c r="E214" s="47">
        <v>15394</v>
      </c>
      <c r="F214" s="47">
        <v>938</v>
      </c>
      <c r="G214" s="47">
        <v>1829</v>
      </c>
      <c r="H214" s="47">
        <v>26</v>
      </c>
      <c r="I214" s="47">
        <v>2</v>
      </c>
      <c r="J214" s="47">
        <v>24045</v>
      </c>
      <c r="K214" s="47">
        <v>4206</v>
      </c>
      <c r="L214" s="47">
        <v>137</v>
      </c>
      <c r="M214" s="47">
        <f t="shared" si="32"/>
        <v>28388</v>
      </c>
      <c r="N214" s="251">
        <f t="shared" si="33"/>
        <v>46549</v>
      </c>
      <c r="O214" s="53">
        <f t="shared" si="34"/>
        <v>3.0521449306526178</v>
      </c>
      <c r="P214" s="72">
        <f t="shared" si="31"/>
        <v>1.9525857434684442</v>
      </c>
      <c r="Q214" s="72">
        <f t="shared" si="35"/>
        <v>5.0047306741210624</v>
      </c>
    </row>
    <row r="215" spans="1:17" ht="15.75" thickBot="1" x14ac:dyDescent="0.3">
      <c r="A215" s="44" t="s">
        <v>1508</v>
      </c>
      <c r="B215" s="45" t="s">
        <v>1509</v>
      </c>
      <c r="C215" s="44" t="s">
        <v>808</v>
      </c>
      <c r="D215" s="47">
        <v>7851</v>
      </c>
      <c r="E215" s="47">
        <v>26168</v>
      </c>
      <c r="F215" s="47">
        <v>1621</v>
      </c>
      <c r="G215" s="47">
        <v>1528</v>
      </c>
      <c r="H215" s="47">
        <v>55</v>
      </c>
      <c r="I215" s="47">
        <v>0</v>
      </c>
      <c r="J215" s="47">
        <v>24089</v>
      </c>
      <c r="K215" s="47">
        <v>4263</v>
      </c>
      <c r="L215" s="47">
        <v>137</v>
      </c>
      <c r="M215" s="47">
        <f t="shared" si="32"/>
        <v>28489</v>
      </c>
      <c r="N215" s="251">
        <f t="shared" si="33"/>
        <v>57806</v>
      </c>
      <c r="O215" s="53">
        <f t="shared" si="34"/>
        <v>3.6287097185071966</v>
      </c>
      <c r="P215" s="72">
        <f t="shared" si="31"/>
        <v>3.7341739905744493</v>
      </c>
      <c r="Q215" s="72">
        <f t="shared" si="35"/>
        <v>7.3628837090816459</v>
      </c>
    </row>
    <row r="216" spans="1:17" ht="15.75" thickBot="1" x14ac:dyDescent="0.3">
      <c r="A216" s="44" t="s">
        <v>1510</v>
      </c>
      <c r="B216" s="45" t="s">
        <v>1511</v>
      </c>
      <c r="C216" s="44" t="s">
        <v>808</v>
      </c>
      <c r="D216" s="47">
        <v>10250</v>
      </c>
      <c r="E216" s="47">
        <v>29210</v>
      </c>
      <c r="F216" s="47">
        <v>1107</v>
      </c>
      <c r="G216" s="47">
        <v>4654</v>
      </c>
      <c r="H216" s="47">
        <v>64</v>
      </c>
      <c r="I216" s="47">
        <v>2</v>
      </c>
      <c r="J216" s="47">
        <v>8127</v>
      </c>
      <c r="K216" s="47">
        <v>11162</v>
      </c>
      <c r="L216" s="47">
        <v>0</v>
      </c>
      <c r="M216" s="47">
        <f t="shared" si="32"/>
        <v>19289</v>
      </c>
      <c r="N216" s="251">
        <f t="shared" si="33"/>
        <v>54260</v>
      </c>
      <c r="O216" s="53">
        <f t="shared" si="34"/>
        <v>1.8818536585365853</v>
      </c>
      <c r="P216" s="72">
        <f t="shared" si="31"/>
        <v>3.4118048780487804</v>
      </c>
      <c r="Q216" s="72">
        <f t="shared" si="35"/>
        <v>5.2936585365853661</v>
      </c>
    </row>
    <row r="217" spans="1:17" ht="15.75" thickBot="1" x14ac:dyDescent="0.3">
      <c r="A217" s="44" t="s">
        <v>1520</v>
      </c>
      <c r="B217" s="45" t="s">
        <v>1521</v>
      </c>
      <c r="C217" s="44" t="s">
        <v>808</v>
      </c>
      <c r="D217" s="47">
        <v>10662</v>
      </c>
      <c r="E217" s="47">
        <v>28733</v>
      </c>
      <c r="F217" s="47">
        <v>994</v>
      </c>
      <c r="G217" s="47">
        <v>1467</v>
      </c>
      <c r="H217" s="47">
        <v>45</v>
      </c>
      <c r="I217" s="47">
        <v>2</v>
      </c>
      <c r="J217" s="47">
        <v>14070</v>
      </c>
      <c r="K217" s="47">
        <v>4218</v>
      </c>
      <c r="L217" s="47">
        <v>0</v>
      </c>
      <c r="M217" s="47">
        <f t="shared" si="32"/>
        <v>18288</v>
      </c>
      <c r="N217" s="251">
        <f t="shared" si="33"/>
        <v>49482</v>
      </c>
      <c r="O217" s="53">
        <f t="shared" si="34"/>
        <v>1.7152504220596512</v>
      </c>
      <c r="P217" s="72">
        <f t="shared" si="31"/>
        <v>2.9257175014068655</v>
      </c>
      <c r="Q217" s="72">
        <f t="shared" si="35"/>
        <v>4.6409679234665164</v>
      </c>
    </row>
    <row r="218" spans="1:17" ht="15.75" thickBot="1" x14ac:dyDescent="0.3">
      <c r="A218" s="44" t="s">
        <v>1524</v>
      </c>
      <c r="B218" s="45" t="s">
        <v>1525</v>
      </c>
      <c r="C218" s="44" t="s">
        <v>808</v>
      </c>
      <c r="D218" s="47">
        <v>11985</v>
      </c>
      <c r="E218" s="47">
        <v>72736</v>
      </c>
      <c r="F218" s="47">
        <v>3777</v>
      </c>
      <c r="G218" s="47">
        <v>1819</v>
      </c>
      <c r="H218" s="47">
        <v>141</v>
      </c>
      <c r="I218" s="47">
        <v>1</v>
      </c>
      <c r="J218" s="47">
        <v>8492</v>
      </c>
      <c r="K218" s="47">
        <v>3514</v>
      </c>
      <c r="L218" s="47">
        <v>0</v>
      </c>
      <c r="M218" s="47">
        <f t="shared" si="32"/>
        <v>12006</v>
      </c>
      <c r="N218" s="251">
        <f t="shared" si="33"/>
        <v>90338</v>
      </c>
      <c r="O218" s="53">
        <f t="shared" si="34"/>
        <v>1.0017521902377973</v>
      </c>
      <c r="P218" s="72">
        <f t="shared" si="31"/>
        <v>6.5358364622444727</v>
      </c>
      <c r="Q218" s="72">
        <f t="shared" si="35"/>
        <v>7.5375886524822695</v>
      </c>
    </row>
    <row r="219" spans="1:17" ht="15.75" thickBot="1" x14ac:dyDescent="0.3">
      <c r="A219" s="44" t="s">
        <v>1526</v>
      </c>
      <c r="B219" s="45" t="s">
        <v>1527</v>
      </c>
      <c r="C219" s="44" t="s">
        <v>808</v>
      </c>
      <c r="D219" s="47">
        <v>8147</v>
      </c>
      <c r="E219" s="47">
        <v>26712</v>
      </c>
      <c r="F219" s="47">
        <v>774</v>
      </c>
      <c r="G219" s="47">
        <v>1205</v>
      </c>
      <c r="H219" s="47">
        <v>36</v>
      </c>
      <c r="I219" s="47">
        <v>0</v>
      </c>
      <c r="J219" s="47">
        <v>14028</v>
      </c>
      <c r="K219" s="47">
        <v>3934</v>
      </c>
      <c r="L219" s="47">
        <v>0</v>
      </c>
      <c r="M219" s="47">
        <f t="shared" si="32"/>
        <v>17962</v>
      </c>
      <c r="N219" s="251">
        <f t="shared" si="33"/>
        <v>46653</v>
      </c>
      <c r="O219" s="53">
        <f t="shared" si="34"/>
        <v>2.2047379403461398</v>
      </c>
      <c r="P219" s="72">
        <f t="shared" si="31"/>
        <v>3.5216644163495765</v>
      </c>
      <c r="Q219" s="72">
        <f t="shared" si="35"/>
        <v>5.7264023566957158</v>
      </c>
    </row>
    <row r="220" spans="1:17" ht="15.75" thickBot="1" x14ac:dyDescent="0.3">
      <c r="A220" s="44" t="s">
        <v>1534</v>
      </c>
      <c r="B220" s="45" t="s">
        <v>1535</v>
      </c>
      <c r="C220" s="44" t="s">
        <v>808</v>
      </c>
      <c r="D220" s="47">
        <v>9714</v>
      </c>
      <c r="E220" s="47">
        <v>30355</v>
      </c>
      <c r="F220" s="47">
        <v>2160</v>
      </c>
      <c r="G220" s="47">
        <v>2434</v>
      </c>
      <c r="H220" s="47">
        <v>6</v>
      </c>
      <c r="I220" s="47">
        <v>0</v>
      </c>
      <c r="J220" s="47">
        <v>7955</v>
      </c>
      <c r="K220" s="47">
        <v>9223</v>
      </c>
      <c r="L220" s="47">
        <v>0</v>
      </c>
      <c r="M220" s="47">
        <f t="shared" si="32"/>
        <v>17178</v>
      </c>
      <c r="N220" s="251">
        <f t="shared" si="33"/>
        <v>52127</v>
      </c>
      <c r="O220" s="53">
        <f t="shared" si="34"/>
        <v>1.7683755404570722</v>
      </c>
      <c r="P220" s="72">
        <f t="shared" si="31"/>
        <v>3.597796994029236</v>
      </c>
      <c r="Q220" s="72">
        <f t="shared" si="35"/>
        <v>5.3661725344863083</v>
      </c>
    </row>
    <row r="221" spans="1:17" ht="15.75" thickBot="1" x14ac:dyDescent="0.3">
      <c r="A221" s="44" t="s">
        <v>1562</v>
      </c>
      <c r="B221" s="45" t="s">
        <v>1563</v>
      </c>
      <c r="C221" s="44" t="s">
        <v>808</v>
      </c>
      <c r="D221" s="47">
        <v>9514</v>
      </c>
      <c r="E221" s="47">
        <v>32340</v>
      </c>
      <c r="F221" s="47">
        <v>78</v>
      </c>
      <c r="G221" s="47">
        <v>1132</v>
      </c>
      <c r="H221" s="47">
        <v>1</v>
      </c>
      <c r="I221" s="47">
        <v>2</v>
      </c>
      <c r="J221" s="47">
        <v>20563</v>
      </c>
      <c r="K221" s="47">
        <v>8450</v>
      </c>
      <c r="L221" s="47">
        <v>0</v>
      </c>
      <c r="M221" s="47">
        <f t="shared" si="32"/>
        <v>29013</v>
      </c>
      <c r="N221" s="251">
        <f t="shared" si="33"/>
        <v>62563</v>
      </c>
      <c r="O221" s="53">
        <f t="shared" si="34"/>
        <v>3.0495059911709061</v>
      </c>
      <c r="P221" s="72">
        <f t="shared" si="31"/>
        <v>3.5263821736388481</v>
      </c>
      <c r="Q221" s="72">
        <f t="shared" si="35"/>
        <v>6.5758881648097542</v>
      </c>
    </row>
    <row r="222" spans="1:17" ht="15.75" thickBot="1" x14ac:dyDescent="0.3">
      <c r="A222" s="44" t="s">
        <v>1576</v>
      </c>
      <c r="B222" s="45" t="s">
        <v>1577</v>
      </c>
      <c r="C222" s="44" t="s">
        <v>808</v>
      </c>
      <c r="D222" s="47">
        <v>9138</v>
      </c>
      <c r="E222" s="47">
        <v>30305</v>
      </c>
      <c r="F222" s="47">
        <v>1394</v>
      </c>
      <c r="G222" s="47">
        <v>819</v>
      </c>
      <c r="H222" s="47">
        <v>59</v>
      </c>
      <c r="I222" s="47">
        <v>0</v>
      </c>
      <c r="J222" s="47">
        <v>8308</v>
      </c>
      <c r="K222" s="47">
        <v>3324</v>
      </c>
      <c r="L222" s="47">
        <v>0</v>
      </c>
      <c r="M222" s="47">
        <f t="shared" si="32"/>
        <v>11632</v>
      </c>
      <c r="N222" s="251">
        <f t="shared" si="33"/>
        <v>44150</v>
      </c>
      <c r="O222" s="53">
        <f t="shared" si="34"/>
        <v>1.2729262420660976</v>
      </c>
      <c r="P222" s="72">
        <f t="shared" si="31"/>
        <v>3.5585467279492229</v>
      </c>
      <c r="Q222" s="72">
        <f t="shared" si="35"/>
        <v>4.8314729700153203</v>
      </c>
    </row>
    <row r="223" spans="1:17" ht="15.75" thickBot="1" x14ac:dyDescent="0.3">
      <c r="A223" s="44" t="s">
        <v>1578</v>
      </c>
      <c r="B223" s="45" t="s">
        <v>1579</v>
      </c>
      <c r="C223" s="44" t="s">
        <v>808</v>
      </c>
      <c r="D223" s="47">
        <v>7370</v>
      </c>
      <c r="E223" s="47">
        <v>61959</v>
      </c>
      <c r="F223" s="47">
        <v>3291</v>
      </c>
      <c r="G223" s="47">
        <v>3633</v>
      </c>
      <c r="H223" s="47">
        <v>112</v>
      </c>
      <c r="I223" s="47">
        <v>2</v>
      </c>
      <c r="J223" s="47">
        <v>8593</v>
      </c>
      <c r="K223" s="47">
        <v>3895</v>
      </c>
      <c r="L223" s="47">
        <v>280</v>
      </c>
      <c r="M223" s="47">
        <f t="shared" si="32"/>
        <v>12768</v>
      </c>
      <c r="N223" s="251">
        <f t="shared" si="33"/>
        <v>81651</v>
      </c>
      <c r="O223" s="53">
        <f t="shared" si="34"/>
        <v>1.7324287652645862</v>
      </c>
      <c r="P223" s="72">
        <f t="shared" si="31"/>
        <v>9.3464043419267302</v>
      </c>
      <c r="Q223" s="72">
        <f t="shared" si="35"/>
        <v>11.078833107191317</v>
      </c>
    </row>
    <row r="224" spans="1:17" ht="15.75" thickBot="1" x14ac:dyDescent="0.3">
      <c r="A224" s="44" t="s">
        <v>1582</v>
      </c>
      <c r="B224" s="45" t="s">
        <v>1583</v>
      </c>
      <c r="C224" s="44" t="s">
        <v>808</v>
      </c>
      <c r="D224" s="47">
        <v>8533</v>
      </c>
      <c r="E224" s="47">
        <v>49154</v>
      </c>
      <c r="F224" s="47">
        <v>6192</v>
      </c>
      <c r="G224" s="47">
        <v>9223</v>
      </c>
      <c r="H224" s="47">
        <v>76</v>
      </c>
      <c r="I224" s="47">
        <v>0</v>
      </c>
      <c r="J224" s="47">
        <v>8855</v>
      </c>
      <c r="K224" s="47">
        <v>3261</v>
      </c>
      <c r="L224" s="47">
        <v>0</v>
      </c>
      <c r="M224" s="47">
        <f t="shared" si="32"/>
        <v>12116</v>
      </c>
      <c r="N224" s="251">
        <f t="shared" si="33"/>
        <v>76685</v>
      </c>
      <c r="O224" s="53">
        <f t="shared" si="34"/>
        <v>1.4198992148130787</v>
      </c>
      <c r="P224" s="72">
        <f t="shared" si="31"/>
        <v>7.5669752724715806</v>
      </c>
      <c r="Q224" s="72">
        <f t="shared" si="35"/>
        <v>8.9868744872846591</v>
      </c>
    </row>
    <row r="225" spans="1:17" ht="15.75" thickBot="1" x14ac:dyDescent="0.3">
      <c r="A225" s="44" t="s">
        <v>1584</v>
      </c>
      <c r="B225" s="45" t="s">
        <v>1585</v>
      </c>
      <c r="C225" s="44" t="s">
        <v>808</v>
      </c>
      <c r="D225" s="47">
        <v>11811</v>
      </c>
      <c r="E225" s="47">
        <v>38874</v>
      </c>
      <c r="F225" s="47">
        <v>2680</v>
      </c>
      <c r="G225" s="47">
        <v>3425</v>
      </c>
      <c r="H225" s="47">
        <v>136</v>
      </c>
      <c r="I225" s="47">
        <v>3</v>
      </c>
      <c r="J225" s="47">
        <v>10461</v>
      </c>
      <c r="K225" s="47">
        <v>12139</v>
      </c>
      <c r="L225" s="47">
        <v>0</v>
      </c>
      <c r="M225" s="47">
        <f t="shared" si="32"/>
        <v>22600</v>
      </c>
      <c r="N225" s="251">
        <f t="shared" si="33"/>
        <v>67579</v>
      </c>
      <c r="O225" s="53">
        <f t="shared" si="34"/>
        <v>1.9134704936076539</v>
      </c>
      <c r="P225" s="72">
        <f t="shared" si="31"/>
        <v>3.8082296164592329</v>
      </c>
      <c r="Q225" s="72">
        <f t="shared" si="35"/>
        <v>5.7217001100668865</v>
      </c>
    </row>
    <row r="226" spans="1:17" ht="15.75" thickBot="1" x14ac:dyDescent="0.3">
      <c r="A226" s="44" t="s">
        <v>1590</v>
      </c>
      <c r="B226" s="45" t="s">
        <v>1591</v>
      </c>
      <c r="C226" s="44" t="s">
        <v>808</v>
      </c>
      <c r="D226" s="47">
        <v>10014</v>
      </c>
      <c r="E226" s="47">
        <v>24774</v>
      </c>
      <c r="F226" s="47">
        <v>1301</v>
      </c>
      <c r="G226" s="47">
        <v>2858</v>
      </c>
      <c r="H226" s="47">
        <v>17</v>
      </c>
      <c r="I226" s="47">
        <v>27</v>
      </c>
      <c r="J226" s="47">
        <v>24183</v>
      </c>
      <c r="K226" s="47">
        <v>12745</v>
      </c>
      <c r="L226" s="47">
        <v>137</v>
      </c>
      <c r="M226" s="47">
        <f t="shared" si="32"/>
        <v>37065</v>
      </c>
      <c r="N226" s="251">
        <f t="shared" si="33"/>
        <v>65998</v>
      </c>
      <c r="O226" s="53">
        <f t="shared" si="34"/>
        <v>3.7013181545835829</v>
      </c>
      <c r="P226" s="72">
        <f t="shared" si="31"/>
        <v>2.889255042939884</v>
      </c>
      <c r="Q226" s="72">
        <f t="shared" si="35"/>
        <v>6.5905731975234669</v>
      </c>
    </row>
    <row r="227" spans="1:17" ht="15.75" thickBot="1" x14ac:dyDescent="0.3">
      <c r="A227" s="44" t="s">
        <v>801</v>
      </c>
      <c r="B227" s="45" t="s">
        <v>802</v>
      </c>
      <c r="C227" s="44" t="s">
        <v>803</v>
      </c>
      <c r="D227" s="47">
        <v>21133</v>
      </c>
      <c r="E227" s="47">
        <v>67317</v>
      </c>
      <c r="F227" s="47">
        <v>2845</v>
      </c>
      <c r="G227" s="47">
        <v>4598</v>
      </c>
      <c r="H227" s="47">
        <v>93</v>
      </c>
      <c r="I227" s="47">
        <v>13</v>
      </c>
      <c r="J227" s="47">
        <v>10036</v>
      </c>
      <c r="K227" s="47">
        <v>3717</v>
      </c>
      <c r="L227" s="47">
        <v>211</v>
      </c>
      <c r="M227" s="47">
        <f t="shared" si="32"/>
        <v>13964</v>
      </c>
      <c r="N227" s="251">
        <f t="shared" si="33"/>
        <v>88724</v>
      </c>
      <c r="O227" s="53">
        <f t="shared" si="34"/>
        <v>0.66076751999242889</v>
      </c>
      <c r="P227" s="72">
        <f t="shared" si="31"/>
        <v>3.5375952302086784</v>
      </c>
      <c r="Q227" s="72">
        <f t="shared" si="35"/>
        <v>4.1983627502011069</v>
      </c>
    </row>
    <row r="228" spans="1:17" ht="15.75" thickBot="1" x14ac:dyDescent="0.3">
      <c r="A228" s="44" t="s">
        <v>818</v>
      </c>
      <c r="B228" s="45" t="s">
        <v>819</v>
      </c>
      <c r="C228" s="44" t="s">
        <v>803</v>
      </c>
      <c r="D228" s="47">
        <v>17401</v>
      </c>
      <c r="E228" s="47">
        <v>40047</v>
      </c>
      <c r="F228" s="47">
        <v>1755</v>
      </c>
      <c r="G228" s="47">
        <v>2505</v>
      </c>
      <c r="H228" s="47">
        <v>72</v>
      </c>
      <c r="I228" s="47">
        <v>2</v>
      </c>
      <c r="J228" s="47">
        <v>12476</v>
      </c>
      <c r="K228" s="47">
        <v>2487</v>
      </c>
      <c r="L228" s="47">
        <v>245</v>
      </c>
      <c r="M228" s="47">
        <f t="shared" si="32"/>
        <v>15208</v>
      </c>
      <c r="N228" s="251">
        <f t="shared" si="33"/>
        <v>59515</v>
      </c>
      <c r="O228" s="53">
        <f t="shared" si="34"/>
        <v>0.87397276018619618</v>
      </c>
      <c r="P228" s="72">
        <f t="shared" si="31"/>
        <v>2.5462329751163728</v>
      </c>
      <c r="Q228" s="72">
        <f t="shared" si="35"/>
        <v>3.4202057353025688</v>
      </c>
    </row>
    <row r="229" spans="1:17" ht="15.75" thickBot="1" x14ac:dyDescent="0.3">
      <c r="A229" s="44" t="s">
        <v>846</v>
      </c>
      <c r="B229" s="45" t="s">
        <v>847</v>
      </c>
      <c r="C229" s="44" t="s">
        <v>803</v>
      </c>
      <c r="D229" s="47">
        <v>21412</v>
      </c>
      <c r="E229" s="47">
        <v>50858</v>
      </c>
      <c r="F229" s="47">
        <v>4092</v>
      </c>
      <c r="G229" s="47">
        <v>9816</v>
      </c>
      <c r="H229" s="47">
        <v>118</v>
      </c>
      <c r="I229" s="47">
        <v>7</v>
      </c>
      <c r="J229" s="47">
        <v>46251</v>
      </c>
      <c r="K229" s="47">
        <v>41322</v>
      </c>
      <c r="L229" s="47">
        <v>761</v>
      </c>
      <c r="M229" s="47">
        <f t="shared" si="32"/>
        <v>88334</v>
      </c>
      <c r="N229" s="251">
        <f t="shared" si="33"/>
        <v>153100</v>
      </c>
      <c r="O229" s="53">
        <f t="shared" si="34"/>
        <v>4.1254436764431164</v>
      </c>
      <c r="P229" s="72">
        <f t="shared" si="31"/>
        <v>3.0247524752475248</v>
      </c>
      <c r="Q229" s="72">
        <f t="shared" si="35"/>
        <v>7.1501961516906407</v>
      </c>
    </row>
    <row r="230" spans="1:17" ht="15.75" thickBot="1" x14ac:dyDescent="0.3">
      <c r="A230" s="122" t="s">
        <v>851</v>
      </c>
      <c r="B230" s="248" t="s">
        <v>852</v>
      </c>
      <c r="C230" s="122" t="s">
        <v>803</v>
      </c>
      <c r="D230" s="249">
        <v>25883</v>
      </c>
      <c r="E230" s="249">
        <v>50822</v>
      </c>
      <c r="F230" s="249">
        <v>4385</v>
      </c>
      <c r="G230" s="249">
        <v>7674</v>
      </c>
      <c r="H230" s="249">
        <v>119</v>
      </c>
      <c r="I230" s="249">
        <v>6</v>
      </c>
      <c r="J230" s="249" t="s">
        <v>3479</v>
      </c>
      <c r="K230" s="249" t="s">
        <v>3479</v>
      </c>
      <c r="L230" s="249" t="s">
        <v>3479</v>
      </c>
      <c r="M230" s="249" t="s">
        <v>3479</v>
      </c>
      <c r="N230" s="250" t="s">
        <v>3480</v>
      </c>
      <c r="O230" s="250" t="s">
        <v>3480</v>
      </c>
      <c r="P230" s="72">
        <f t="shared" si="31"/>
        <v>2.4294324460070316</v>
      </c>
      <c r="Q230" s="249" t="s">
        <v>3480</v>
      </c>
    </row>
    <row r="231" spans="1:17" ht="15.75" thickBot="1" x14ac:dyDescent="0.3">
      <c r="A231" s="44" t="s">
        <v>871</v>
      </c>
      <c r="B231" s="45" t="s">
        <v>872</v>
      </c>
      <c r="C231" s="44" t="s">
        <v>803</v>
      </c>
      <c r="D231" s="47">
        <v>24787</v>
      </c>
      <c r="E231" s="47">
        <v>111743</v>
      </c>
      <c r="F231" s="47">
        <v>2778</v>
      </c>
      <c r="G231" s="47">
        <v>6005</v>
      </c>
      <c r="H231" s="47">
        <v>86</v>
      </c>
      <c r="I231" s="47">
        <v>0</v>
      </c>
      <c r="J231" s="47">
        <v>15909</v>
      </c>
      <c r="K231" s="47">
        <v>3196</v>
      </c>
      <c r="L231" s="47">
        <v>246</v>
      </c>
      <c r="M231" s="47">
        <f t="shared" ref="M231:M241" si="36">J231+K231+L231</f>
        <v>19351</v>
      </c>
      <c r="N231" s="251">
        <f t="shared" ref="N231:N241" si="37">E231+F231+G231+J231+K231+L231</f>
        <v>139877</v>
      </c>
      <c r="O231" s="53">
        <f t="shared" ref="O231:O241" si="38">(J231+K231+L231)/D231</f>
        <v>0.78069149150764516</v>
      </c>
      <c r="P231" s="72">
        <f t="shared" si="31"/>
        <v>4.8624682293137536</v>
      </c>
      <c r="Q231" s="72">
        <f t="shared" ref="Q231:Q241" si="39">N231/D231</f>
        <v>5.6431597208213979</v>
      </c>
    </row>
    <row r="232" spans="1:17" ht="15.75" thickBot="1" x14ac:dyDescent="0.3">
      <c r="A232" s="44" t="s">
        <v>877</v>
      </c>
      <c r="B232" s="45" t="s">
        <v>878</v>
      </c>
      <c r="C232" s="44" t="s">
        <v>803</v>
      </c>
      <c r="D232" s="47">
        <v>14970</v>
      </c>
      <c r="E232" s="47">
        <v>59188</v>
      </c>
      <c r="F232" s="47">
        <v>5891</v>
      </c>
      <c r="G232" s="47">
        <v>7512</v>
      </c>
      <c r="H232" s="47">
        <v>111</v>
      </c>
      <c r="I232" s="47">
        <v>0</v>
      </c>
      <c r="J232" s="47">
        <v>48274</v>
      </c>
      <c r="K232" s="47">
        <v>13038</v>
      </c>
      <c r="L232" s="47">
        <v>761</v>
      </c>
      <c r="M232" s="47">
        <f t="shared" si="36"/>
        <v>62073</v>
      </c>
      <c r="N232" s="251">
        <f t="shared" si="37"/>
        <v>134664</v>
      </c>
      <c r="O232" s="53">
        <f t="shared" si="38"/>
        <v>4.1464929859719435</v>
      </c>
      <c r="P232" s="72">
        <f t="shared" si="31"/>
        <v>4.8490981963927853</v>
      </c>
      <c r="Q232" s="72">
        <f t="shared" si="39"/>
        <v>8.9955911823647288</v>
      </c>
    </row>
    <row r="233" spans="1:17" ht="15.75" thickBot="1" x14ac:dyDescent="0.3">
      <c r="A233" s="44" t="s">
        <v>887</v>
      </c>
      <c r="B233" s="45" t="s">
        <v>888</v>
      </c>
      <c r="C233" s="44" t="s">
        <v>803</v>
      </c>
      <c r="D233" s="47">
        <v>20025</v>
      </c>
      <c r="E233" s="47">
        <v>42839</v>
      </c>
      <c r="F233" s="47">
        <v>2274</v>
      </c>
      <c r="G233" s="47">
        <v>3690</v>
      </c>
      <c r="H233" s="47">
        <v>2</v>
      </c>
      <c r="I233" s="47">
        <v>10</v>
      </c>
      <c r="J233" s="47">
        <v>1245</v>
      </c>
      <c r="K233" s="47">
        <v>103</v>
      </c>
      <c r="L233" s="47">
        <v>137</v>
      </c>
      <c r="M233" s="47">
        <f t="shared" si="36"/>
        <v>1485</v>
      </c>
      <c r="N233" s="251">
        <f t="shared" si="37"/>
        <v>50288</v>
      </c>
      <c r="O233" s="53">
        <f t="shared" si="38"/>
        <v>7.415730337078652E-2</v>
      </c>
      <c r="P233" s="72">
        <f t="shared" si="31"/>
        <v>2.437103620474407</v>
      </c>
      <c r="Q233" s="72">
        <f t="shared" si="39"/>
        <v>2.5112609238451937</v>
      </c>
    </row>
    <row r="234" spans="1:17" ht="15.75" thickBot="1" x14ac:dyDescent="0.3">
      <c r="A234" s="44" t="s">
        <v>899</v>
      </c>
      <c r="B234" s="45" t="s">
        <v>900</v>
      </c>
      <c r="C234" s="44" t="s">
        <v>803</v>
      </c>
      <c r="D234" s="47">
        <v>15175</v>
      </c>
      <c r="E234" s="47">
        <v>44884</v>
      </c>
      <c r="F234" s="47">
        <v>4819</v>
      </c>
      <c r="G234" s="47">
        <v>5797</v>
      </c>
      <c r="H234" s="47">
        <v>74</v>
      </c>
      <c r="I234" s="47">
        <v>4</v>
      </c>
      <c r="J234" s="47">
        <v>72265</v>
      </c>
      <c r="K234" s="47">
        <v>28064</v>
      </c>
      <c r="L234" s="47">
        <v>0</v>
      </c>
      <c r="M234" s="47">
        <f t="shared" si="36"/>
        <v>100329</v>
      </c>
      <c r="N234" s="251">
        <f t="shared" si="37"/>
        <v>155829</v>
      </c>
      <c r="O234" s="53">
        <f t="shared" si="38"/>
        <v>6.611466227347611</v>
      </c>
      <c r="P234" s="72">
        <f t="shared" si="31"/>
        <v>3.6573311367380561</v>
      </c>
      <c r="Q234" s="72">
        <f t="shared" si="39"/>
        <v>10.268797364085668</v>
      </c>
    </row>
    <row r="235" spans="1:17" ht="15.75" thickBot="1" x14ac:dyDescent="0.3">
      <c r="A235" s="44" t="s">
        <v>901</v>
      </c>
      <c r="B235" s="45" t="s">
        <v>902</v>
      </c>
      <c r="C235" s="44" t="s">
        <v>803</v>
      </c>
      <c r="D235" s="47">
        <v>12667</v>
      </c>
      <c r="E235" s="47">
        <v>33114</v>
      </c>
      <c r="F235" s="47">
        <v>1369</v>
      </c>
      <c r="G235" s="47">
        <v>2107</v>
      </c>
      <c r="H235" s="47">
        <v>125</v>
      </c>
      <c r="I235" s="47">
        <v>2</v>
      </c>
      <c r="J235" s="47">
        <v>6810</v>
      </c>
      <c r="K235" s="47">
        <v>3297</v>
      </c>
      <c r="L235" s="47">
        <v>0</v>
      </c>
      <c r="M235" s="47">
        <f t="shared" si="36"/>
        <v>10107</v>
      </c>
      <c r="N235" s="251">
        <f t="shared" si="37"/>
        <v>46697</v>
      </c>
      <c r="O235" s="53">
        <f t="shared" si="38"/>
        <v>0.7979000552617036</v>
      </c>
      <c r="P235" s="72">
        <f t="shared" si="31"/>
        <v>2.888608194521197</v>
      </c>
      <c r="Q235" s="72">
        <f t="shared" si="39"/>
        <v>3.6865082497829005</v>
      </c>
    </row>
    <row r="236" spans="1:17" ht="15.75" thickBot="1" x14ac:dyDescent="0.3">
      <c r="A236" s="44" t="s">
        <v>905</v>
      </c>
      <c r="B236" s="45" t="s">
        <v>906</v>
      </c>
      <c r="C236" s="44" t="s">
        <v>803</v>
      </c>
      <c r="D236" s="47">
        <v>19336</v>
      </c>
      <c r="E236" s="47">
        <v>35923</v>
      </c>
      <c r="F236" s="47">
        <v>2893</v>
      </c>
      <c r="G236" s="47">
        <v>2372</v>
      </c>
      <c r="H236" s="47">
        <v>64</v>
      </c>
      <c r="I236" s="47">
        <v>3</v>
      </c>
      <c r="J236" s="47">
        <v>8564</v>
      </c>
      <c r="K236" s="47">
        <v>4179</v>
      </c>
      <c r="L236" s="47">
        <v>0</v>
      </c>
      <c r="M236" s="47">
        <f t="shared" si="36"/>
        <v>12743</v>
      </c>
      <c r="N236" s="251">
        <f t="shared" si="37"/>
        <v>53931</v>
      </c>
      <c r="O236" s="53">
        <f t="shared" si="38"/>
        <v>0.65902978899462139</v>
      </c>
      <c r="P236" s="72">
        <f t="shared" si="31"/>
        <v>2.1301199834505584</v>
      </c>
      <c r="Q236" s="72">
        <f t="shared" si="39"/>
        <v>2.7891497724451799</v>
      </c>
    </row>
    <row r="237" spans="1:17" ht="15.75" thickBot="1" x14ac:dyDescent="0.3">
      <c r="A237" s="44" t="s">
        <v>941</v>
      </c>
      <c r="B237" s="45" t="s">
        <v>942</v>
      </c>
      <c r="C237" s="44" t="s">
        <v>803</v>
      </c>
      <c r="D237" s="47">
        <v>15068</v>
      </c>
      <c r="E237" s="47">
        <v>46164</v>
      </c>
      <c r="F237" s="47">
        <v>3133</v>
      </c>
      <c r="G237" s="47">
        <v>5197</v>
      </c>
      <c r="H237" s="47">
        <v>63</v>
      </c>
      <c r="I237" s="47">
        <v>6</v>
      </c>
      <c r="J237" s="47">
        <v>16817</v>
      </c>
      <c r="K237" s="47">
        <v>3558</v>
      </c>
      <c r="L237" s="47">
        <v>290</v>
      </c>
      <c r="M237" s="47">
        <f t="shared" si="36"/>
        <v>20665</v>
      </c>
      <c r="N237" s="251">
        <f t="shared" si="37"/>
        <v>75159</v>
      </c>
      <c r="O237" s="53">
        <f t="shared" si="38"/>
        <v>1.3714494292540482</v>
      </c>
      <c r="P237" s="72">
        <f t="shared" si="31"/>
        <v>3.616538359437218</v>
      </c>
      <c r="Q237" s="72">
        <f t="shared" si="39"/>
        <v>4.9879877886912665</v>
      </c>
    </row>
    <row r="238" spans="1:17" ht="15.75" thickBot="1" x14ac:dyDescent="0.3">
      <c r="A238" s="44" t="s">
        <v>945</v>
      </c>
      <c r="B238" s="45" t="s">
        <v>946</v>
      </c>
      <c r="C238" s="44" t="s">
        <v>803</v>
      </c>
      <c r="D238" s="47">
        <v>24370</v>
      </c>
      <c r="E238" s="47">
        <v>50194</v>
      </c>
      <c r="F238" s="47">
        <v>2785</v>
      </c>
      <c r="G238" s="47">
        <v>3849</v>
      </c>
      <c r="H238" s="47">
        <v>76</v>
      </c>
      <c r="I238" s="47">
        <v>2</v>
      </c>
      <c r="J238" s="47">
        <v>6465</v>
      </c>
      <c r="K238" s="47">
        <v>4712</v>
      </c>
      <c r="L238" s="47">
        <v>330</v>
      </c>
      <c r="M238" s="47">
        <f t="shared" si="36"/>
        <v>11507</v>
      </c>
      <c r="N238" s="251">
        <f t="shared" si="37"/>
        <v>68335</v>
      </c>
      <c r="O238" s="53">
        <f t="shared" si="38"/>
        <v>0.47217890849405009</v>
      </c>
      <c r="P238" s="72">
        <f t="shared" si="31"/>
        <v>2.3318834632745178</v>
      </c>
      <c r="Q238" s="72">
        <f t="shared" si="39"/>
        <v>2.804062371768568</v>
      </c>
    </row>
    <row r="239" spans="1:17" ht="15.75" thickBot="1" x14ac:dyDescent="0.3">
      <c r="A239" s="44" t="s">
        <v>949</v>
      </c>
      <c r="B239" s="45" t="s">
        <v>950</v>
      </c>
      <c r="C239" s="44" t="s">
        <v>803</v>
      </c>
      <c r="D239" s="47">
        <v>13894</v>
      </c>
      <c r="E239" s="47">
        <v>59982</v>
      </c>
      <c r="F239" s="47">
        <v>4048</v>
      </c>
      <c r="G239" s="47">
        <v>3751</v>
      </c>
      <c r="H239" s="47">
        <v>112</v>
      </c>
      <c r="I239" s="47">
        <v>3</v>
      </c>
      <c r="J239" s="47">
        <v>16323</v>
      </c>
      <c r="K239" s="47">
        <v>2800</v>
      </c>
      <c r="L239" s="47">
        <v>3</v>
      </c>
      <c r="M239" s="47">
        <f t="shared" si="36"/>
        <v>19126</v>
      </c>
      <c r="N239" s="251">
        <f t="shared" si="37"/>
        <v>86907</v>
      </c>
      <c r="O239" s="53">
        <f t="shared" si="38"/>
        <v>1.3765654239239959</v>
      </c>
      <c r="P239" s="72">
        <f t="shared" si="31"/>
        <v>4.8784367352814169</v>
      </c>
      <c r="Q239" s="72">
        <f t="shared" si="39"/>
        <v>6.2550021592054126</v>
      </c>
    </row>
    <row r="240" spans="1:17" ht="15.75" thickBot="1" x14ac:dyDescent="0.3">
      <c r="A240" s="44" t="s">
        <v>951</v>
      </c>
      <c r="B240" s="45" t="s">
        <v>952</v>
      </c>
      <c r="C240" s="44" t="s">
        <v>803</v>
      </c>
      <c r="D240" s="47">
        <v>15010</v>
      </c>
      <c r="E240" s="47">
        <v>47925</v>
      </c>
      <c r="F240" s="47">
        <v>5961</v>
      </c>
      <c r="G240" s="47">
        <v>7096</v>
      </c>
      <c r="H240" s="47">
        <v>128</v>
      </c>
      <c r="I240" s="47">
        <v>9</v>
      </c>
      <c r="J240" s="47">
        <v>46292</v>
      </c>
      <c r="K240" s="47">
        <v>10592</v>
      </c>
      <c r="L240" s="47">
        <v>1445</v>
      </c>
      <c r="M240" s="47">
        <f t="shared" si="36"/>
        <v>58329</v>
      </c>
      <c r="N240" s="251">
        <f t="shared" si="37"/>
        <v>119311</v>
      </c>
      <c r="O240" s="53">
        <f t="shared" si="38"/>
        <v>3.8860093271152567</v>
      </c>
      <c r="P240" s="72">
        <f t="shared" si="31"/>
        <v>4.0627581612258492</v>
      </c>
      <c r="Q240" s="72">
        <f t="shared" si="39"/>
        <v>7.9487674883411064</v>
      </c>
    </row>
    <row r="241" spans="1:17" ht="15.75" thickBot="1" x14ac:dyDescent="0.3">
      <c r="A241" s="44" t="s">
        <v>965</v>
      </c>
      <c r="B241" s="45" t="s">
        <v>966</v>
      </c>
      <c r="C241" s="44" t="s">
        <v>803</v>
      </c>
      <c r="D241" s="47">
        <v>12982</v>
      </c>
      <c r="E241" s="47">
        <v>58710</v>
      </c>
      <c r="F241" s="47">
        <v>1789</v>
      </c>
      <c r="G241" s="47">
        <v>4039</v>
      </c>
      <c r="H241" s="47">
        <v>239</v>
      </c>
      <c r="I241" s="47">
        <v>2</v>
      </c>
      <c r="J241" s="47">
        <v>15909</v>
      </c>
      <c r="K241" s="47">
        <v>3196</v>
      </c>
      <c r="L241" s="47">
        <v>246</v>
      </c>
      <c r="M241" s="47">
        <f t="shared" si="36"/>
        <v>19351</v>
      </c>
      <c r="N241" s="251">
        <f t="shared" si="37"/>
        <v>83889</v>
      </c>
      <c r="O241" s="53">
        <f t="shared" si="38"/>
        <v>1.4906023725157911</v>
      </c>
      <c r="P241" s="72">
        <f t="shared" si="31"/>
        <v>4.971344939146511</v>
      </c>
      <c r="Q241" s="72">
        <f t="shared" si="39"/>
        <v>6.4619473116623016</v>
      </c>
    </row>
    <row r="242" spans="1:17" ht="15.75" thickBot="1" x14ac:dyDescent="0.3">
      <c r="A242" s="122" t="s">
        <v>975</v>
      </c>
      <c r="B242" s="248" t="s">
        <v>976</v>
      </c>
      <c r="C242" s="122" t="s">
        <v>803</v>
      </c>
      <c r="D242" s="249">
        <v>14854</v>
      </c>
      <c r="E242" s="249">
        <v>82901</v>
      </c>
      <c r="F242" s="249">
        <v>6981</v>
      </c>
      <c r="G242" s="249">
        <v>7343</v>
      </c>
      <c r="H242" s="249">
        <v>73</v>
      </c>
      <c r="I242" s="249">
        <v>3</v>
      </c>
      <c r="J242" s="249" t="s">
        <v>3479</v>
      </c>
      <c r="K242" s="249" t="s">
        <v>3479</v>
      </c>
      <c r="L242" s="249" t="s">
        <v>3479</v>
      </c>
      <c r="M242" s="249" t="s">
        <v>3479</v>
      </c>
      <c r="N242" s="250" t="s">
        <v>3480</v>
      </c>
      <c r="O242" s="250" t="s">
        <v>3480</v>
      </c>
      <c r="P242" s="72">
        <f t="shared" si="31"/>
        <v>6.5453749831695163</v>
      </c>
      <c r="Q242" s="249" t="s">
        <v>3480</v>
      </c>
    </row>
    <row r="243" spans="1:17" ht="15.75" thickBot="1" x14ac:dyDescent="0.3">
      <c r="A243" s="44" t="s">
        <v>981</v>
      </c>
      <c r="B243" s="45" t="s">
        <v>982</v>
      </c>
      <c r="C243" s="44" t="s">
        <v>803</v>
      </c>
      <c r="D243" s="47">
        <v>14074</v>
      </c>
      <c r="E243" s="47">
        <v>45422</v>
      </c>
      <c r="F243" s="47">
        <v>2560</v>
      </c>
      <c r="G243" s="47">
        <v>5143</v>
      </c>
      <c r="H243" s="47">
        <v>32</v>
      </c>
      <c r="I243" s="47">
        <v>3</v>
      </c>
      <c r="J243" s="47">
        <v>8761</v>
      </c>
      <c r="K243" s="47">
        <v>4006</v>
      </c>
      <c r="L243" s="47">
        <v>285</v>
      </c>
      <c r="M243" s="47">
        <f>J243+K243+L243</f>
        <v>13052</v>
      </c>
      <c r="N243" s="251">
        <f>E243+F243+G243+J243+K243+L243</f>
        <v>66177</v>
      </c>
      <c r="O243" s="53">
        <f>(J243+K243+L243)/D243</f>
        <v>0.92738382833593858</v>
      </c>
      <c r="P243" s="72">
        <f t="shared" si="31"/>
        <v>3.7746909194258915</v>
      </c>
      <c r="Q243" s="72">
        <f>N243/D243</f>
        <v>4.7020747477618308</v>
      </c>
    </row>
    <row r="244" spans="1:17" ht="15.75" thickBot="1" x14ac:dyDescent="0.3">
      <c r="A244" s="44" t="s">
        <v>1007</v>
      </c>
      <c r="B244" s="45" t="s">
        <v>1008</v>
      </c>
      <c r="C244" s="44" t="s">
        <v>803</v>
      </c>
      <c r="D244" s="47">
        <v>20542</v>
      </c>
      <c r="E244" s="47">
        <v>32980</v>
      </c>
      <c r="F244" s="47">
        <v>1344</v>
      </c>
      <c r="G244" s="47">
        <v>4890</v>
      </c>
      <c r="H244" s="47">
        <v>52</v>
      </c>
      <c r="I244" s="47">
        <v>3</v>
      </c>
      <c r="J244" s="47">
        <v>13788</v>
      </c>
      <c r="K244" s="47">
        <v>7971</v>
      </c>
      <c r="L244" s="47">
        <v>442</v>
      </c>
      <c r="M244" s="47">
        <f>J244+K244+L244</f>
        <v>22201</v>
      </c>
      <c r="N244" s="251">
        <f>E244+F244+G244+J244+K244+L244</f>
        <v>61415</v>
      </c>
      <c r="O244" s="53">
        <f>(J244+K244+L244)/D244</f>
        <v>1.0807613669555058</v>
      </c>
      <c r="P244" s="72">
        <f t="shared" si="31"/>
        <v>1.9089669944503944</v>
      </c>
      <c r="Q244" s="72">
        <f>N244/D244</f>
        <v>2.9897283614059003</v>
      </c>
    </row>
    <row r="245" spans="1:17" ht="15.75" thickBot="1" x14ac:dyDescent="0.3">
      <c r="A245" s="122" t="s">
        <v>1009</v>
      </c>
      <c r="B245" s="248" t="s">
        <v>1010</v>
      </c>
      <c r="C245" s="122" t="s">
        <v>803</v>
      </c>
      <c r="D245" s="249">
        <v>19591</v>
      </c>
      <c r="E245" s="249">
        <v>82398</v>
      </c>
      <c r="F245" s="249">
        <v>13325</v>
      </c>
      <c r="G245" s="249">
        <v>11333</v>
      </c>
      <c r="H245" s="249">
        <v>143</v>
      </c>
      <c r="I245" s="249">
        <v>12</v>
      </c>
      <c r="J245" s="249" t="s">
        <v>3479</v>
      </c>
      <c r="K245" s="249" t="s">
        <v>3479</v>
      </c>
      <c r="L245" s="249" t="s">
        <v>3479</v>
      </c>
      <c r="M245" s="249" t="s">
        <v>3479</v>
      </c>
      <c r="N245" s="250" t="s">
        <v>3480</v>
      </c>
      <c r="O245" s="250" t="s">
        <v>3480</v>
      </c>
      <c r="P245" s="72">
        <f t="shared" si="31"/>
        <v>5.4645500484916543</v>
      </c>
      <c r="Q245" s="249" t="s">
        <v>3480</v>
      </c>
    </row>
    <row r="246" spans="1:17" ht="15.75" thickBot="1" x14ac:dyDescent="0.3">
      <c r="A246" s="44" t="s">
        <v>1017</v>
      </c>
      <c r="B246" s="45" t="s">
        <v>1018</v>
      </c>
      <c r="C246" s="44" t="s">
        <v>803</v>
      </c>
      <c r="D246" s="47">
        <v>13306</v>
      </c>
      <c r="E246" s="47">
        <v>27665</v>
      </c>
      <c r="F246" s="47">
        <v>835</v>
      </c>
      <c r="G246" s="47">
        <v>2839</v>
      </c>
      <c r="H246" s="47">
        <v>29</v>
      </c>
      <c r="I246" s="47">
        <v>3</v>
      </c>
      <c r="J246" s="47">
        <v>15909</v>
      </c>
      <c r="K246" s="47">
        <v>3196</v>
      </c>
      <c r="L246" s="47">
        <v>246</v>
      </c>
      <c r="M246" s="47">
        <f>J246+K246+L246</f>
        <v>19351</v>
      </c>
      <c r="N246" s="251">
        <f>E246+F246+G246+J246+K246+L246</f>
        <v>50690</v>
      </c>
      <c r="O246" s="53">
        <f>(J246+K246+L246)/D246</f>
        <v>1.4543063279723434</v>
      </c>
      <c r="P246" s="72">
        <f t="shared" si="31"/>
        <v>2.3552532692018637</v>
      </c>
      <c r="Q246" s="72">
        <f>N246/D246</f>
        <v>3.8095595971742071</v>
      </c>
    </row>
    <row r="247" spans="1:17" ht="15.75" thickBot="1" x14ac:dyDescent="0.3">
      <c r="A247" s="122" t="s">
        <v>1027</v>
      </c>
      <c r="B247" s="248" t="s">
        <v>1028</v>
      </c>
      <c r="C247" s="122" t="s">
        <v>803</v>
      </c>
      <c r="D247" s="249">
        <v>12670</v>
      </c>
      <c r="E247" s="249">
        <v>12344</v>
      </c>
      <c r="F247" s="249">
        <v>467</v>
      </c>
      <c r="G247" s="249">
        <v>893</v>
      </c>
      <c r="H247" s="249">
        <v>44</v>
      </c>
      <c r="I247" s="249">
        <v>5</v>
      </c>
      <c r="J247" s="249" t="s">
        <v>3479</v>
      </c>
      <c r="K247" s="249" t="s">
        <v>3479</v>
      </c>
      <c r="L247" s="249" t="s">
        <v>3479</v>
      </c>
      <c r="M247" s="249" t="s">
        <v>3479</v>
      </c>
      <c r="N247" s="250" t="s">
        <v>3480</v>
      </c>
      <c r="O247" s="250" t="s">
        <v>3480</v>
      </c>
      <c r="P247" s="72">
        <f t="shared" si="31"/>
        <v>1.0816101026045777</v>
      </c>
      <c r="Q247" s="249" t="s">
        <v>3480</v>
      </c>
    </row>
    <row r="248" spans="1:17" ht="15.75" thickBot="1" x14ac:dyDescent="0.3">
      <c r="A248" s="44" t="s">
        <v>1043</v>
      </c>
      <c r="B248" s="45" t="s">
        <v>1044</v>
      </c>
      <c r="C248" s="44" t="s">
        <v>803</v>
      </c>
      <c r="D248" s="47">
        <v>25830</v>
      </c>
      <c r="E248" s="47">
        <v>78619</v>
      </c>
      <c r="F248" s="47">
        <v>3005</v>
      </c>
      <c r="G248" s="47">
        <v>3682</v>
      </c>
      <c r="H248" s="47">
        <v>71</v>
      </c>
      <c r="I248" s="47">
        <v>5</v>
      </c>
      <c r="J248" s="47">
        <v>8543</v>
      </c>
      <c r="K248" s="47">
        <v>3883</v>
      </c>
      <c r="L248" s="47">
        <v>285</v>
      </c>
      <c r="M248" s="47">
        <f>J248+K248+L248</f>
        <v>12711</v>
      </c>
      <c r="N248" s="251">
        <f>E248+F248+G248+J248+K248+L248</f>
        <v>98017</v>
      </c>
      <c r="O248" s="53">
        <f>(J248+K248+L248)/D248</f>
        <v>0.49210220673635308</v>
      </c>
      <c r="P248" s="72">
        <f t="shared" si="31"/>
        <v>3.3025938830816881</v>
      </c>
      <c r="Q248" s="72">
        <f>N248/D248</f>
        <v>3.7946960898180411</v>
      </c>
    </row>
    <row r="249" spans="1:17" ht="15.75" thickBot="1" x14ac:dyDescent="0.3">
      <c r="A249" s="44" t="s">
        <v>1053</v>
      </c>
      <c r="B249" s="45" t="s">
        <v>1054</v>
      </c>
      <c r="C249" s="44" t="s">
        <v>803</v>
      </c>
      <c r="D249" s="47">
        <v>14230</v>
      </c>
      <c r="E249" s="47">
        <v>43356</v>
      </c>
      <c r="F249" s="47">
        <v>365</v>
      </c>
      <c r="G249" s="47">
        <v>2470</v>
      </c>
      <c r="H249" s="47">
        <v>33</v>
      </c>
      <c r="I249" s="47">
        <v>2</v>
      </c>
      <c r="J249" s="47">
        <v>8268</v>
      </c>
      <c r="K249" s="47">
        <v>11313</v>
      </c>
      <c r="L249" s="47">
        <v>0</v>
      </c>
      <c r="M249" s="47">
        <f>J249+K249+L249</f>
        <v>19581</v>
      </c>
      <c r="N249" s="251">
        <f>E249+F249+G249+J249+K249+L249</f>
        <v>65772</v>
      </c>
      <c r="O249" s="53">
        <f>(J249+K249+L249)/D249</f>
        <v>1.3760365425158116</v>
      </c>
      <c r="P249" s="72">
        <f t="shared" si="31"/>
        <v>3.2460295151089249</v>
      </c>
      <c r="Q249" s="72">
        <f>N249/D249</f>
        <v>4.6220660576247363</v>
      </c>
    </row>
    <row r="250" spans="1:17" ht="15.75" thickBot="1" x14ac:dyDescent="0.3">
      <c r="A250" s="44" t="s">
        <v>1055</v>
      </c>
      <c r="B250" s="45" t="s">
        <v>1056</v>
      </c>
      <c r="C250" s="44" t="s">
        <v>803</v>
      </c>
      <c r="D250" s="47">
        <v>19900</v>
      </c>
      <c r="E250" s="47">
        <v>53425</v>
      </c>
      <c r="F250" s="47">
        <v>7145</v>
      </c>
      <c r="G250" s="47">
        <v>8511</v>
      </c>
      <c r="H250" s="47">
        <v>109</v>
      </c>
      <c r="I250" s="47">
        <v>7</v>
      </c>
      <c r="J250" s="47">
        <v>27230</v>
      </c>
      <c r="K250" s="47">
        <v>45982</v>
      </c>
      <c r="L250" s="47">
        <v>1685</v>
      </c>
      <c r="M250" s="47">
        <f>J250+K250+L250</f>
        <v>74897</v>
      </c>
      <c r="N250" s="251">
        <f>E250+F250+G250+J250+K250+L250</f>
        <v>143978</v>
      </c>
      <c r="O250" s="53">
        <f>(J250+K250+L250)/D250</f>
        <v>3.7636683417085428</v>
      </c>
      <c r="P250" s="72">
        <f t="shared" si="31"/>
        <v>3.4714070351758792</v>
      </c>
      <c r="Q250" s="72">
        <f>N250/D250</f>
        <v>7.2350753768844225</v>
      </c>
    </row>
    <row r="251" spans="1:17" ht="15.75" thickBot="1" x14ac:dyDescent="0.3">
      <c r="A251" s="122" t="s">
        <v>1059</v>
      </c>
      <c r="B251" s="248" t="s">
        <v>1060</v>
      </c>
      <c r="C251" s="122" t="s">
        <v>803</v>
      </c>
      <c r="D251" s="249">
        <v>17626</v>
      </c>
      <c r="E251" s="249">
        <v>73453</v>
      </c>
      <c r="F251" s="249">
        <v>4438</v>
      </c>
      <c r="G251" s="249">
        <v>5991</v>
      </c>
      <c r="H251" s="249">
        <v>59</v>
      </c>
      <c r="I251" s="249">
        <v>3</v>
      </c>
      <c r="J251" s="249" t="s">
        <v>3479</v>
      </c>
      <c r="K251" s="249" t="s">
        <v>3479</v>
      </c>
      <c r="L251" s="249" t="s">
        <v>3479</v>
      </c>
      <c r="M251" s="249" t="s">
        <v>3479</v>
      </c>
      <c r="N251" s="250" t="s">
        <v>3480</v>
      </c>
      <c r="O251" s="250" t="s">
        <v>3480</v>
      </c>
      <c r="P251" s="72">
        <f t="shared" si="31"/>
        <v>4.7589923975944624</v>
      </c>
      <c r="Q251" s="249" t="s">
        <v>3480</v>
      </c>
    </row>
    <row r="252" spans="1:17" ht="15.75" thickBot="1" x14ac:dyDescent="0.3">
      <c r="A252" s="44" t="s">
        <v>1061</v>
      </c>
      <c r="B252" s="45" t="s">
        <v>1062</v>
      </c>
      <c r="C252" s="44" t="s">
        <v>803</v>
      </c>
      <c r="D252" s="47">
        <v>17823</v>
      </c>
      <c r="E252" s="47">
        <v>59178</v>
      </c>
      <c r="F252" s="47">
        <v>4482</v>
      </c>
      <c r="G252" s="47">
        <v>6346</v>
      </c>
      <c r="H252" s="47">
        <v>65</v>
      </c>
      <c r="I252" s="47">
        <v>1</v>
      </c>
      <c r="J252" s="47">
        <v>16254</v>
      </c>
      <c r="K252" s="47">
        <v>5346</v>
      </c>
      <c r="L252" s="47">
        <v>759</v>
      </c>
      <c r="M252" s="47">
        <f>J252+K252+L252</f>
        <v>22359</v>
      </c>
      <c r="N252" s="251">
        <f>E252+F252+G252+J252+K252+L252</f>
        <v>92365</v>
      </c>
      <c r="O252" s="53">
        <f>(J252+K252+L252)/D252</f>
        <v>1.2545026089883857</v>
      </c>
      <c r="P252" s="72">
        <f t="shared" si="31"/>
        <v>3.9278460416315997</v>
      </c>
      <c r="Q252" s="72">
        <f>N252/D252</f>
        <v>5.1823486506199856</v>
      </c>
    </row>
    <row r="253" spans="1:17" ht="15.75" thickBot="1" x14ac:dyDescent="0.3">
      <c r="A253" s="44" t="s">
        <v>1067</v>
      </c>
      <c r="B253" s="45" t="s">
        <v>1068</v>
      </c>
      <c r="C253" s="44" t="s">
        <v>803</v>
      </c>
      <c r="D253" s="47">
        <v>17068</v>
      </c>
      <c r="E253" s="47">
        <v>34300</v>
      </c>
      <c r="F253" s="47">
        <v>3108</v>
      </c>
      <c r="G253" s="47">
        <v>4720</v>
      </c>
      <c r="H253" s="47">
        <v>36</v>
      </c>
      <c r="I253" s="47">
        <v>4</v>
      </c>
      <c r="J253" s="47">
        <v>5750</v>
      </c>
      <c r="K253" s="47">
        <v>1303</v>
      </c>
      <c r="L253" s="47">
        <v>0</v>
      </c>
      <c r="M253" s="47">
        <f>J253+K253+L253</f>
        <v>7053</v>
      </c>
      <c r="N253" s="251">
        <f>E253+F253+G253+J253+K253+L253</f>
        <v>49181</v>
      </c>
      <c r="O253" s="53">
        <f>(J253+K253+L253)/D253</f>
        <v>0.41322943520037497</v>
      </c>
      <c r="P253" s="72">
        <f t="shared" si="31"/>
        <v>2.4682446683852826</v>
      </c>
      <c r="Q253" s="72">
        <f>N253/D253</f>
        <v>2.8814741035856573</v>
      </c>
    </row>
    <row r="254" spans="1:17" ht="15.75" thickBot="1" x14ac:dyDescent="0.3">
      <c r="A254" s="44" t="s">
        <v>1073</v>
      </c>
      <c r="B254" s="45" t="s">
        <v>1074</v>
      </c>
      <c r="C254" s="44" t="s">
        <v>803</v>
      </c>
      <c r="D254" s="47">
        <v>14480</v>
      </c>
      <c r="E254" s="47">
        <v>52475</v>
      </c>
      <c r="F254" s="47">
        <v>3306</v>
      </c>
      <c r="G254" s="47">
        <v>4936</v>
      </c>
      <c r="H254" s="47">
        <v>53</v>
      </c>
      <c r="I254" s="47">
        <v>8</v>
      </c>
      <c r="J254" s="47">
        <v>12951</v>
      </c>
      <c r="K254" s="47">
        <v>2874</v>
      </c>
      <c r="L254" s="47">
        <v>32</v>
      </c>
      <c r="M254" s="47">
        <f>J254+K254+L254</f>
        <v>15857</v>
      </c>
      <c r="N254" s="251">
        <f>E254+F254+G254+J254+K254+L254</f>
        <v>76574</v>
      </c>
      <c r="O254" s="53">
        <f>(J254+K254+L254)/D254</f>
        <v>1.0950966850828729</v>
      </c>
      <c r="P254" s="72">
        <f t="shared" si="31"/>
        <v>4.193162983425414</v>
      </c>
      <c r="Q254" s="72">
        <f>N254/D254</f>
        <v>5.288259668508287</v>
      </c>
    </row>
    <row r="255" spans="1:17" ht="15.75" thickBot="1" x14ac:dyDescent="0.3">
      <c r="A255" s="44" t="s">
        <v>1077</v>
      </c>
      <c r="B255" s="45" t="s">
        <v>1078</v>
      </c>
      <c r="C255" s="44" t="s">
        <v>803</v>
      </c>
      <c r="D255" s="47">
        <v>13326</v>
      </c>
      <c r="E255" s="47">
        <v>93356</v>
      </c>
      <c r="F255" s="47">
        <v>5620</v>
      </c>
      <c r="G255" s="47">
        <v>5211</v>
      </c>
      <c r="H255" s="47">
        <v>145</v>
      </c>
      <c r="I255" s="47">
        <v>7</v>
      </c>
      <c r="J255" s="47">
        <v>24835</v>
      </c>
      <c r="K255" s="47">
        <v>10789</v>
      </c>
      <c r="L255" s="47">
        <v>0</v>
      </c>
      <c r="M255" s="47">
        <f>J255+K255+L255</f>
        <v>35624</v>
      </c>
      <c r="N255" s="251">
        <f>E255+F255+G255+J255+K255+L255</f>
        <v>139811</v>
      </c>
      <c r="O255" s="53">
        <f>(J255+K255+L255)/D255</f>
        <v>2.6732702986642654</v>
      </c>
      <c r="P255" s="72">
        <f t="shared" si="31"/>
        <v>7.818325078793336</v>
      </c>
      <c r="Q255" s="72">
        <f>N255/D255</f>
        <v>10.491595377457601</v>
      </c>
    </row>
    <row r="256" spans="1:17" ht="15.75" thickBot="1" x14ac:dyDescent="0.3">
      <c r="A256" s="122" t="s">
        <v>1079</v>
      </c>
      <c r="B256" s="248" t="s">
        <v>1080</v>
      </c>
      <c r="C256" s="122" t="s">
        <v>803</v>
      </c>
      <c r="D256" s="249">
        <v>13598</v>
      </c>
      <c r="E256" s="249">
        <v>15877</v>
      </c>
      <c r="F256" s="249">
        <v>391</v>
      </c>
      <c r="G256" s="249">
        <v>903</v>
      </c>
      <c r="H256" s="249">
        <v>0</v>
      </c>
      <c r="I256" s="249">
        <v>4</v>
      </c>
      <c r="J256" s="249" t="s">
        <v>3479</v>
      </c>
      <c r="K256" s="249" t="s">
        <v>3479</v>
      </c>
      <c r="L256" s="249" t="s">
        <v>3479</v>
      </c>
      <c r="M256" s="249" t="s">
        <v>3479</v>
      </c>
      <c r="N256" s="250" t="s">
        <v>3480</v>
      </c>
      <c r="O256" s="250" t="s">
        <v>3480</v>
      </c>
      <c r="P256" s="72">
        <f t="shared" si="31"/>
        <v>1.2627592292984262</v>
      </c>
      <c r="Q256" s="249" t="s">
        <v>3480</v>
      </c>
    </row>
    <row r="257" spans="1:17" ht="15.75" thickBot="1" x14ac:dyDescent="0.3">
      <c r="A257" s="44" t="s">
        <v>1097</v>
      </c>
      <c r="B257" s="45" t="s">
        <v>1098</v>
      </c>
      <c r="C257" s="44" t="s">
        <v>803</v>
      </c>
      <c r="D257" s="47">
        <v>25692</v>
      </c>
      <c r="E257" s="47">
        <v>63812</v>
      </c>
      <c r="F257" s="47">
        <v>3661</v>
      </c>
      <c r="G257" s="47">
        <v>4886</v>
      </c>
      <c r="H257" s="47">
        <v>74</v>
      </c>
      <c r="I257" s="47">
        <v>3</v>
      </c>
      <c r="J257" s="47">
        <v>4960</v>
      </c>
      <c r="K257" s="47">
        <v>3128</v>
      </c>
      <c r="L257" s="47">
        <v>0</v>
      </c>
      <c r="M257" s="47">
        <f t="shared" ref="M257:M263" si="40">J257+K257+L257</f>
        <v>8088</v>
      </c>
      <c r="N257" s="251">
        <f t="shared" ref="N257:N263" si="41">E257+F257+G257+J257+K257+L257</f>
        <v>80447</v>
      </c>
      <c r="O257" s="53">
        <f t="shared" ref="O257:O263" si="42">(J257+K257+L257)/D257</f>
        <v>0.31480616534329753</v>
      </c>
      <c r="P257" s="72">
        <f t="shared" si="31"/>
        <v>2.8164019928382378</v>
      </c>
      <c r="Q257" s="72">
        <f t="shared" ref="Q257:Q263" si="43">N257/D257</f>
        <v>3.131208158181535</v>
      </c>
    </row>
    <row r="258" spans="1:17" ht="15.75" thickBot="1" x14ac:dyDescent="0.3">
      <c r="A258" s="44" t="s">
        <v>1105</v>
      </c>
      <c r="B258" s="45" t="s">
        <v>1106</v>
      </c>
      <c r="C258" s="44" t="s">
        <v>803</v>
      </c>
      <c r="D258" s="47">
        <v>15959</v>
      </c>
      <c r="E258" s="47">
        <v>30453</v>
      </c>
      <c r="F258" s="47">
        <v>1756</v>
      </c>
      <c r="G258" s="47">
        <v>2979</v>
      </c>
      <c r="H258" s="47">
        <v>33</v>
      </c>
      <c r="I258" s="47">
        <v>18</v>
      </c>
      <c r="J258" s="47">
        <v>70823</v>
      </c>
      <c r="K258" s="47">
        <v>24543</v>
      </c>
      <c r="L258" s="47">
        <v>0</v>
      </c>
      <c r="M258" s="47">
        <f t="shared" si="40"/>
        <v>95366</v>
      </c>
      <c r="N258" s="251">
        <f t="shared" si="41"/>
        <v>130554</v>
      </c>
      <c r="O258" s="53">
        <f t="shared" si="42"/>
        <v>5.9756876997305595</v>
      </c>
      <c r="P258" s="72">
        <f t="shared" si="31"/>
        <v>2.2049000563945111</v>
      </c>
      <c r="Q258" s="72">
        <f t="shared" si="43"/>
        <v>8.1805877561250711</v>
      </c>
    </row>
    <row r="259" spans="1:17" ht="15.75" thickBot="1" x14ac:dyDescent="0.3">
      <c r="A259" s="44" t="s">
        <v>1115</v>
      </c>
      <c r="B259" s="45" t="s">
        <v>1116</v>
      </c>
      <c r="C259" s="44" t="s">
        <v>803</v>
      </c>
      <c r="D259" s="47">
        <v>21165</v>
      </c>
      <c r="E259" s="47">
        <v>44029</v>
      </c>
      <c r="F259" s="47">
        <v>4165</v>
      </c>
      <c r="G259" s="47">
        <v>4735</v>
      </c>
      <c r="H259" s="47">
        <v>53</v>
      </c>
      <c r="I259" s="47">
        <v>3</v>
      </c>
      <c r="J259" s="47">
        <v>2143</v>
      </c>
      <c r="K259" s="47">
        <v>358</v>
      </c>
      <c r="L259" s="47">
        <v>0</v>
      </c>
      <c r="M259" s="47">
        <f t="shared" si="40"/>
        <v>2501</v>
      </c>
      <c r="N259" s="251">
        <f t="shared" si="41"/>
        <v>55430</v>
      </c>
      <c r="O259" s="53">
        <f t="shared" si="42"/>
        <v>0.11816678478620364</v>
      </c>
      <c r="P259" s="72">
        <f t="shared" si="31"/>
        <v>2.5007795889440114</v>
      </c>
      <c r="Q259" s="72">
        <f t="shared" si="43"/>
        <v>2.618946373730215</v>
      </c>
    </row>
    <row r="260" spans="1:17" ht="15.75" thickBot="1" x14ac:dyDescent="0.3">
      <c r="A260" s="44" t="s">
        <v>1117</v>
      </c>
      <c r="B260" s="45" t="s">
        <v>1118</v>
      </c>
      <c r="C260" s="44" t="s">
        <v>803</v>
      </c>
      <c r="D260" s="47">
        <v>22423</v>
      </c>
      <c r="E260" s="47">
        <v>73445</v>
      </c>
      <c r="F260" s="47">
        <v>381</v>
      </c>
      <c r="G260" s="47">
        <v>1102</v>
      </c>
      <c r="H260" s="47">
        <v>33</v>
      </c>
      <c r="I260" s="47">
        <v>0</v>
      </c>
      <c r="J260" s="47">
        <v>0</v>
      </c>
      <c r="K260" s="47">
        <v>0</v>
      </c>
      <c r="L260" s="47">
        <v>0</v>
      </c>
      <c r="M260" s="47">
        <f t="shared" si="40"/>
        <v>0</v>
      </c>
      <c r="N260" s="251">
        <f t="shared" si="41"/>
        <v>74928</v>
      </c>
      <c r="O260" s="53">
        <f t="shared" si="42"/>
        <v>0</v>
      </c>
      <c r="P260" s="72">
        <f t="shared" ref="P260:P323" si="44">(E260+F260+G260)/D260</f>
        <v>3.3415689247647506</v>
      </c>
      <c r="Q260" s="72">
        <f t="shared" si="43"/>
        <v>3.3415689247647506</v>
      </c>
    </row>
    <row r="261" spans="1:17" ht="15.75" thickBot="1" x14ac:dyDescent="0.3">
      <c r="A261" s="44" t="s">
        <v>1121</v>
      </c>
      <c r="B261" s="45" t="s">
        <v>1122</v>
      </c>
      <c r="C261" s="44" t="s">
        <v>803</v>
      </c>
      <c r="D261" s="47">
        <v>14236</v>
      </c>
      <c r="E261" s="47">
        <v>41258</v>
      </c>
      <c r="F261" s="47">
        <v>3132</v>
      </c>
      <c r="G261" s="47">
        <v>3250</v>
      </c>
      <c r="H261" s="47">
        <v>24</v>
      </c>
      <c r="I261" s="47">
        <v>4</v>
      </c>
      <c r="J261" s="47">
        <v>11326</v>
      </c>
      <c r="K261" s="47">
        <v>2699</v>
      </c>
      <c r="L261" s="47">
        <v>32</v>
      </c>
      <c r="M261" s="47">
        <f t="shared" si="40"/>
        <v>14057</v>
      </c>
      <c r="N261" s="251">
        <f t="shared" si="41"/>
        <v>61697</v>
      </c>
      <c r="O261" s="53">
        <f t="shared" si="42"/>
        <v>0.9874262433267772</v>
      </c>
      <c r="P261" s="72">
        <f t="shared" si="44"/>
        <v>3.3464456307951673</v>
      </c>
      <c r="Q261" s="72">
        <f t="shared" si="43"/>
        <v>4.333871874121944</v>
      </c>
    </row>
    <row r="262" spans="1:17" ht="15.75" thickBot="1" x14ac:dyDescent="0.3">
      <c r="A262" s="44" t="s">
        <v>1123</v>
      </c>
      <c r="B262" s="45" t="s">
        <v>1124</v>
      </c>
      <c r="C262" s="44" t="s">
        <v>803</v>
      </c>
      <c r="D262" s="47">
        <v>12920</v>
      </c>
      <c r="E262" s="47">
        <v>28857</v>
      </c>
      <c r="F262" s="47">
        <v>788</v>
      </c>
      <c r="G262" s="47">
        <v>1004</v>
      </c>
      <c r="H262" s="47">
        <v>50</v>
      </c>
      <c r="I262" s="47">
        <v>1</v>
      </c>
      <c r="J262" s="47">
        <v>8257</v>
      </c>
      <c r="K262" s="47">
        <v>3395</v>
      </c>
      <c r="L262" s="47">
        <v>0</v>
      </c>
      <c r="M262" s="47">
        <f t="shared" si="40"/>
        <v>11652</v>
      </c>
      <c r="N262" s="251">
        <f t="shared" si="41"/>
        <v>42301</v>
      </c>
      <c r="O262" s="53">
        <f t="shared" si="42"/>
        <v>0.90185758513931891</v>
      </c>
      <c r="P262" s="72">
        <f t="shared" si="44"/>
        <v>2.3722136222910217</v>
      </c>
      <c r="Q262" s="72">
        <f t="shared" si="43"/>
        <v>3.2740712074303406</v>
      </c>
    </row>
    <row r="263" spans="1:17" ht="15.75" thickBot="1" x14ac:dyDescent="0.3">
      <c r="A263" s="44" t="s">
        <v>1125</v>
      </c>
      <c r="B263" s="45" t="s">
        <v>1126</v>
      </c>
      <c r="C263" s="44" t="s">
        <v>803</v>
      </c>
      <c r="D263" s="47">
        <v>24587</v>
      </c>
      <c r="E263" s="47">
        <v>19969</v>
      </c>
      <c r="F263" s="47">
        <v>1881</v>
      </c>
      <c r="G263" s="47">
        <v>3365</v>
      </c>
      <c r="H263" s="47">
        <v>7</v>
      </c>
      <c r="I263" s="47">
        <v>7</v>
      </c>
      <c r="J263" s="47">
        <v>9195</v>
      </c>
      <c r="K263" s="47">
        <v>2551</v>
      </c>
      <c r="L263" s="47">
        <v>111</v>
      </c>
      <c r="M263" s="47">
        <f t="shared" si="40"/>
        <v>11857</v>
      </c>
      <c r="N263" s="251">
        <f t="shared" si="41"/>
        <v>37072</v>
      </c>
      <c r="O263" s="53">
        <f t="shared" si="42"/>
        <v>0.48224671574409239</v>
      </c>
      <c r="P263" s="72">
        <f t="shared" si="44"/>
        <v>1.0255419530646277</v>
      </c>
      <c r="Q263" s="72">
        <f t="shared" si="43"/>
        <v>1.5077886688087201</v>
      </c>
    </row>
    <row r="264" spans="1:17" ht="15.75" thickBot="1" x14ac:dyDescent="0.3">
      <c r="A264" s="122" t="s">
        <v>1131</v>
      </c>
      <c r="B264" s="248" t="s">
        <v>1132</v>
      </c>
      <c r="C264" s="122" t="s">
        <v>803</v>
      </c>
      <c r="D264" s="249">
        <v>13233</v>
      </c>
      <c r="E264" s="249">
        <v>38544</v>
      </c>
      <c r="F264" s="249">
        <v>2848</v>
      </c>
      <c r="G264" s="249">
        <v>4913</v>
      </c>
      <c r="H264" s="249">
        <v>42</v>
      </c>
      <c r="I264" s="249">
        <v>4</v>
      </c>
      <c r="J264" s="249" t="s">
        <v>3479</v>
      </c>
      <c r="K264" s="249" t="s">
        <v>3479</v>
      </c>
      <c r="L264" s="249" t="s">
        <v>3479</v>
      </c>
      <c r="M264" s="249" t="s">
        <v>3479</v>
      </c>
      <c r="N264" s="250" t="s">
        <v>3480</v>
      </c>
      <c r="O264" s="250" t="s">
        <v>3480</v>
      </c>
      <c r="P264" s="72">
        <f t="shared" si="44"/>
        <v>3.4992065291317163</v>
      </c>
      <c r="Q264" s="249" t="s">
        <v>3480</v>
      </c>
    </row>
    <row r="265" spans="1:17" ht="15.75" thickBot="1" x14ac:dyDescent="0.3">
      <c r="A265" s="44" t="s">
        <v>1133</v>
      </c>
      <c r="B265" s="45" t="s">
        <v>1134</v>
      </c>
      <c r="C265" s="44" t="s">
        <v>803</v>
      </c>
      <c r="D265" s="47">
        <v>16422</v>
      </c>
      <c r="E265" s="47">
        <v>73496</v>
      </c>
      <c r="F265" s="47">
        <v>3149</v>
      </c>
      <c r="G265" s="47">
        <v>4330</v>
      </c>
      <c r="H265" s="47">
        <v>55</v>
      </c>
      <c r="I265" s="47">
        <v>2</v>
      </c>
      <c r="J265" s="47">
        <v>16254</v>
      </c>
      <c r="K265" s="47">
        <v>5346</v>
      </c>
      <c r="L265" s="47">
        <v>759</v>
      </c>
      <c r="M265" s="47">
        <f t="shared" ref="M265:M274" si="45">J265+K265+L265</f>
        <v>22359</v>
      </c>
      <c r="N265" s="251">
        <f t="shared" ref="N265:N274" si="46">E265+F265+G265+J265+K265+L265</f>
        <v>103334</v>
      </c>
      <c r="O265" s="53">
        <f t="shared" ref="O265:O274" si="47">(J265+K265+L265)/D265</f>
        <v>1.3615272195834855</v>
      </c>
      <c r="P265" s="72">
        <f t="shared" si="44"/>
        <v>4.9308853976373159</v>
      </c>
      <c r="Q265" s="72">
        <f t="shared" ref="Q265:Q274" si="48">N265/D265</f>
        <v>6.2924126172208013</v>
      </c>
    </row>
    <row r="266" spans="1:17" ht="15.75" thickBot="1" x14ac:dyDescent="0.3">
      <c r="A266" s="44" t="s">
        <v>1141</v>
      </c>
      <c r="B266" s="45" t="s">
        <v>1142</v>
      </c>
      <c r="C266" s="44" t="s">
        <v>803</v>
      </c>
      <c r="D266" s="47">
        <v>19202</v>
      </c>
      <c r="E266" s="47">
        <v>76974</v>
      </c>
      <c r="F266" s="47">
        <v>5384</v>
      </c>
      <c r="G266" s="47">
        <v>7801</v>
      </c>
      <c r="H266" s="47">
        <v>131</v>
      </c>
      <c r="I266" s="47">
        <v>5</v>
      </c>
      <c r="J266" s="47">
        <v>45326</v>
      </c>
      <c r="K266" s="47">
        <v>11253</v>
      </c>
      <c r="L266" s="47">
        <v>815</v>
      </c>
      <c r="M266" s="47">
        <f t="shared" si="45"/>
        <v>57394</v>
      </c>
      <c r="N266" s="251">
        <f t="shared" si="46"/>
        <v>147553</v>
      </c>
      <c r="O266" s="53">
        <f t="shared" si="47"/>
        <v>2.9889594833871471</v>
      </c>
      <c r="P266" s="72">
        <f t="shared" si="44"/>
        <v>4.6952921570669721</v>
      </c>
      <c r="Q266" s="72">
        <f t="shared" si="48"/>
        <v>7.6842516404541197</v>
      </c>
    </row>
    <row r="267" spans="1:17" ht="15.75" thickBot="1" x14ac:dyDescent="0.3">
      <c r="A267" s="44" t="s">
        <v>1145</v>
      </c>
      <c r="B267" s="45" t="s">
        <v>1146</v>
      </c>
      <c r="C267" s="44" t="s">
        <v>803</v>
      </c>
      <c r="D267" s="47">
        <v>23088</v>
      </c>
      <c r="E267" s="47">
        <v>35366</v>
      </c>
      <c r="F267" s="47">
        <v>2586</v>
      </c>
      <c r="G267" s="47">
        <v>2332</v>
      </c>
      <c r="H267" s="47">
        <v>38</v>
      </c>
      <c r="I267" s="47">
        <v>0</v>
      </c>
      <c r="J267" s="47">
        <v>12000</v>
      </c>
      <c r="K267" s="47">
        <v>1700</v>
      </c>
      <c r="L267" s="47">
        <v>0</v>
      </c>
      <c r="M267" s="47">
        <f t="shared" si="45"/>
        <v>13700</v>
      </c>
      <c r="N267" s="251">
        <f t="shared" si="46"/>
        <v>53984</v>
      </c>
      <c r="O267" s="53">
        <f t="shared" si="47"/>
        <v>0.59338184338184341</v>
      </c>
      <c r="P267" s="72">
        <f t="shared" si="44"/>
        <v>1.7448024948024947</v>
      </c>
      <c r="Q267" s="72">
        <f t="shared" si="48"/>
        <v>2.3381843381843384</v>
      </c>
    </row>
    <row r="268" spans="1:17" ht="15.75" thickBot="1" x14ac:dyDescent="0.3">
      <c r="A268" s="44" t="s">
        <v>1153</v>
      </c>
      <c r="B268" s="45" t="s">
        <v>1154</v>
      </c>
      <c r="C268" s="44" t="s">
        <v>803</v>
      </c>
      <c r="D268" s="47">
        <v>15322</v>
      </c>
      <c r="E268" s="47">
        <v>30446</v>
      </c>
      <c r="F268" s="47">
        <v>2317</v>
      </c>
      <c r="G268" s="47">
        <v>4199</v>
      </c>
      <c r="H268" s="47">
        <v>86</v>
      </c>
      <c r="I268" s="47">
        <v>3</v>
      </c>
      <c r="J268" s="47">
        <v>14150</v>
      </c>
      <c r="K268" s="47">
        <v>3822</v>
      </c>
      <c r="L268" s="47">
        <v>80</v>
      </c>
      <c r="M268" s="47">
        <f t="shared" si="45"/>
        <v>18052</v>
      </c>
      <c r="N268" s="251">
        <f t="shared" si="46"/>
        <v>55014</v>
      </c>
      <c r="O268" s="53">
        <f t="shared" si="47"/>
        <v>1.1781751729539225</v>
      </c>
      <c r="P268" s="72">
        <f t="shared" si="44"/>
        <v>2.4123482574076491</v>
      </c>
      <c r="Q268" s="72">
        <f t="shared" si="48"/>
        <v>3.5905234303615714</v>
      </c>
    </row>
    <row r="269" spans="1:17" ht="15.75" thickBot="1" x14ac:dyDescent="0.3">
      <c r="A269" s="44" t="s">
        <v>1155</v>
      </c>
      <c r="B269" s="45" t="s">
        <v>1156</v>
      </c>
      <c r="C269" s="44" t="s">
        <v>803</v>
      </c>
      <c r="D269" s="47">
        <v>22115</v>
      </c>
      <c r="E269" s="47">
        <v>66018</v>
      </c>
      <c r="F269" s="47">
        <v>5964</v>
      </c>
      <c r="G269" s="47">
        <v>5572</v>
      </c>
      <c r="H269" s="47">
        <v>105</v>
      </c>
      <c r="I269" s="47">
        <v>1</v>
      </c>
      <c r="J269" s="47">
        <v>17262</v>
      </c>
      <c r="K269" s="47">
        <v>6797</v>
      </c>
      <c r="L269" s="47">
        <v>249</v>
      </c>
      <c r="M269" s="47">
        <f t="shared" si="45"/>
        <v>24308</v>
      </c>
      <c r="N269" s="251">
        <f t="shared" si="46"/>
        <v>101862</v>
      </c>
      <c r="O269" s="53">
        <f t="shared" si="47"/>
        <v>1.0991634637124124</v>
      </c>
      <c r="P269" s="72">
        <f t="shared" si="44"/>
        <v>3.5068505539226771</v>
      </c>
      <c r="Q269" s="72">
        <f t="shared" si="48"/>
        <v>4.606014017635089</v>
      </c>
    </row>
    <row r="270" spans="1:17" ht="15.75" thickBot="1" x14ac:dyDescent="0.3">
      <c r="A270" s="44" t="s">
        <v>1169</v>
      </c>
      <c r="B270" s="45" t="s">
        <v>1170</v>
      </c>
      <c r="C270" s="44" t="s">
        <v>803</v>
      </c>
      <c r="D270" s="47">
        <v>21871</v>
      </c>
      <c r="E270" s="47">
        <v>31997</v>
      </c>
      <c r="F270" s="47">
        <v>1684</v>
      </c>
      <c r="G270" s="47">
        <v>1735</v>
      </c>
      <c r="H270" s="47">
        <v>43</v>
      </c>
      <c r="I270" s="47">
        <v>4</v>
      </c>
      <c r="J270" s="47">
        <v>9025</v>
      </c>
      <c r="K270" s="47">
        <v>3582</v>
      </c>
      <c r="L270" s="47">
        <v>1</v>
      </c>
      <c r="M270" s="47">
        <f t="shared" si="45"/>
        <v>12608</v>
      </c>
      <c r="N270" s="251">
        <f t="shared" si="46"/>
        <v>48024</v>
      </c>
      <c r="O270" s="53">
        <f t="shared" si="47"/>
        <v>0.57647112614878149</v>
      </c>
      <c r="P270" s="72">
        <f t="shared" si="44"/>
        <v>1.6193132458506698</v>
      </c>
      <c r="Q270" s="72">
        <f t="shared" si="48"/>
        <v>2.1957843719994514</v>
      </c>
    </row>
    <row r="271" spans="1:17" ht="15.75" thickBot="1" x14ac:dyDescent="0.3">
      <c r="A271" s="44" t="s">
        <v>1175</v>
      </c>
      <c r="B271" s="45" t="s">
        <v>1176</v>
      </c>
      <c r="C271" s="44" t="s">
        <v>803</v>
      </c>
      <c r="D271" s="47">
        <v>13600</v>
      </c>
      <c r="E271" s="47">
        <v>42780</v>
      </c>
      <c r="F271" s="47">
        <v>1611</v>
      </c>
      <c r="G271" s="47">
        <v>1492</v>
      </c>
      <c r="H271" s="47">
        <v>0</v>
      </c>
      <c r="I271" s="47">
        <v>0</v>
      </c>
      <c r="J271" s="47">
        <v>8012</v>
      </c>
      <c r="K271" s="47">
        <v>3347</v>
      </c>
      <c r="L271" s="47">
        <v>285</v>
      </c>
      <c r="M271" s="47">
        <f t="shared" si="45"/>
        <v>11644</v>
      </c>
      <c r="N271" s="251">
        <f t="shared" si="46"/>
        <v>57527</v>
      </c>
      <c r="O271" s="53">
        <f t="shared" si="47"/>
        <v>0.85617647058823532</v>
      </c>
      <c r="P271" s="72">
        <f t="shared" si="44"/>
        <v>3.3737499999999998</v>
      </c>
      <c r="Q271" s="72">
        <f t="shared" si="48"/>
        <v>4.2299264705882349</v>
      </c>
    </row>
    <row r="272" spans="1:17" ht="15.75" thickBot="1" x14ac:dyDescent="0.3">
      <c r="A272" s="44" t="s">
        <v>1189</v>
      </c>
      <c r="B272" s="45" t="s">
        <v>1190</v>
      </c>
      <c r="C272" s="44" t="s">
        <v>803</v>
      </c>
      <c r="D272" s="47">
        <v>17153</v>
      </c>
      <c r="E272" s="47">
        <v>32884</v>
      </c>
      <c r="F272" s="47">
        <v>1447</v>
      </c>
      <c r="G272" s="47">
        <v>1406</v>
      </c>
      <c r="H272" s="47">
        <v>19</v>
      </c>
      <c r="I272" s="47">
        <v>1</v>
      </c>
      <c r="J272" s="47">
        <v>26686</v>
      </c>
      <c r="K272" s="47">
        <v>3241</v>
      </c>
      <c r="L272" s="47">
        <v>134</v>
      </c>
      <c r="M272" s="47">
        <f t="shared" si="45"/>
        <v>30061</v>
      </c>
      <c r="N272" s="251">
        <f t="shared" si="46"/>
        <v>65798</v>
      </c>
      <c r="O272" s="53">
        <f t="shared" si="47"/>
        <v>1.752521424823646</v>
      </c>
      <c r="P272" s="72">
        <f t="shared" si="44"/>
        <v>2.0834256398297675</v>
      </c>
      <c r="Q272" s="72">
        <f t="shared" si="48"/>
        <v>3.8359470646534133</v>
      </c>
    </row>
    <row r="273" spans="1:17" ht="15.75" thickBot="1" x14ac:dyDescent="0.3">
      <c r="A273" s="44" t="s">
        <v>1207</v>
      </c>
      <c r="B273" s="45" t="s">
        <v>1208</v>
      </c>
      <c r="C273" s="44" t="s">
        <v>803</v>
      </c>
      <c r="D273" s="47">
        <v>25369</v>
      </c>
      <c r="E273" s="47">
        <v>33911</v>
      </c>
      <c r="F273" s="47">
        <v>697</v>
      </c>
      <c r="G273" s="47">
        <v>1010</v>
      </c>
      <c r="H273" s="47">
        <v>19</v>
      </c>
      <c r="I273" s="47">
        <v>0</v>
      </c>
      <c r="J273" s="47">
        <v>12967</v>
      </c>
      <c r="K273" s="47">
        <v>3892</v>
      </c>
      <c r="L273" s="47">
        <v>592</v>
      </c>
      <c r="M273" s="47">
        <f t="shared" si="45"/>
        <v>17451</v>
      </c>
      <c r="N273" s="251">
        <f t="shared" si="46"/>
        <v>53069</v>
      </c>
      <c r="O273" s="53">
        <f t="shared" si="47"/>
        <v>0.68788679096535144</v>
      </c>
      <c r="P273" s="72">
        <f t="shared" si="44"/>
        <v>1.4039970042177461</v>
      </c>
      <c r="Q273" s="72">
        <f t="shared" si="48"/>
        <v>2.0918837951830973</v>
      </c>
    </row>
    <row r="274" spans="1:17" ht="15.75" thickBot="1" x14ac:dyDescent="0.3">
      <c r="A274" s="44" t="s">
        <v>1223</v>
      </c>
      <c r="B274" s="45" t="s">
        <v>1224</v>
      </c>
      <c r="C274" s="44" t="s">
        <v>803</v>
      </c>
      <c r="D274" s="47">
        <v>22258</v>
      </c>
      <c r="E274" s="47">
        <v>85170</v>
      </c>
      <c r="F274" s="47">
        <v>8639</v>
      </c>
      <c r="G274" s="47">
        <v>5138</v>
      </c>
      <c r="H274" s="47">
        <v>128</v>
      </c>
      <c r="I274" s="47">
        <v>12</v>
      </c>
      <c r="J274" s="47">
        <v>17074</v>
      </c>
      <c r="K274" s="47">
        <v>3754</v>
      </c>
      <c r="L274" s="47">
        <v>668</v>
      </c>
      <c r="M274" s="47">
        <f t="shared" si="45"/>
        <v>21496</v>
      </c>
      <c r="N274" s="251">
        <f t="shared" si="46"/>
        <v>120443</v>
      </c>
      <c r="O274" s="53">
        <f t="shared" si="47"/>
        <v>0.96576511815976274</v>
      </c>
      <c r="P274" s="72">
        <f t="shared" si="44"/>
        <v>4.4454578129211972</v>
      </c>
      <c r="Q274" s="72">
        <f t="shared" si="48"/>
        <v>5.4112229310809594</v>
      </c>
    </row>
    <row r="275" spans="1:17" ht="15.75" thickBot="1" x14ac:dyDescent="0.3">
      <c r="A275" s="122" t="s">
        <v>1235</v>
      </c>
      <c r="B275" s="248" t="s">
        <v>1236</v>
      </c>
      <c r="C275" s="122" t="s">
        <v>803</v>
      </c>
      <c r="D275" s="249">
        <v>14545</v>
      </c>
      <c r="E275" s="249">
        <v>44025</v>
      </c>
      <c r="F275" s="249">
        <v>1757</v>
      </c>
      <c r="G275" s="249">
        <v>5474</v>
      </c>
      <c r="H275" s="249">
        <v>175</v>
      </c>
      <c r="I275" s="249">
        <v>13</v>
      </c>
      <c r="J275" s="249" t="s">
        <v>3479</v>
      </c>
      <c r="K275" s="249" t="s">
        <v>3479</v>
      </c>
      <c r="L275" s="249" t="s">
        <v>3479</v>
      </c>
      <c r="M275" s="249" t="s">
        <v>3479</v>
      </c>
      <c r="N275" s="250" t="s">
        <v>3480</v>
      </c>
      <c r="O275" s="250" t="s">
        <v>3480</v>
      </c>
      <c r="P275" s="72">
        <f t="shared" si="44"/>
        <v>3.5239601237538674</v>
      </c>
      <c r="Q275" s="249" t="s">
        <v>3480</v>
      </c>
    </row>
    <row r="276" spans="1:17" ht="15.75" thickBot="1" x14ac:dyDescent="0.3">
      <c r="A276" s="44" t="s">
        <v>1241</v>
      </c>
      <c r="B276" s="45" t="s">
        <v>1242</v>
      </c>
      <c r="C276" s="44" t="s">
        <v>803</v>
      </c>
      <c r="D276" s="47">
        <v>13452</v>
      </c>
      <c r="E276" s="47">
        <v>41125</v>
      </c>
      <c r="F276" s="47">
        <v>1808</v>
      </c>
      <c r="G276" s="47">
        <v>1924</v>
      </c>
      <c r="H276" s="47">
        <v>66</v>
      </c>
      <c r="I276" s="47">
        <v>10</v>
      </c>
      <c r="J276" s="47">
        <v>12157</v>
      </c>
      <c r="K276" s="47">
        <v>3980</v>
      </c>
      <c r="L276" s="47">
        <v>32</v>
      </c>
      <c r="M276" s="47">
        <f t="shared" ref="M276:M299" si="49">J276+K276+L276</f>
        <v>16169</v>
      </c>
      <c r="N276" s="251">
        <f t="shared" ref="N276:N299" si="50">E276+F276+G276+J276+K276+L276</f>
        <v>61026</v>
      </c>
      <c r="O276" s="53">
        <f t="shared" ref="O276:O299" si="51">(J276+K276+L276)/D276</f>
        <v>1.2019774011299436</v>
      </c>
      <c r="P276" s="72">
        <f t="shared" si="44"/>
        <v>3.3345970859351768</v>
      </c>
      <c r="Q276" s="72">
        <f t="shared" ref="Q276:Q299" si="52">N276/D276</f>
        <v>4.5365744870651206</v>
      </c>
    </row>
    <row r="277" spans="1:17" ht="15.75" thickBot="1" x14ac:dyDescent="0.3">
      <c r="A277" s="44" t="s">
        <v>1255</v>
      </c>
      <c r="B277" s="45" t="s">
        <v>1256</v>
      </c>
      <c r="C277" s="44" t="s">
        <v>803</v>
      </c>
      <c r="D277" s="47">
        <v>22995</v>
      </c>
      <c r="E277" s="47">
        <v>85161</v>
      </c>
      <c r="F277" s="47">
        <v>7688</v>
      </c>
      <c r="G277" s="47">
        <v>12512</v>
      </c>
      <c r="H277" s="47">
        <v>235</v>
      </c>
      <c r="I277" s="47">
        <v>9</v>
      </c>
      <c r="J277" s="47">
        <v>24908</v>
      </c>
      <c r="K277" s="47">
        <v>11053</v>
      </c>
      <c r="L277" s="47">
        <v>2319</v>
      </c>
      <c r="M277" s="47">
        <f t="shared" si="49"/>
        <v>38280</v>
      </c>
      <c r="N277" s="251">
        <f t="shared" si="50"/>
        <v>143641</v>
      </c>
      <c r="O277" s="53">
        <f t="shared" si="51"/>
        <v>1.66470971950424</v>
      </c>
      <c r="P277" s="72">
        <f t="shared" si="44"/>
        <v>4.581909110676234</v>
      </c>
      <c r="Q277" s="72">
        <f t="shared" si="52"/>
        <v>6.2466188301804744</v>
      </c>
    </row>
    <row r="278" spans="1:17" ht="15.75" thickBot="1" x14ac:dyDescent="0.3">
      <c r="A278" s="44" t="s">
        <v>1265</v>
      </c>
      <c r="B278" s="45" t="s">
        <v>1266</v>
      </c>
      <c r="C278" s="44" t="s">
        <v>803</v>
      </c>
      <c r="D278" s="47">
        <v>14948</v>
      </c>
      <c r="E278" s="47">
        <v>46424</v>
      </c>
      <c r="F278" s="47">
        <v>3868</v>
      </c>
      <c r="G278" s="47">
        <v>7113</v>
      </c>
      <c r="H278" s="47">
        <v>97</v>
      </c>
      <c r="I278" s="47">
        <v>3</v>
      </c>
      <c r="J278" s="47">
        <v>9844</v>
      </c>
      <c r="K278" s="47">
        <v>3975</v>
      </c>
      <c r="L278" s="47">
        <v>0</v>
      </c>
      <c r="M278" s="47">
        <f t="shared" si="49"/>
        <v>13819</v>
      </c>
      <c r="N278" s="251">
        <f t="shared" si="50"/>
        <v>71224</v>
      </c>
      <c r="O278" s="53">
        <f t="shared" si="51"/>
        <v>0.92447150120417443</v>
      </c>
      <c r="P278" s="72">
        <f t="shared" si="44"/>
        <v>3.8403130853625904</v>
      </c>
      <c r="Q278" s="72">
        <f t="shared" si="52"/>
        <v>4.7647845865667646</v>
      </c>
    </row>
    <row r="279" spans="1:17" ht="15.75" thickBot="1" x14ac:dyDescent="0.3">
      <c r="A279" s="44" t="s">
        <v>1269</v>
      </c>
      <c r="B279" s="45" t="s">
        <v>1270</v>
      </c>
      <c r="C279" s="44" t="s">
        <v>803</v>
      </c>
      <c r="D279" s="47">
        <v>18393</v>
      </c>
      <c r="E279" s="47">
        <v>89167</v>
      </c>
      <c r="F279" s="47">
        <v>5281</v>
      </c>
      <c r="G279" s="47">
        <v>3093</v>
      </c>
      <c r="H279" s="47">
        <v>109</v>
      </c>
      <c r="I279" s="47">
        <v>4</v>
      </c>
      <c r="J279" s="47">
        <v>1678</v>
      </c>
      <c r="K279" s="47">
        <v>496</v>
      </c>
      <c r="L279" s="47">
        <v>1</v>
      </c>
      <c r="M279" s="47">
        <f t="shared" si="49"/>
        <v>2175</v>
      </c>
      <c r="N279" s="251">
        <f t="shared" si="50"/>
        <v>99716</v>
      </c>
      <c r="O279" s="53">
        <f t="shared" si="51"/>
        <v>0.11825150872614582</v>
      </c>
      <c r="P279" s="72">
        <f t="shared" si="44"/>
        <v>5.3031588104170062</v>
      </c>
      <c r="Q279" s="72">
        <f t="shared" si="52"/>
        <v>5.4214103191431526</v>
      </c>
    </row>
    <row r="280" spans="1:17" ht="15.75" thickBot="1" x14ac:dyDescent="0.3">
      <c r="A280" s="44" t="s">
        <v>1281</v>
      </c>
      <c r="B280" s="45" t="s">
        <v>1282</v>
      </c>
      <c r="C280" s="44" t="s">
        <v>803</v>
      </c>
      <c r="D280" s="47">
        <v>14384</v>
      </c>
      <c r="E280" s="47">
        <v>48124</v>
      </c>
      <c r="F280" s="47">
        <v>1679</v>
      </c>
      <c r="G280" s="47">
        <v>2299</v>
      </c>
      <c r="H280" s="47">
        <v>58</v>
      </c>
      <c r="I280" s="47">
        <v>1</v>
      </c>
      <c r="J280" s="47">
        <v>8761</v>
      </c>
      <c r="K280" s="47">
        <v>4006</v>
      </c>
      <c r="L280" s="47">
        <v>285</v>
      </c>
      <c r="M280" s="47">
        <f t="shared" si="49"/>
        <v>13052</v>
      </c>
      <c r="N280" s="251">
        <f t="shared" si="50"/>
        <v>65154</v>
      </c>
      <c r="O280" s="53">
        <f t="shared" si="51"/>
        <v>0.90739710789766403</v>
      </c>
      <c r="P280" s="72">
        <f t="shared" si="44"/>
        <v>3.6222191323692994</v>
      </c>
      <c r="Q280" s="72">
        <f t="shared" si="52"/>
        <v>4.5296162402669635</v>
      </c>
    </row>
    <row r="281" spans="1:17" ht="15.75" thickBot="1" x14ac:dyDescent="0.3">
      <c r="A281" s="44" t="s">
        <v>1285</v>
      </c>
      <c r="B281" s="45" t="s">
        <v>1286</v>
      </c>
      <c r="C281" s="44" t="s">
        <v>803</v>
      </c>
      <c r="D281" s="47">
        <v>17511</v>
      </c>
      <c r="E281" s="47">
        <v>32860</v>
      </c>
      <c r="F281" s="47">
        <v>2973</v>
      </c>
      <c r="G281" s="47">
        <v>5271</v>
      </c>
      <c r="H281" s="47">
        <v>78</v>
      </c>
      <c r="I281" s="47">
        <v>0</v>
      </c>
      <c r="J281" s="47">
        <v>27472</v>
      </c>
      <c r="K281" s="47">
        <v>7824</v>
      </c>
      <c r="L281" s="47">
        <v>0</v>
      </c>
      <c r="M281" s="47">
        <f t="shared" si="49"/>
        <v>35296</v>
      </c>
      <c r="N281" s="251">
        <f t="shared" si="50"/>
        <v>76400</v>
      </c>
      <c r="O281" s="53">
        <f t="shared" si="51"/>
        <v>2.0156473074067729</v>
      </c>
      <c r="P281" s="72">
        <f t="shared" si="44"/>
        <v>2.3473245388612871</v>
      </c>
      <c r="Q281" s="72">
        <f t="shared" si="52"/>
        <v>4.36297184626806</v>
      </c>
    </row>
    <row r="282" spans="1:17" ht="15.75" thickBot="1" x14ac:dyDescent="0.3">
      <c r="A282" s="44" t="s">
        <v>1287</v>
      </c>
      <c r="B282" s="45" t="s">
        <v>1288</v>
      </c>
      <c r="C282" s="44" t="s">
        <v>803</v>
      </c>
      <c r="D282" s="47">
        <v>15736</v>
      </c>
      <c r="E282" s="47">
        <v>68401</v>
      </c>
      <c r="F282" s="47">
        <v>3496</v>
      </c>
      <c r="G282" s="47">
        <v>6716</v>
      </c>
      <c r="H282" s="47">
        <v>55</v>
      </c>
      <c r="I282" s="47">
        <v>2</v>
      </c>
      <c r="J282" s="47">
        <v>15927</v>
      </c>
      <c r="K282" s="47">
        <v>5225</v>
      </c>
      <c r="L282" s="47">
        <v>759</v>
      </c>
      <c r="M282" s="47">
        <f t="shared" si="49"/>
        <v>21911</v>
      </c>
      <c r="N282" s="251">
        <f t="shared" si="50"/>
        <v>100524</v>
      </c>
      <c r="O282" s="53">
        <f t="shared" si="51"/>
        <v>1.3924123029994917</v>
      </c>
      <c r="P282" s="72">
        <f t="shared" si="44"/>
        <v>4.995742247076767</v>
      </c>
      <c r="Q282" s="72">
        <f t="shared" si="52"/>
        <v>6.3881545500762584</v>
      </c>
    </row>
    <row r="283" spans="1:17" ht="15.75" thickBot="1" x14ac:dyDescent="0.3">
      <c r="A283" s="44" t="s">
        <v>1291</v>
      </c>
      <c r="B283" s="45" t="s">
        <v>1292</v>
      </c>
      <c r="C283" s="44" t="s">
        <v>803</v>
      </c>
      <c r="D283" s="47">
        <v>13097</v>
      </c>
      <c r="E283" s="47">
        <v>34500</v>
      </c>
      <c r="F283" s="47">
        <v>712</v>
      </c>
      <c r="G283" s="47">
        <v>2200</v>
      </c>
      <c r="H283" s="47">
        <v>52</v>
      </c>
      <c r="I283" s="47">
        <v>1</v>
      </c>
      <c r="J283" s="47">
        <v>24406</v>
      </c>
      <c r="K283" s="47">
        <v>4355</v>
      </c>
      <c r="L283" s="47">
        <v>137</v>
      </c>
      <c r="M283" s="47">
        <f t="shared" si="49"/>
        <v>28898</v>
      </c>
      <c r="N283" s="251">
        <f t="shared" si="50"/>
        <v>66310</v>
      </c>
      <c r="O283" s="53">
        <f t="shared" si="51"/>
        <v>2.2064594945407343</v>
      </c>
      <c r="P283" s="72">
        <f t="shared" si="44"/>
        <v>2.8565320302359321</v>
      </c>
      <c r="Q283" s="72">
        <f t="shared" si="52"/>
        <v>5.0629915247766668</v>
      </c>
    </row>
    <row r="284" spans="1:17" ht="15.75" thickBot="1" x14ac:dyDescent="0.3">
      <c r="A284" s="44" t="s">
        <v>1301</v>
      </c>
      <c r="B284" s="45" t="s">
        <v>1302</v>
      </c>
      <c r="C284" s="44" t="s">
        <v>803</v>
      </c>
      <c r="D284" s="47">
        <v>22857</v>
      </c>
      <c r="E284" s="47">
        <v>101334</v>
      </c>
      <c r="F284" s="47">
        <v>4908</v>
      </c>
      <c r="G284" s="47">
        <v>8768</v>
      </c>
      <c r="H284" s="47">
        <v>83</v>
      </c>
      <c r="I284" s="47">
        <v>17</v>
      </c>
      <c r="J284" s="47">
        <v>11310</v>
      </c>
      <c r="K284" s="47">
        <v>2669</v>
      </c>
      <c r="L284" s="47">
        <v>32</v>
      </c>
      <c r="M284" s="47">
        <f t="shared" si="49"/>
        <v>14011</v>
      </c>
      <c r="N284" s="251">
        <f t="shared" si="50"/>
        <v>129021</v>
      </c>
      <c r="O284" s="53">
        <f t="shared" si="51"/>
        <v>0.61298508115675721</v>
      </c>
      <c r="P284" s="72">
        <f t="shared" si="44"/>
        <v>5.0317189482434266</v>
      </c>
      <c r="Q284" s="72">
        <f t="shared" si="52"/>
        <v>5.6447040294001836</v>
      </c>
    </row>
    <row r="285" spans="1:17" ht="15.75" thickBot="1" x14ac:dyDescent="0.3">
      <c r="A285" s="44" t="s">
        <v>1315</v>
      </c>
      <c r="B285" s="45" t="s">
        <v>1316</v>
      </c>
      <c r="C285" s="44" t="s">
        <v>803</v>
      </c>
      <c r="D285" s="47">
        <v>25686</v>
      </c>
      <c r="E285" s="47">
        <v>72796</v>
      </c>
      <c r="F285" s="47">
        <v>2803</v>
      </c>
      <c r="G285" s="47">
        <v>4689</v>
      </c>
      <c r="H285" s="47">
        <v>98</v>
      </c>
      <c r="I285" s="47">
        <v>0</v>
      </c>
      <c r="J285" s="47">
        <v>12476</v>
      </c>
      <c r="K285" s="47">
        <v>2487</v>
      </c>
      <c r="L285" s="47">
        <v>245</v>
      </c>
      <c r="M285" s="47">
        <f t="shared" si="49"/>
        <v>15208</v>
      </c>
      <c r="N285" s="251">
        <f t="shared" si="50"/>
        <v>95496</v>
      </c>
      <c r="O285" s="53">
        <f t="shared" si="51"/>
        <v>0.59207350307560536</v>
      </c>
      <c r="P285" s="72">
        <f t="shared" si="44"/>
        <v>3.1257494354901505</v>
      </c>
      <c r="Q285" s="72">
        <f t="shared" si="52"/>
        <v>3.7178229385657557</v>
      </c>
    </row>
    <row r="286" spans="1:17" ht="15.75" thickBot="1" x14ac:dyDescent="0.3">
      <c r="A286" s="44" t="s">
        <v>1331</v>
      </c>
      <c r="B286" s="45" t="s">
        <v>1332</v>
      </c>
      <c r="C286" s="44" t="s">
        <v>803</v>
      </c>
      <c r="D286" s="47">
        <v>12561</v>
      </c>
      <c r="E286" s="47">
        <v>78716</v>
      </c>
      <c r="F286" s="47">
        <v>2762</v>
      </c>
      <c r="G286" s="47">
        <v>3810</v>
      </c>
      <c r="H286" s="47">
        <v>88</v>
      </c>
      <c r="I286" s="47">
        <v>0</v>
      </c>
      <c r="J286" s="47">
        <v>12928</v>
      </c>
      <c r="K286" s="47">
        <v>5047</v>
      </c>
      <c r="L286" s="47">
        <v>0</v>
      </c>
      <c r="M286" s="47">
        <f t="shared" si="49"/>
        <v>17975</v>
      </c>
      <c r="N286" s="251">
        <f t="shared" si="50"/>
        <v>103263</v>
      </c>
      <c r="O286" s="53">
        <f t="shared" si="51"/>
        <v>1.4310166388026431</v>
      </c>
      <c r="P286" s="72">
        <f t="shared" si="44"/>
        <v>6.7899052623198788</v>
      </c>
      <c r="Q286" s="72">
        <f t="shared" si="52"/>
        <v>8.220921901122523</v>
      </c>
    </row>
    <row r="287" spans="1:17" ht="15.75" thickBot="1" x14ac:dyDescent="0.3">
      <c r="A287" s="44" t="s">
        <v>1341</v>
      </c>
      <c r="B287" s="45" t="s">
        <v>1342</v>
      </c>
      <c r="C287" s="44" t="s">
        <v>803</v>
      </c>
      <c r="D287" s="47">
        <v>24164</v>
      </c>
      <c r="E287" s="47">
        <v>80284</v>
      </c>
      <c r="F287" s="47">
        <v>5168</v>
      </c>
      <c r="G287" s="47">
        <v>7100</v>
      </c>
      <c r="H287" s="47">
        <v>354</v>
      </c>
      <c r="I287" s="47">
        <v>49</v>
      </c>
      <c r="J287" s="47">
        <v>29425</v>
      </c>
      <c r="K287" s="47">
        <v>14612</v>
      </c>
      <c r="L287" s="47">
        <v>137</v>
      </c>
      <c r="M287" s="47">
        <f t="shared" si="49"/>
        <v>44174</v>
      </c>
      <c r="N287" s="251">
        <f t="shared" si="50"/>
        <v>136726</v>
      </c>
      <c r="O287" s="53">
        <f t="shared" si="51"/>
        <v>1.8280913756000663</v>
      </c>
      <c r="P287" s="72">
        <f t="shared" si="44"/>
        <v>3.8301605694421452</v>
      </c>
      <c r="Q287" s="72">
        <f t="shared" si="52"/>
        <v>5.6582519450422115</v>
      </c>
    </row>
    <row r="288" spans="1:17" ht="15.75" thickBot="1" x14ac:dyDescent="0.3">
      <c r="A288" s="44" t="s">
        <v>1343</v>
      </c>
      <c r="B288" s="45" t="s">
        <v>1344</v>
      </c>
      <c r="C288" s="44" t="s">
        <v>803</v>
      </c>
      <c r="D288" s="47">
        <v>14230</v>
      </c>
      <c r="E288" s="47">
        <v>35101</v>
      </c>
      <c r="F288" s="47">
        <v>3740</v>
      </c>
      <c r="G288" s="47">
        <v>7314</v>
      </c>
      <c r="H288" s="47">
        <v>62</v>
      </c>
      <c r="I288" s="47">
        <v>2</v>
      </c>
      <c r="J288" s="47">
        <v>13153</v>
      </c>
      <c r="K288" s="47">
        <v>3811</v>
      </c>
      <c r="L288" s="47">
        <v>15700</v>
      </c>
      <c r="M288" s="47">
        <f t="shared" si="49"/>
        <v>32664</v>
      </c>
      <c r="N288" s="251">
        <f t="shared" si="50"/>
        <v>78819</v>
      </c>
      <c r="O288" s="53">
        <f t="shared" si="51"/>
        <v>2.2954321855235418</v>
      </c>
      <c r="P288" s="72">
        <f t="shared" si="44"/>
        <v>3.2434996486296557</v>
      </c>
      <c r="Q288" s="72">
        <f t="shared" si="52"/>
        <v>5.5389318341531979</v>
      </c>
    </row>
    <row r="289" spans="1:17" ht="15.75" thickBot="1" x14ac:dyDescent="0.3">
      <c r="A289" s="44" t="s">
        <v>1347</v>
      </c>
      <c r="B289" s="45" t="s">
        <v>1348</v>
      </c>
      <c r="C289" s="44" t="s">
        <v>803</v>
      </c>
      <c r="D289" s="47">
        <v>20526</v>
      </c>
      <c r="E289" s="47">
        <v>66781</v>
      </c>
      <c r="F289" s="47">
        <v>6276</v>
      </c>
      <c r="G289" s="47">
        <v>7438</v>
      </c>
      <c r="H289" s="47">
        <v>134</v>
      </c>
      <c r="I289" s="47">
        <v>9</v>
      </c>
      <c r="J289" s="47">
        <v>16254</v>
      </c>
      <c r="K289" s="47">
        <v>5346</v>
      </c>
      <c r="L289" s="47">
        <v>759</v>
      </c>
      <c r="M289" s="47">
        <f t="shared" si="49"/>
        <v>22359</v>
      </c>
      <c r="N289" s="251">
        <f t="shared" si="50"/>
        <v>102854</v>
      </c>
      <c r="O289" s="53">
        <f t="shared" si="51"/>
        <v>1.0893013738672903</v>
      </c>
      <c r="P289" s="72">
        <f t="shared" si="44"/>
        <v>3.9216116145376594</v>
      </c>
      <c r="Q289" s="72">
        <f t="shared" si="52"/>
        <v>5.0109129884049501</v>
      </c>
    </row>
    <row r="290" spans="1:17" ht="15.75" thickBot="1" x14ac:dyDescent="0.3">
      <c r="A290" s="44" t="s">
        <v>1355</v>
      </c>
      <c r="B290" s="45" t="s">
        <v>1356</v>
      </c>
      <c r="C290" s="44" t="s">
        <v>803</v>
      </c>
      <c r="D290" s="47">
        <v>13579</v>
      </c>
      <c r="E290" s="47">
        <v>43518</v>
      </c>
      <c r="F290" s="47">
        <v>2039</v>
      </c>
      <c r="G290" s="47">
        <v>2468</v>
      </c>
      <c r="H290" s="47">
        <v>72</v>
      </c>
      <c r="I290" s="47">
        <v>1</v>
      </c>
      <c r="J290" s="47">
        <v>16709</v>
      </c>
      <c r="K290" s="47">
        <v>4528</v>
      </c>
      <c r="L290" s="47">
        <v>580</v>
      </c>
      <c r="M290" s="47">
        <f t="shared" si="49"/>
        <v>21817</v>
      </c>
      <c r="N290" s="251">
        <f t="shared" si="50"/>
        <v>69842</v>
      </c>
      <c r="O290" s="53">
        <f t="shared" si="51"/>
        <v>1.6066720671625303</v>
      </c>
      <c r="P290" s="72">
        <f t="shared" si="44"/>
        <v>3.536711098019</v>
      </c>
      <c r="Q290" s="72">
        <f t="shared" si="52"/>
        <v>5.1433831651815307</v>
      </c>
    </row>
    <row r="291" spans="1:17" ht="15.75" thickBot="1" x14ac:dyDescent="0.3">
      <c r="A291" s="44" t="s">
        <v>1365</v>
      </c>
      <c r="B291" s="45" t="s">
        <v>1366</v>
      </c>
      <c r="C291" s="44" t="s">
        <v>803</v>
      </c>
      <c r="D291" s="47">
        <v>16709</v>
      </c>
      <c r="E291" s="47">
        <v>58224</v>
      </c>
      <c r="F291" s="47">
        <v>7406</v>
      </c>
      <c r="G291" s="47">
        <v>3952</v>
      </c>
      <c r="H291" s="47">
        <v>110</v>
      </c>
      <c r="I291" s="47">
        <v>2</v>
      </c>
      <c r="J291" s="47">
        <v>20593</v>
      </c>
      <c r="K291" s="47">
        <v>3237</v>
      </c>
      <c r="L291" s="47">
        <v>134</v>
      </c>
      <c r="M291" s="47">
        <f t="shared" si="49"/>
        <v>23964</v>
      </c>
      <c r="N291" s="251">
        <f t="shared" si="50"/>
        <v>93546</v>
      </c>
      <c r="O291" s="53">
        <f t="shared" si="51"/>
        <v>1.4341971392662638</v>
      </c>
      <c r="P291" s="72">
        <f t="shared" si="44"/>
        <v>4.1643425698725238</v>
      </c>
      <c r="Q291" s="72">
        <f t="shared" si="52"/>
        <v>5.5985397091387874</v>
      </c>
    </row>
    <row r="292" spans="1:17" ht="15.75" thickBot="1" x14ac:dyDescent="0.3">
      <c r="A292" s="44" t="s">
        <v>1381</v>
      </c>
      <c r="B292" s="45" t="s">
        <v>1382</v>
      </c>
      <c r="C292" s="44" t="s">
        <v>803</v>
      </c>
      <c r="D292" s="47">
        <v>19629</v>
      </c>
      <c r="E292" s="47">
        <v>64298</v>
      </c>
      <c r="F292" s="47">
        <v>4282</v>
      </c>
      <c r="G292" s="47">
        <v>2524</v>
      </c>
      <c r="H292" s="47">
        <v>95</v>
      </c>
      <c r="I292" s="47">
        <v>6</v>
      </c>
      <c r="J292" s="47">
        <v>8543</v>
      </c>
      <c r="K292" s="47">
        <v>3883</v>
      </c>
      <c r="L292" s="47">
        <v>285</v>
      </c>
      <c r="M292" s="47">
        <f t="shared" si="49"/>
        <v>12711</v>
      </c>
      <c r="N292" s="251">
        <f t="shared" si="50"/>
        <v>83815</v>
      </c>
      <c r="O292" s="53">
        <f t="shared" si="51"/>
        <v>0.64756228029955676</v>
      </c>
      <c r="P292" s="72">
        <f t="shared" si="44"/>
        <v>3.6223954353252839</v>
      </c>
      <c r="Q292" s="72">
        <f t="shared" si="52"/>
        <v>4.2699577156248409</v>
      </c>
    </row>
    <row r="293" spans="1:17" ht="15.75" thickBot="1" x14ac:dyDescent="0.3">
      <c r="A293" s="44" t="s">
        <v>1383</v>
      </c>
      <c r="B293" s="45" t="s">
        <v>1384</v>
      </c>
      <c r="C293" s="44" t="s">
        <v>803</v>
      </c>
      <c r="D293" s="47">
        <v>13912</v>
      </c>
      <c r="E293" s="47">
        <v>36047</v>
      </c>
      <c r="F293" s="47">
        <v>3357</v>
      </c>
      <c r="G293" s="47">
        <v>3613</v>
      </c>
      <c r="H293" s="47">
        <v>56</v>
      </c>
      <c r="I293" s="47">
        <v>4</v>
      </c>
      <c r="J293" s="47">
        <v>19694</v>
      </c>
      <c r="K293" s="47">
        <v>5722</v>
      </c>
      <c r="L293" s="47">
        <v>0</v>
      </c>
      <c r="M293" s="47">
        <f t="shared" si="49"/>
        <v>25416</v>
      </c>
      <c r="N293" s="251">
        <f t="shared" si="50"/>
        <v>68433</v>
      </c>
      <c r="O293" s="53">
        <f t="shared" si="51"/>
        <v>1.8269120184013801</v>
      </c>
      <c r="P293" s="72">
        <f t="shared" si="44"/>
        <v>3.0920787809085684</v>
      </c>
      <c r="Q293" s="72">
        <f t="shared" si="52"/>
        <v>4.918990799309948</v>
      </c>
    </row>
    <row r="294" spans="1:17" ht="15.75" thickBot="1" x14ac:dyDescent="0.3">
      <c r="A294" s="44" t="s">
        <v>1387</v>
      </c>
      <c r="B294" s="45" t="s">
        <v>1388</v>
      </c>
      <c r="C294" s="44" t="s">
        <v>803</v>
      </c>
      <c r="D294" s="47">
        <v>14878</v>
      </c>
      <c r="E294" s="47">
        <v>54131</v>
      </c>
      <c r="F294" s="47">
        <v>1203</v>
      </c>
      <c r="G294" s="47">
        <v>4640</v>
      </c>
      <c r="H294" s="47">
        <v>116</v>
      </c>
      <c r="I294" s="47">
        <v>7</v>
      </c>
      <c r="J294" s="47">
        <v>14124</v>
      </c>
      <c r="K294" s="47">
        <v>2664</v>
      </c>
      <c r="L294" s="47">
        <v>134</v>
      </c>
      <c r="M294" s="47">
        <f t="shared" si="49"/>
        <v>16922</v>
      </c>
      <c r="N294" s="251">
        <f t="shared" si="50"/>
        <v>76896</v>
      </c>
      <c r="O294" s="53">
        <f t="shared" si="51"/>
        <v>1.1373840569969083</v>
      </c>
      <c r="P294" s="72">
        <f t="shared" si="44"/>
        <v>4.0310525608280683</v>
      </c>
      <c r="Q294" s="72">
        <f t="shared" si="52"/>
        <v>5.1684366178249768</v>
      </c>
    </row>
    <row r="295" spans="1:17" ht="15.75" thickBot="1" x14ac:dyDescent="0.3">
      <c r="A295" s="44" t="s">
        <v>1421</v>
      </c>
      <c r="B295" s="45" t="s">
        <v>1422</v>
      </c>
      <c r="C295" s="44" t="s">
        <v>803</v>
      </c>
      <c r="D295" s="47">
        <v>12486</v>
      </c>
      <c r="E295" s="47">
        <v>65533</v>
      </c>
      <c r="F295" s="47">
        <v>1532</v>
      </c>
      <c r="G295" s="47">
        <v>7587</v>
      </c>
      <c r="H295" s="47">
        <v>44</v>
      </c>
      <c r="I295" s="47">
        <v>1</v>
      </c>
      <c r="J295" s="47">
        <v>48274</v>
      </c>
      <c r="K295" s="47">
        <v>13038</v>
      </c>
      <c r="L295" s="47">
        <v>761</v>
      </c>
      <c r="M295" s="47">
        <f t="shared" si="49"/>
        <v>62073</v>
      </c>
      <c r="N295" s="251">
        <f t="shared" si="50"/>
        <v>136725</v>
      </c>
      <c r="O295" s="53">
        <f t="shared" si="51"/>
        <v>4.9714079769341666</v>
      </c>
      <c r="P295" s="72">
        <f t="shared" si="44"/>
        <v>5.9788563190773667</v>
      </c>
      <c r="Q295" s="72">
        <f t="shared" si="52"/>
        <v>10.950264296011532</v>
      </c>
    </row>
    <row r="296" spans="1:17" ht="15.75" thickBot="1" x14ac:dyDescent="0.3">
      <c r="A296" s="44" t="s">
        <v>1447</v>
      </c>
      <c r="B296" s="45" t="s">
        <v>1448</v>
      </c>
      <c r="C296" s="44" t="s">
        <v>803</v>
      </c>
      <c r="D296" s="47">
        <v>16753</v>
      </c>
      <c r="E296" s="47">
        <v>64073</v>
      </c>
      <c r="F296" s="47">
        <v>7628</v>
      </c>
      <c r="G296" s="47">
        <v>11984</v>
      </c>
      <c r="H296" s="47">
        <v>130</v>
      </c>
      <c r="I296" s="47">
        <v>19</v>
      </c>
      <c r="J296" s="47">
        <v>72002</v>
      </c>
      <c r="K296" s="47">
        <v>25178</v>
      </c>
      <c r="L296" s="47">
        <v>239</v>
      </c>
      <c r="M296" s="47">
        <f t="shared" si="49"/>
        <v>97419</v>
      </c>
      <c r="N296" s="251">
        <f t="shared" si="50"/>
        <v>181104</v>
      </c>
      <c r="O296" s="53">
        <f t="shared" si="51"/>
        <v>5.8150182056945026</v>
      </c>
      <c r="P296" s="72">
        <f t="shared" si="44"/>
        <v>4.9952247358682031</v>
      </c>
      <c r="Q296" s="72">
        <f t="shared" si="52"/>
        <v>10.810242941562706</v>
      </c>
    </row>
    <row r="297" spans="1:17" ht="15.75" thickBot="1" x14ac:dyDescent="0.3">
      <c r="A297" s="44" t="s">
        <v>1490</v>
      </c>
      <c r="B297" s="45" t="s">
        <v>1491</v>
      </c>
      <c r="C297" s="44" t="s">
        <v>803</v>
      </c>
      <c r="D297" s="47">
        <v>18260</v>
      </c>
      <c r="E297" s="47">
        <v>82511</v>
      </c>
      <c r="F297" s="47">
        <v>8967</v>
      </c>
      <c r="G297" s="47">
        <v>9373</v>
      </c>
      <c r="H297" s="47">
        <v>117</v>
      </c>
      <c r="I297" s="47">
        <v>20</v>
      </c>
      <c r="J297" s="47">
        <v>35467</v>
      </c>
      <c r="K297" s="47">
        <v>35408</v>
      </c>
      <c r="L297" s="47">
        <v>7559</v>
      </c>
      <c r="M297" s="47">
        <f t="shared" si="49"/>
        <v>78434</v>
      </c>
      <c r="N297" s="251">
        <f t="shared" si="50"/>
        <v>179285</v>
      </c>
      <c r="O297" s="53">
        <f t="shared" si="51"/>
        <v>4.29539978094195</v>
      </c>
      <c r="P297" s="72">
        <f t="shared" si="44"/>
        <v>5.5230558598028479</v>
      </c>
      <c r="Q297" s="72">
        <f t="shared" si="52"/>
        <v>9.8184556407447978</v>
      </c>
    </row>
    <row r="298" spans="1:17" ht="15.75" thickBot="1" x14ac:dyDescent="0.3">
      <c r="A298" s="44" t="s">
        <v>1492</v>
      </c>
      <c r="B298" s="45" t="s">
        <v>1493</v>
      </c>
      <c r="C298" s="44" t="s">
        <v>803</v>
      </c>
      <c r="D298" s="47">
        <v>13940</v>
      </c>
      <c r="E298" s="47">
        <v>60283</v>
      </c>
      <c r="F298" s="47">
        <v>6426</v>
      </c>
      <c r="G298" s="47">
        <v>6404</v>
      </c>
      <c r="H298" s="47">
        <v>73</v>
      </c>
      <c r="I298" s="47">
        <v>4</v>
      </c>
      <c r="J298" s="47">
        <v>45137</v>
      </c>
      <c r="K298" s="47">
        <v>16820</v>
      </c>
      <c r="L298" s="47">
        <v>853</v>
      </c>
      <c r="M298" s="47">
        <f t="shared" si="49"/>
        <v>62810</v>
      </c>
      <c r="N298" s="251">
        <f t="shared" si="50"/>
        <v>135923</v>
      </c>
      <c r="O298" s="53">
        <f t="shared" si="51"/>
        <v>4.5057388809182211</v>
      </c>
      <c r="P298" s="72">
        <f t="shared" si="44"/>
        <v>5.2448350071736014</v>
      </c>
      <c r="Q298" s="72">
        <f t="shared" si="52"/>
        <v>9.7505738880918216</v>
      </c>
    </row>
    <row r="299" spans="1:17" ht="15.75" thickBot="1" x14ac:dyDescent="0.3">
      <c r="A299" s="44" t="s">
        <v>1498</v>
      </c>
      <c r="B299" s="45" t="s">
        <v>1499</v>
      </c>
      <c r="C299" s="44" t="s">
        <v>803</v>
      </c>
      <c r="D299" s="47">
        <v>17937</v>
      </c>
      <c r="E299" s="47">
        <v>47737</v>
      </c>
      <c r="F299" s="47">
        <v>854</v>
      </c>
      <c r="G299" s="47">
        <v>3315</v>
      </c>
      <c r="H299" s="47">
        <v>70</v>
      </c>
      <c r="I299" s="47">
        <v>1</v>
      </c>
      <c r="J299" s="47">
        <v>12889</v>
      </c>
      <c r="K299" s="47">
        <v>2651</v>
      </c>
      <c r="L299" s="47">
        <v>30000</v>
      </c>
      <c r="M299" s="47">
        <f t="shared" si="49"/>
        <v>45540</v>
      </c>
      <c r="N299" s="251">
        <f t="shared" si="50"/>
        <v>97446</v>
      </c>
      <c r="O299" s="53">
        <f t="shared" si="51"/>
        <v>2.5388861013547417</v>
      </c>
      <c r="P299" s="72">
        <f t="shared" si="44"/>
        <v>2.8937949489881252</v>
      </c>
      <c r="Q299" s="72">
        <f t="shared" si="52"/>
        <v>5.4326810503428664</v>
      </c>
    </row>
    <row r="300" spans="1:17" ht="15.75" thickBot="1" x14ac:dyDescent="0.3">
      <c r="A300" s="122" t="s">
        <v>1516</v>
      </c>
      <c r="B300" s="248" t="s">
        <v>1517</v>
      </c>
      <c r="C300" s="122" t="s">
        <v>803</v>
      </c>
      <c r="D300" s="249">
        <v>18134</v>
      </c>
      <c r="E300" s="249">
        <v>44916</v>
      </c>
      <c r="F300" s="249">
        <v>2526</v>
      </c>
      <c r="G300" s="249">
        <v>2543</v>
      </c>
      <c r="H300" s="249">
        <v>128</v>
      </c>
      <c r="I300" s="249">
        <v>5</v>
      </c>
      <c r="J300" s="249" t="s">
        <v>3479</v>
      </c>
      <c r="K300" s="249" t="s">
        <v>3479</v>
      </c>
      <c r="L300" s="249" t="s">
        <v>3479</v>
      </c>
      <c r="M300" s="249" t="s">
        <v>3479</v>
      </c>
      <c r="N300" s="250" t="s">
        <v>3480</v>
      </c>
      <c r="O300" s="250" t="s">
        <v>3480</v>
      </c>
      <c r="P300" s="72">
        <f t="shared" si="44"/>
        <v>2.7564243961619059</v>
      </c>
      <c r="Q300" s="249" t="s">
        <v>3480</v>
      </c>
    </row>
    <row r="301" spans="1:17" ht="15.75" thickBot="1" x14ac:dyDescent="0.3">
      <c r="A301" s="44" t="s">
        <v>1528</v>
      </c>
      <c r="B301" s="45" t="s">
        <v>1529</v>
      </c>
      <c r="C301" s="44" t="s">
        <v>803</v>
      </c>
      <c r="D301" s="47">
        <v>15497</v>
      </c>
      <c r="E301" s="47">
        <v>27164</v>
      </c>
      <c r="F301" s="47">
        <v>100</v>
      </c>
      <c r="G301" s="47">
        <v>541</v>
      </c>
      <c r="H301" s="47">
        <v>20</v>
      </c>
      <c r="I301" s="47">
        <v>0</v>
      </c>
      <c r="J301" s="47">
        <v>11365</v>
      </c>
      <c r="K301" s="47">
        <v>12626</v>
      </c>
      <c r="L301" s="47">
        <v>0</v>
      </c>
      <c r="M301" s="47">
        <f t="shared" ref="M301:M311" si="53">J301+K301+L301</f>
        <v>23991</v>
      </c>
      <c r="N301" s="251">
        <f t="shared" ref="N301:N311" si="54">E301+F301+G301+J301+K301+L301</f>
        <v>51796</v>
      </c>
      <c r="O301" s="53">
        <f t="shared" ref="O301:O311" si="55">(J301+K301+L301)/D301</f>
        <v>1.5481060850487192</v>
      </c>
      <c r="P301" s="72">
        <f t="shared" si="44"/>
        <v>1.7942182357875718</v>
      </c>
      <c r="Q301" s="72">
        <f t="shared" ref="Q301:Q311" si="56">N301/D301</f>
        <v>3.3423243208362909</v>
      </c>
    </row>
    <row r="302" spans="1:17" ht="15.75" thickBot="1" x14ac:dyDescent="0.3">
      <c r="A302" s="44" t="s">
        <v>1532</v>
      </c>
      <c r="B302" s="45" t="s">
        <v>1533</v>
      </c>
      <c r="C302" s="44" t="s">
        <v>803</v>
      </c>
      <c r="D302" s="47">
        <v>14253</v>
      </c>
      <c r="E302" s="47">
        <v>39860</v>
      </c>
      <c r="F302" s="47">
        <v>1959</v>
      </c>
      <c r="G302" s="47">
        <v>2490</v>
      </c>
      <c r="H302" s="47">
        <v>52</v>
      </c>
      <c r="I302" s="47">
        <v>3</v>
      </c>
      <c r="J302" s="47">
        <v>15909</v>
      </c>
      <c r="K302" s="47">
        <v>3196</v>
      </c>
      <c r="L302" s="47">
        <v>246</v>
      </c>
      <c r="M302" s="47">
        <f t="shared" si="53"/>
        <v>19351</v>
      </c>
      <c r="N302" s="251">
        <f t="shared" si="54"/>
        <v>63660</v>
      </c>
      <c r="O302" s="53">
        <f t="shared" si="55"/>
        <v>1.3576790851048901</v>
      </c>
      <c r="P302" s="72">
        <f t="shared" si="44"/>
        <v>3.108749035290816</v>
      </c>
      <c r="Q302" s="72">
        <f t="shared" si="56"/>
        <v>4.4664281203957064</v>
      </c>
    </row>
    <row r="303" spans="1:17" ht="15.75" thickBot="1" x14ac:dyDescent="0.3">
      <c r="A303" s="44" t="s">
        <v>1552</v>
      </c>
      <c r="B303" s="45" t="s">
        <v>1553</v>
      </c>
      <c r="C303" s="44" t="s">
        <v>803</v>
      </c>
      <c r="D303" s="47">
        <v>12238</v>
      </c>
      <c r="E303" s="47">
        <v>28822</v>
      </c>
      <c r="F303" s="47">
        <v>2181</v>
      </c>
      <c r="G303" s="47">
        <v>5555</v>
      </c>
      <c r="H303" s="47">
        <v>52</v>
      </c>
      <c r="I303" s="47">
        <v>5</v>
      </c>
      <c r="J303" s="47">
        <v>15909</v>
      </c>
      <c r="K303" s="47">
        <v>3196</v>
      </c>
      <c r="L303" s="47">
        <v>246</v>
      </c>
      <c r="M303" s="47">
        <f t="shared" si="53"/>
        <v>19351</v>
      </c>
      <c r="N303" s="251">
        <f t="shared" si="54"/>
        <v>55909</v>
      </c>
      <c r="O303" s="53">
        <f t="shared" si="55"/>
        <v>1.5812224219643733</v>
      </c>
      <c r="P303" s="72">
        <f t="shared" si="44"/>
        <v>2.9872528190880865</v>
      </c>
      <c r="Q303" s="72">
        <f t="shared" si="56"/>
        <v>4.5684752410524592</v>
      </c>
    </row>
    <row r="304" spans="1:17" ht="15.75" thickBot="1" x14ac:dyDescent="0.3">
      <c r="A304" s="44" t="s">
        <v>1572</v>
      </c>
      <c r="B304" s="45" t="s">
        <v>1573</v>
      </c>
      <c r="C304" s="44" t="s">
        <v>803</v>
      </c>
      <c r="D304" s="47">
        <v>17593</v>
      </c>
      <c r="E304" s="47">
        <v>80185</v>
      </c>
      <c r="F304" s="47">
        <v>5772</v>
      </c>
      <c r="G304" s="47">
        <v>6075</v>
      </c>
      <c r="H304" s="47">
        <v>52</v>
      </c>
      <c r="I304" s="47">
        <v>0</v>
      </c>
      <c r="J304" s="47">
        <v>48274</v>
      </c>
      <c r="K304" s="47">
        <v>13038</v>
      </c>
      <c r="L304" s="47">
        <v>761</v>
      </c>
      <c r="M304" s="47">
        <f t="shared" si="53"/>
        <v>62073</v>
      </c>
      <c r="N304" s="251">
        <f t="shared" si="54"/>
        <v>154105</v>
      </c>
      <c r="O304" s="53">
        <f t="shared" si="55"/>
        <v>3.5282782925027001</v>
      </c>
      <c r="P304" s="72">
        <f t="shared" si="44"/>
        <v>5.2311714886602623</v>
      </c>
      <c r="Q304" s="72">
        <f t="shared" si="56"/>
        <v>8.7594497811629619</v>
      </c>
    </row>
    <row r="305" spans="1:17" ht="15.75" thickBot="1" x14ac:dyDescent="0.3">
      <c r="A305" s="44" t="s">
        <v>1598</v>
      </c>
      <c r="B305" s="45" t="s">
        <v>1599</v>
      </c>
      <c r="C305" s="44" t="s">
        <v>803</v>
      </c>
      <c r="D305" s="47">
        <v>13498</v>
      </c>
      <c r="E305" s="47">
        <v>50350</v>
      </c>
      <c r="F305" s="47">
        <v>4284</v>
      </c>
      <c r="G305" s="47">
        <v>6130</v>
      </c>
      <c r="H305" s="47">
        <v>95</v>
      </c>
      <c r="I305" s="47">
        <v>6</v>
      </c>
      <c r="J305" s="47">
        <v>44757</v>
      </c>
      <c r="K305" s="47">
        <v>16198</v>
      </c>
      <c r="L305" s="47">
        <v>853</v>
      </c>
      <c r="M305" s="47">
        <f t="shared" si="53"/>
        <v>61808</v>
      </c>
      <c r="N305" s="251">
        <f t="shared" si="54"/>
        <v>122572</v>
      </c>
      <c r="O305" s="53">
        <f t="shared" si="55"/>
        <v>4.5790487479626609</v>
      </c>
      <c r="P305" s="72">
        <f t="shared" si="44"/>
        <v>4.5017039561416503</v>
      </c>
      <c r="Q305" s="72">
        <f t="shared" si="56"/>
        <v>9.0807527041043112</v>
      </c>
    </row>
    <row r="306" spans="1:17" ht="15.75" thickBot="1" x14ac:dyDescent="0.3">
      <c r="A306" s="44" t="s">
        <v>820</v>
      </c>
      <c r="B306" s="45" t="s">
        <v>821</v>
      </c>
      <c r="C306" s="44" t="s">
        <v>822</v>
      </c>
      <c r="D306" s="47">
        <v>28210</v>
      </c>
      <c r="E306" s="47">
        <v>54129</v>
      </c>
      <c r="F306" s="47">
        <v>4970</v>
      </c>
      <c r="G306" s="47">
        <v>6641</v>
      </c>
      <c r="H306" s="47">
        <v>74</v>
      </c>
      <c r="I306" s="47">
        <v>3</v>
      </c>
      <c r="J306" s="47">
        <v>48274</v>
      </c>
      <c r="K306" s="47">
        <v>15351</v>
      </c>
      <c r="L306" s="47">
        <v>1159</v>
      </c>
      <c r="M306" s="47">
        <f t="shared" si="53"/>
        <v>64784</v>
      </c>
      <c r="N306" s="251">
        <f t="shared" si="54"/>
        <v>130524</v>
      </c>
      <c r="O306" s="53">
        <f t="shared" si="55"/>
        <v>2.2964906061680255</v>
      </c>
      <c r="P306" s="72">
        <f t="shared" si="44"/>
        <v>2.3303792981212337</v>
      </c>
      <c r="Q306" s="72">
        <f t="shared" si="56"/>
        <v>4.6268699042892587</v>
      </c>
    </row>
    <row r="307" spans="1:17" ht="15.75" thickBot="1" x14ac:dyDescent="0.3">
      <c r="A307" s="44" t="s">
        <v>823</v>
      </c>
      <c r="B307" s="45" t="s">
        <v>824</v>
      </c>
      <c r="C307" s="44" t="s">
        <v>822</v>
      </c>
      <c r="D307" s="47">
        <v>28283</v>
      </c>
      <c r="E307" s="47">
        <v>45727</v>
      </c>
      <c r="F307" s="47">
        <v>3147</v>
      </c>
      <c r="G307" s="47">
        <v>5862</v>
      </c>
      <c r="H307" s="47">
        <v>41</v>
      </c>
      <c r="I307" s="47">
        <v>4</v>
      </c>
      <c r="J307" s="47">
        <v>19495</v>
      </c>
      <c r="K307" s="47">
        <v>27993</v>
      </c>
      <c r="L307" s="47">
        <v>7559</v>
      </c>
      <c r="M307" s="47">
        <f t="shared" si="53"/>
        <v>55047</v>
      </c>
      <c r="N307" s="251">
        <f t="shared" si="54"/>
        <v>109783</v>
      </c>
      <c r="O307" s="53">
        <f t="shared" si="55"/>
        <v>1.9462928260792702</v>
      </c>
      <c r="P307" s="72">
        <f t="shared" si="44"/>
        <v>1.9352968214121558</v>
      </c>
      <c r="Q307" s="72">
        <f t="shared" si="56"/>
        <v>3.8815896474914258</v>
      </c>
    </row>
    <row r="308" spans="1:17" ht="15.75" thickBot="1" x14ac:dyDescent="0.3">
      <c r="A308" s="44" t="s">
        <v>831</v>
      </c>
      <c r="B308" s="45" t="s">
        <v>832</v>
      </c>
      <c r="C308" s="44" t="s">
        <v>822</v>
      </c>
      <c r="D308" s="47">
        <v>29598</v>
      </c>
      <c r="E308" s="47">
        <v>71581</v>
      </c>
      <c r="F308" s="47">
        <v>2084</v>
      </c>
      <c r="G308" s="47">
        <v>2587</v>
      </c>
      <c r="H308" s="47">
        <v>105</v>
      </c>
      <c r="I308" s="47">
        <v>8</v>
      </c>
      <c r="J308" s="47">
        <v>8761</v>
      </c>
      <c r="K308" s="47">
        <v>4006</v>
      </c>
      <c r="L308" s="47">
        <v>23640</v>
      </c>
      <c r="M308" s="47">
        <f t="shared" si="53"/>
        <v>36407</v>
      </c>
      <c r="N308" s="251">
        <f t="shared" si="54"/>
        <v>112659</v>
      </c>
      <c r="O308" s="53">
        <f t="shared" si="55"/>
        <v>1.2300493276572741</v>
      </c>
      <c r="P308" s="72">
        <f t="shared" si="44"/>
        <v>2.5762551523751607</v>
      </c>
      <c r="Q308" s="72">
        <f t="shared" si="56"/>
        <v>3.8063044800324346</v>
      </c>
    </row>
    <row r="309" spans="1:17" ht="15.75" thickBot="1" x14ac:dyDescent="0.3">
      <c r="A309" s="44" t="s">
        <v>855</v>
      </c>
      <c r="B309" s="45" t="s">
        <v>856</v>
      </c>
      <c r="C309" s="44" t="s">
        <v>822</v>
      </c>
      <c r="D309" s="47">
        <v>35350</v>
      </c>
      <c r="E309" s="47">
        <v>100115</v>
      </c>
      <c r="F309" s="47">
        <v>8550</v>
      </c>
      <c r="G309" s="47">
        <v>17677</v>
      </c>
      <c r="H309" s="47">
        <v>274</v>
      </c>
      <c r="I309" s="47">
        <v>25</v>
      </c>
      <c r="J309" s="47">
        <v>10507</v>
      </c>
      <c r="K309" s="47">
        <v>5211</v>
      </c>
      <c r="L309" s="47">
        <v>0</v>
      </c>
      <c r="M309" s="47">
        <f t="shared" si="53"/>
        <v>15718</v>
      </c>
      <c r="N309" s="251">
        <f t="shared" si="54"/>
        <v>142060</v>
      </c>
      <c r="O309" s="53">
        <f t="shared" si="55"/>
        <v>0.44463932107496462</v>
      </c>
      <c r="P309" s="72">
        <f t="shared" si="44"/>
        <v>3.5740311173974542</v>
      </c>
      <c r="Q309" s="72">
        <f t="shared" si="56"/>
        <v>4.0186704384724186</v>
      </c>
    </row>
    <row r="310" spans="1:17" ht="15.75" thickBot="1" x14ac:dyDescent="0.3">
      <c r="A310" s="44" t="s">
        <v>867</v>
      </c>
      <c r="B310" s="45" t="s">
        <v>868</v>
      </c>
      <c r="C310" s="44" t="s">
        <v>822</v>
      </c>
      <c r="D310" s="47">
        <v>42361</v>
      </c>
      <c r="E310" s="47">
        <v>75677</v>
      </c>
      <c r="F310" s="47">
        <v>4743</v>
      </c>
      <c r="G310" s="47">
        <v>5442</v>
      </c>
      <c r="H310" s="47">
        <v>148</v>
      </c>
      <c r="I310" s="47">
        <v>4</v>
      </c>
      <c r="J310" s="47">
        <v>48203</v>
      </c>
      <c r="K310" s="47">
        <v>13102</v>
      </c>
      <c r="L310" s="47">
        <v>1137</v>
      </c>
      <c r="M310" s="47">
        <f t="shared" si="53"/>
        <v>62442</v>
      </c>
      <c r="N310" s="251">
        <f t="shared" si="54"/>
        <v>148304</v>
      </c>
      <c r="O310" s="53">
        <f t="shared" si="55"/>
        <v>1.4740445220839924</v>
      </c>
      <c r="P310" s="72">
        <f t="shared" si="44"/>
        <v>2.0269115459974976</v>
      </c>
      <c r="Q310" s="72">
        <f t="shared" si="56"/>
        <v>3.5009560680814902</v>
      </c>
    </row>
    <row r="311" spans="1:17" ht="15.75" thickBot="1" x14ac:dyDescent="0.3">
      <c r="A311" s="44" t="s">
        <v>891</v>
      </c>
      <c r="B311" s="45" t="s">
        <v>892</v>
      </c>
      <c r="C311" s="44" t="s">
        <v>822</v>
      </c>
      <c r="D311" s="47">
        <v>41070</v>
      </c>
      <c r="E311" s="47">
        <v>248017</v>
      </c>
      <c r="F311" s="47">
        <v>21950</v>
      </c>
      <c r="G311" s="47">
        <v>25600</v>
      </c>
      <c r="H311" s="47">
        <v>411</v>
      </c>
      <c r="I311" s="47">
        <v>85</v>
      </c>
      <c r="J311" s="47">
        <v>15758</v>
      </c>
      <c r="K311" s="47">
        <v>6065</v>
      </c>
      <c r="L311" s="47">
        <v>0</v>
      </c>
      <c r="M311" s="47">
        <f t="shared" si="53"/>
        <v>21823</v>
      </c>
      <c r="N311" s="251">
        <f t="shared" si="54"/>
        <v>317390</v>
      </c>
      <c r="O311" s="53">
        <f t="shared" si="55"/>
        <v>0.53136109082055027</v>
      </c>
      <c r="P311" s="72">
        <f t="shared" si="44"/>
        <v>7.1966642317993665</v>
      </c>
      <c r="Q311" s="72">
        <f t="shared" si="56"/>
        <v>7.7280253226199171</v>
      </c>
    </row>
    <row r="312" spans="1:17" ht="15.75" thickBot="1" x14ac:dyDescent="0.3">
      <c r="A312" s="122" t="s">
        <v>897</v>
      </c>
      <c r="B312" s="248" t="s">
        <v>898</v>
      </c>
      <c r="C312" s="122" t="s">
        <v>822</v>
      </c>
      <c r="D312" s="249">
        <v>46905</v>
      </c>
      <c r="E312" s="249">
        <v>100253</v>
      </c>
      <c r="F312" s="249">
        <v>1881</v>
      </c>
      <c r="G312" s="249">
        <v>10579</v>
      </c>
      <c r="H312" s="249">
        <v>179</v>
      </c>
      <c r="I312" s="249">
        <v>6</v>
      </c>
      <c r="J312" s="249" t="s">
        <v>3479</v>
      </c>
      <c r="K312" s="249" t="s">
        <v>3479</v>
      </c>
      <c r="L312" s="249" t="s">
        <v>3479</v>
      </c>
      <c r="M312" s="249" t="s">
        <v>3479</v>
      </c>
      <c r="N312" s="250" t="s">
        <v>3480</v>
      </c>
      <c r="O312" s="250" t="s">
        <v>3480</v>
      </c>
      <c r="P312" s="72">
        <f t="shared" si="44"/>
        <v>2.4030060761112888</v>
      </c>
      <c r="Q312" s="249" t="s">
        <v>3480</v>
      </c>
    </row>
    <row r="313" spans="1:17" ht="15.75" thickBot="1" x14ac:dyDescent="0.3">
      <c r="A313" s="44" t="s">
        <v>907</v>
      </c>
      <c r="B313" s="45" t="s">
        <v>908</v>
      </c>
      <c r="C313" s="44" t="s">
        <v>822</v>
      </c>
      <c r="D313" s="47">
        <v>43254</v>
      </c>
      <c r="E313" s="47">
        <v>83333</v>
      </c>
      <c r="F313" s="47">
        <v>10097</v>
      </c>
      <c r="G313" s="47">
        <v>8913</v>
      </c>
      <c r="H313" s="47">
        <v>146</v>
      </c>
      <c r="I313" s="47">
        <v>10</v>
      </c>
      <c r="J313" s="47">
        <v>47116</v>
      </c>
      <c r="K313" s="47">
        <v>16124</v>
      </c>
      <c r="L313" s="47">
        <v>1327</v>
      </c>
      <c r="M313" s="47">
        <f t="shared" ref="M313:M319" si="57">J313+K313+L313</f>
        <v>64567</v>
      </c>
      <c r="N313" s="251">
        <f t="shared" ref="N313:N319" si="58">E313+F313+G313+J313+K313+L313</f>
        <v>166910</v>
      </c>
      <c r="O313" s="53">
        <f t="shared" ref="O313:O319" si="59">(J313+K313+L313)/D313</f>
        <v>1.4927405557867481</v>
      </c>
      <c r="P313" s="72">
        <f t="shared" si="44"/>
        <v>2.3660933092893144</v>
      </c>
      <c r="Q313" s="72">
        <f t="shared" ref="Q313:Q319" si="60">N313/D313</f>
        <v>3.8588338650760625</v>
      </c>
    </row>
    <row r="314" spans="1:17" ht="15.75" thickBot="1" x14ac:dyDescent="0.3">
      <c r="A314" s="44" t="s">
        <v>917</v>
      </c>
      <c r="B314" s="45" t="s">
        <v>918</v>
      </c>
      <c r="C314" s="44" t="s">
        <v>822</v>
      </c>
      <c r="D314" s="47">
        <v>35087</v>
      </c>
      <c r="E314" s="47">
        <v>67742</v>
      </c>
      <c r="F314" s="47">
        <v>2276</v>
      </c>
      <c r="G314" s="47">
        <v>5061</v>
      </c>
      <c r="H314" s="47">
        <v>157</v>
      </c>
      <c r="I314" s="47">
        <v>2</v>
      </c>
      <c r="J314" s="47">
        <v>18584</v>
      </c>
      <c r="K314" s="47">
        <v>8085</v>
      </c>
      <c r="L314" s="47">
        <v>503</v>
      </c>
      <c r="M314" s="47">
        <f t="shared" si="57"/>
        <v>27172</v>
      </c>
      <c r="N314" s="251">
        <f t="shared" si="58"/>
        <v>102251</v>
      </c>
      <c r="O314" s="53">
        <f t="shared" si="59"/>
        <v>0.77441787556644914</v>
      </c>
      <c r="P314" s="72">
        <f t="shared" si="44"/>
        <v>2.1397953658049991</v>
      </c>
      <c r="Q314" s="72">
        <f t="shared" si="60"/>
        <v>2.9142132413714483</v>
      </c>
    </row>
    <row r="315" spans="1:17" ht="15.75" thickBot="1" x14ac:dyDescent="0.3">
      <c r="A315" s="44" t="s">
        <v>933</v>
      </c>
      <c r="B315" s="45" t="s">
        <v>934</v>
      </c>
      <c r="C315" s="44" t="s">
        <v>822</v>
      </c>
      <c r="D315" s="47">
        <v>38002</v>
      </c>
      <c r="E315" s="47">
        <v>72779</v>
      </c>
      <c r="F315" s="47">
        <v>5062</v>
      </c>
      <c r="G315" s="47">
        <v>9058</v>
      </c>
      <c r="H315" s="47">
        <v>203</v>
      </c>
      <c r="I315" s="47">
        <v>7</v>
      </c>
      <c r="J315" s="47">
        <v>12476</v>
      </c>
      <c r="K315" s="47">
        <v>9396</v>
      </c>
      <c r="L315" s="47">
        <v>1810</v>
      </c>
      <c r="M315" s="47">
        <f t="shared" si="57"/>
        <v>23682</v>
      </c>
      <c r="N315" s="251">
        <f t="shared" si="58"/>
        <v>110581</v>
      </c>
      <c r="O315" s="53">
        <f t="shared" si="59"/>
        <v>0.62317772748802691</v>
      </c>
      <c r="P315" s="72">
        <f t="shared" si="44"/>
        <v>2.2866954370822588</v>
      </c>
      <c r="Q315" s="72">
        <f t="shared" si="60"/>
        <v>2.9098731645702856</v>
      </c>
    </row>
    <row r="316" spans="1:17" ht="15.75" thickBot="1" x14ac:dyDescent="0.3">
      <c r="A316" s="44" t="s">
        <v>953</v>
      </c>
      <c r="B316" s="45" t="s">
        <v>954</v>
      </c>
      <c r="C316" s="44" t="s">
        <v>822</v>
      </c>
      <c r="D316" s="47">
        <v>43381</v>
      </c>
      <c r="E316" s="47">
        <v>66966</v>
      </c>
      <c r="F316" s="47">
        <v>5879</v>
      </c>
      <c r="G316" s="47">
        <v>7166</v>
      </c>
      <c r="H316" s="47">
        <v>180</v>
      </c>
      <c r="I316" s="47">
        <v>7</v>
      </c>
      <c r="J316" s="47">
        <v>38499</v>
      </c>
      <c r="K316" s="47">
        <v>15607</v>
      </c>
      <c r="L316" s="47">
        <v>270</v>
      </c>
      <c r="M316" s="47">
        <f t="shared" si="57"/>
        <v>54376</v>
      </c>
      <c r="N316" s="251">
        <f t="shared" si="58"/>
        <v>134387</v>
      </c>
      <c r="O316" s="53">
        <f t="shared" si="59"/>
        <v>1.2534519720615016</v>
      </c>
      <c r="P316" s="72">
        <f t="shared" si="44"/>
        <v>1.8443788755445933</v>
      </c>
      <c r="Q316" s="72">
        <f t="shared" si="60"/>
        <v>3.0978308476060947</v>
      </c>
    </row>
    <row r="317" spans="1:17" ht="15.75" thickBot="1" x14ac:dyDescent="0.3">
      <c r="A317" s="44" t="s">
        <v>957</v>
      </c>
      <c r="B317" s="45" t="s">
        <v>958</v>
      </c>
      <c r="C317" s="44" t="s">
        <v>822</v>
      </c>
      <c r="D317" s="47">
        <v>35563</v>
      </c>
      <c r="E317" s="47">
        <v>86308</v>
      </c>
      <c r="F317" s="47">
        <v>10474</v>
      </c>
      <c r="G317" s="47">
        <v>13299</v>
      </c>
      <c r="H317" s="47">
        <v>120</v>
      </c>
      <c r="I317" s="47">
        <v>12</v>
      </c>
      <c r="J317" s="47">
        <v>28954</v>
      </c>
      <c r="K317" s="47">
        <v>11530</v>
      </c>
      <c r="L317" s="47">
        <v>1860</v>
      </c>
      <c r="M317" s="47">
        <f t="shared" si="57"/>
        <v>42344</v>
      </c>
      <c r="N317" s="251">
        <f t="shared" si="58"/>
        <v>152425</v>
      </c>
      <c r="O317" s="53">
        <f t="shared" si="59"/>
        <v>1.1906757022748362</v>
      </c>
      <c r="P317" s="72">
        <f t="shared" si="44"/>
        <v>3.0953800298062593</v>
      </c>
      <c r="Q317" s="72">
        <f t="shared" si="60"/>
        <v>4.2860557320810955</v>
      </c>
    </row>
    <row r="318" spans="1:17" ht="15.75" thickBot="1" x14ac:dyDescent="0.3">
      <c r="A318" s="44" t="s">
        <v>971</v>
      </c>
      <c r="B318" s="45" t="s">
        <v>972</v>
      </c>
      <c r="C318" s="44" t="s">
        <v>822</v>
      </c>
      <c r="D318" s="47">
        <v>40186</v>
      </c>
      <c r="E318" s="47">
        <v>75434</v>
      </c>
      <c r="F318" s="47">
        <v>6581</v>
      </c>
      <c r="G318" s="47">
        <v>10457</v>
      </c>
      <c r="H318" s="47">
        <v>184</v>
      </c>
      <c r="I318" s="47">
        <v>10</v>
      </c>
      <c r="J318" s="47">
        <v>36211</v>
      </c>
      <c r="K318" s="47">
        <v>9546</v>
      </c>
      <c r="L318" s="47">
        <v>2530</v>
      </c>
      <c r="M318" s="47">
        <f t="shared" si="57"/>
        <v>48287</v>
      </c>
      <c r="N318" s="251">
        <f t="shared" si="58"/>
        <v>140759</v>
      </c>
      <c r="O318" s="53">
        <f t="shared" si="59"/>
        <v>1.2015876175782612</v>
      </c>
      <c r="P318" s="72">
        <f t="shared" si="44"/>
        <v>2.3010998855322748</v>
      </c>
      <c r="Q318" s="72">
        <f t="shared" si="60"/>
        <v>3.5026875031105362</v>
      </c>
    </row>
    <row r="319" spans="1:17" ht="15.75" thickBot="1" x14ac:dyDescent="0.3">
      <c r="A319" s="44" t="s">
        <v>973</v>
      </c>
      <c r="B319" s="45" t="s">
        <v>974</v>
      </c>
      <c r="C319" s="44" t="s">
        <v>822</v>
      </c>
      <c r="D319" s="47">
        <v>28263</v>
      </c>
      <c r="E319" s="47">
        <v>37164</v>
      </c>
      <c r="F319" s="47">
        <v>1871</v>
      </c>
      <c r="G319" s="47">
        <v>5069</v>
      </c>
      <c r="H319" s="47">
        <v>20</v>
      </c>
      <c r="I319" s="47">
        <v>3</v>
      </c>
      <c r="J319" s="47">
        <v>16412</v>
      </c>
      <c r="K319" s="47">
        <v>1836</v>
      </c>
      <c r="L319" s="47">
        <v>181</v>
      </c>
      <c r="M319" s="47">
        <f t="shared" si="57"/>
        <v>18429</v>
      </c>
      <c r="N319" s="251">
        <f t="shared" si="58"/>
        <v>62533</v>
      </c>
      <c r="O319" s="53">
        <f t="shared" si="59"/>
        <v>0.65205392208895019</v>
      </c>
      <c r="P319" s="72">
        <f t="shared" si="44"/>
        <v>1.5604854403283446</v>
      </c>
      <c r="Q319" s="72">
        <f t="shared" si="60"/>
        <v>2.2125393624172949</v>
      </c>
    </row>
    <row r="320" spans="1:17" ht="15.75" thickBot="1" x14ac:dyDescent="0.3">
      <c r="A320" s="122" t="s">
        <v>983</v>
      </c>
      <c r="B320" s="248" t="s">
        <v>984</v>
      </c>
      <c r="C320" s="122" t="s">
        <v>822</v>
      </c>
      <c r="D320" s="249">
        <v>26391</v>
      </c>
      <c r="E320" s="249">
        <v>59202</v>
      </c>
      <c r="F320" s="249">
        <v>6869</v>
      </c>
      <c r="G320" s="249">
        <v>7415</v>
      </c>
      <c r="H320" s="249">
        <v>145</v>
      </c>
      <c r="I320" s="249">
        <v>10</v>
      </c>
      <c r="J320" s="249" t="s">
        <v>3479</v>
      </c>
      <c r="K320" s="249" t="s">
        <v>3479</v>
      </c>
      <c r="L320" s="249" t="s">
        <v>3479</v>
      </c>
      <c r="M320" s="249" t="s">
        <v>3479</v>
      </c>
      <c r="N320" s="250" t="s">
        <v>3480</v>
      </c>
      <c r="O320" s="250" t="s">
        <v>3480</v>
      </c>
      <c r="P320" s="72">
        <f t="shared" si="44"/>
        <v>2.7845098707892841</v>
      </c>
      <c r="Q320" s="249" t="s">
        <v>3480</v>
      </c>
    </row>
    <row r="321" spans="1:17" ht="15.75" thickBot="1" x14ac:dyDescent="0.3">
      <c r="A321" s="44" t="s">
        <v>1001</v>
      </c>
      <c r="B321" s="45" t="s">
        <v>1002</v>
      </c>
      <c r="C321" s="44" t="s">
        <v>822</v>
      </c>
      <c r="D321" s="47">
        <v>32799</v>
      </c>
      <c r="E321" s="47">
        <v>57542</v>
      </c>
      <c r="F321" s="47">
        <v>6313</v>
      </c>
      <c r="G321" s="47">
        <v>6084</v>
      </c>
      <c r="H321" s="47">
        <v>150</v>
      </c>
      <c r="I321" s="47">
        <v>2</v>
      </c>
      <c r="J321" s="47">
        <v>21403</v>
      </c>
      <c r="K321" s="47">
        <v>7132</v>
      </c>
      <c r="L321" s="47">
        <v>0</v>
      </c>
      <c r="M321" s="47">
        <f t="shared" ref="M321:M328" si="61">J321+K321+L321</f>
        <v>28535</v>
      </c>
      <c r="N321" s="251">
        <f t="shared" ref="N321:N328" si="62">E321+F321+G321+J321+K321+L321</f>
        <v>98474</v>
      </c>
      <c r="O321" s="53">
        <f t="shared" ref="O321:O328" si="63">(J321+K321+L321)/D321</f>
        <v>0.86999603646452639</v>
      </c>
      <c r="P321" s="72">
        <f t="shared" si="44"/>
        <v>2.1323515960852464</v>
      </c>
      <c r="Q321" s="72">
        <f t="shared" ref="Q321:Q328" si="64">N321/D321</f>
        <v>3.0023476325497729</v>
      </c>
    </row>
    <row r="322" spans="1:17" ht="15.75" thickBot="1" x14ac:dyDescent="0.3">
      <c r="A322" s="44" t="s">
        <v>1011</v>
      </c>
      <c r="B322" s="45" t="s">
        <v>1012</v>
      </c>
      <c r="C322" s="44" t="s">
        <v>822</v>
      </c>
      <c r="D322" s="47">
        <v>26168</v>
      </c>
      <c r="E322" s="47">
        <v>90763</v>
      </c>
      <c r="F322" s="47">
        <v>6517</v>
      </c>
      <c r="G322" s="47">
        <v>9384</v>
      </c>
      <c r="H322" s="47">
        <v>198</v>
      </c>
      <c r="I322" s="47">
        <v>4</v>
      </c>
      <c r="J322" s="47">
        <v>8012</v>
      </c>
      <c r="K322" s="47">
        <v>3347</v>
      </c>
      <c r="L322" s="47">
        <v>285</v>
      </c>
      <c r="M322" s="47">
        <f t="shared" si="61"/>
        <v>11644</v>
      </c>
      <c r="N322" s="251">
        <f t="shared" si="62"/>
        <v>118308</v>
      </c>
      <c r="O322" s="53">
        <f t="shared" si="63"/>
        <v>0.44497095689391625</v>
      </c>
      <c r="P322" s="72">
        <f t="shared" si="44"/>
        <v>4.076123509630083</v>
      </c>
      <c r="Q322" s="72">
        <f t="shared" si="64"/>
        <v>4.5210944665239987</v>
      </c>
    </row>
    <row r="323" spans="1:17" ht="15.75" thickBot="1" x14ac:dyDescent="0.3">
      <c r="A323" s="44" t="s">
        <v>1023</v>
      </c>
      <c r="B323" s="45" t="s">
        <v>1024</v>
      </c>
      <c r="C323" s="44" t="s">
        <v>822</v>
      </c>
      <c r="D323" s="47">
        <v>48579</v>
      </c>
      <c r="E323" s="47">
        <v>68039</v>
      </c>
      <c r="F323" s="47">
        <v>4250</v>
      </c>
      <c r="G323" s="47">
        <v>6386</v>
      </c>
      <c r="H323" s="47">
        <v>143</v>
      </c>
      <c r="I323" s="47">
        <v>8</v>
      </c>
      <c r="J323" s="47">
        <v>37257</v>
      </c>
      <c r="K323" s="47">
        <v>39800</v>
      </c>
      <c r="L323" s="47">
        <v>36041</v>
      </c>
      <c r="M323" s="47">
        <f t="shared" si="61"/>
        <v>113098</v>
      </c>
      <c r="N323" s="251">
        <f t="shared" si="62"/>
        <v>191773</v>
      </c>
      <c r="O323" s="53">
        <f t="shared" si="63"/>
        <v>2.3281253216410382</v>
      </c>
      <c r="P323" s="72">
        <f t="shared" si="44"/>
        <v>1.6195269560921386</v>
      </c>
      <c r="Q323" s="72">
        <f t="shared" si="64"/>
        <v>3.9476522777331771</v>
      </c>
    </row>
    <row r="324" spans="1:17" ht="15.75" thickBot="1" x14ac:dyDescent="0.3">
      <c r="A324" s="44" t="s">
        <v>1025</v>
      </c>
      <c r="B324" s="45" t="s">
        <v>1026</v>
      </c>
      <c r="C324" s="44" t="s">
        <v>822</v>
      </c>
      <c r="D324" s="47">
        <v>32442</v>
      </c>
      <c r="E324" s="47">
        <v>62567</v>
      </c>
      <c r="F324" s="47">
        <v>3831</v>
      </c>
      <c r="G324" s="47">
        <v>4206</v>
      </c>
      <c r="H324" s="47">
        <v>84</v>
      </c>
      <c r="I324" s="47">
        <v>5</v>
      </c>
      <c r="J324" s="47">
        <v>14495</v>
      </c>
      <c r="K324" s="47">
        <v>8056</v>
      </c>
      <c r="L324" s="47">
        <v>32</v>
      </c>
      <c r="M324" s="47">
        <f t="shared" si="61"/>
        <v>22583</v>
      </c>
      <c r="N324" s="251">
        <f t="shared" si="62"/>
        <v>93187</v>
      </c>
      <c r="O324" s="53">
        <f t="shared" si="63"/>
        <v>0.69610381604093463</v>
      </c>
      <c r="P324" s="72">
        <f t="shared" ref="P324:P387" si="65">(E324+F324+G324)/D324</f>
        <v>2.1763146538437828</v>
      </c>
      <c r="Q324" s="72">
        <f t="shared" si="64"/>
        <v>2.8724184698847175</v>
      </c>
    </row>
    <row r="325" spans="1:17" ht="15.75" thickBot="1" x14ac:dyDescent="0.3">
      <c r="A325" s="44" t="s">
        <v>1085</v>
      </c>
      <c r="B325" s="45" t="s">
        <v>1086</v>
      </c>
      <c r="C325" s="44" t="s">
        <v>822</v>
      </c>
      <c r="D325" s="47">
        <v>27692</v>
      </c>
      <c r="E325" s="47">
        <v>50260</v>
      </c>
      <c r="F325" s="47">
        <v>2344</v>
      </c>
      <c r="G325" s="47">
        <v>6146</v>
      </c>
      <c r="H325" s="47">
        <v>34</v>
      </c>
      <c r="I325" s="47">
        <v>0</v>
      </c>
      <c r="J325" s="47">
        <v>25954</v>
      </c>
      <c r="K325" s="47">
        <v>39406</v>
      </c>
      <c r="L325" s="47">
        <v>1257</v>
      </c>
      <c r="M325" s="47">
        <f t="shared" si="61"/>
        <v>66617</v>
      </c>
      <c r="N325" s="251">
        <f t="shared" si="62"/>
        <v>125367</v>
      </c>
      <c r="O325" s="53">
        <f t="shared" si="63"/>
        <v>2.4056406182290915</v>
      </c>
      <c r="P325" s="72">
        <f t="shared" si="65"/>
        <v>2.1215513505705621</v>
      </c>
      <c r="Q325" s="72">
        <f t="shared" si="64"/>
        <v>4.5271919687996531</v>
      </c>
    </row>
    <row r="326" spans="1:17" ht="15.75" thickBot="1" x14ac:dyDescent="0.3">
      <c r="A326" s="44" t="s">
        <v>1093</v>
      </c>
      <c r="B326" s="45" t="s">
        <v>1094</v>
      </c>
      <c r="C326" s="44" t="s">
        <v>822</v>
      </c>
      <c r="D326" s="47">
        <v>46985</v>
      </c>
      <c r="E326" s="47">
        <v>164089</v>
      </c>
      <c r="F326" s="47">
        <v>7302</v>
      </c>
      <c r="G326" s="47">
        <v>8287</v>
      </c>
      <c r="H326" s="47">
        <v>148</v>
      </c>
      <c r="I326" s="47">
        <v>0</v>
      </c>
      <c r="J326" s="47">
        <v>30127</v>
      </c>
      <c r="K326" s="47">
        <v>7602</v>
      </c>
      <c r="L326" s="47">
        <v>406</v>
      </c>
      <c r="M326" s="47">
        <f t="shared" si="61"/>
        <v>38135</v>
      </c>
      <c r="N326" s="251">
        <f t="shared" si="62"/>
        <v>217813</v>
      </c>
      <c r="O326" s="53">
        <f t="shared" si="63"/>
        <v>0.81164201340853459</v>
      </c>
      <c r="P326" s="72">
        <f t="shared" si="65"/>
        <v>3.8241566457380016</v>
      </c>
      <c r="Q326" s="72">
        <f t="shared" si="64"/>
        <v>4.6357986591465359</v>
      </c>
    </row>
    <row r="327" spans="1:17" ht="15.75" thickBot="1" x14ac:dyDescent="0.3">
      <c r="A327" s="44" t="s">
        <v>1113</v>
      </c>
      <c r="B327" s="45" t="s">
        <v>1114</v>
      </c>
      <c r="C327" s="44" t="s">
        <v>822</v>
      </c>
      <c r="D327" s="47">
        <v>40898</v>
      </c>
      <c r="E327" s="47">
        <v>122368</v>
      </c>
      <c r="F327" s="47">
        <v>6074</v>
      </c>
      <c r="G327" s="47">
        <v>6458</v>
      </c>
      <c r="H327" s="47">
        <v>116</v>
      </c>
      <c r="I327" s="47">
        <v>3</v>
      </c>
      <c r="J327" s="47">
        <v>8127</v>
      </c>
      <c r="K327" s="47">
        <v>11164</v>
      </c>
      <c r="L327" s="47">
        <v>0</v>
      </c>
      <c r="M327" s="47">
        <f t="shared" si="61"/>
        <v>19291</v>
      </c>
      <c r="N327" s="251">
        <f t="shared" si="62"/>
        <v>154191</v>
      </c>
      <c r="O327" s="53">
        <f t="shared" si="63"/>
        <v>0.47168565700034232</v>
      </c>
      <c r="P327" s="72">
        <f t="shared" si="65"/>
        <v>3.2984498019463055</v>
      </c>
      <c r="Q327" s="72">
        <f t="shared" si="64"/>
        <v>3.7701354589466476</v>
      </c>
    </row>
    <row r="328" spans="1:17" ht="15.75" thickBot="1" x14ac:dyDescent="0.3">
      <c r="A328" s="44" t="s">
        <v>1171</v>
      </c>
      <c r="B328" s="45" t="s">
        <v>1172</v>
      </c>
      <c r="C328" s="44" t="s">
        <v>822</v>
      </c>
      <c r="D328" s="47">
        <v>41786</v>
      </c>
      <c r="E328" s="47">
        <v>109653</v>
      </c>
      <c r="F328" s="47">
        <v>4959</v>
      </c>
      <c r="G328" s="47">
        <v>0</v>
      </c>
      <c r="H328" s="47">
        <v>204</v>
      </c>
      <c r="I328" s="47">
        <v>4</v>
      </c>
      <c r="J328" s="47">
        <v>14209</v>
      </c>
      <c r="K328" s="47">
        <v>4111</v>
      </c>
      <c r="L328" s="47">
        <v>0</v>
      </c>
      <c r="M328" s="47">
        <f t="shared" si="61"/>
        <v>18320</v>
      </c>
      <c r="N328" s="251">
        <f t="shared" si="62"/>
        <v>132932</v>
      </c>
      <c r="O328" s="53">
        <f t="shared" si="63"/>
        <v>0.43842435265399893</v>
      </c>
      <c r="P328" s="72">
        <f t="shared" si="65"/>
        <v>2.7428325276408367</v>
      </c>
      <c r="Q328" s="72">
        <f t="shared" si="64"/>
        <v>3.1812568802948356</v>
      </c>
    </row>
    <row r="329" spans="1:17" ht="15.75" thickBot="1" x14ac:dyDescent="0.3">
      <c r="A329" s="122" t="s">
        <v>1215</v>
      </c>
      <c r="B329" s="248" t="s">
        <v>1216</v>
      </c>
      <c r="C329" s="122" t="s">
        <v>822</v>
      </c>
      <c r="D329" s="249">
        <v>40771</v>
      </c>
      <c r="E329" s="249">
        <v>118149</v>
      </c>
      <c r="F329" s="249">
        <v>2686</v>
      </c>
      <c r="G329" s="249">
        <v>5451</v>
      </c>
      <c r="H329" s="249">
        <v>180</v>
      </c>
      <c r="I329" s="249">
        <v>9</v>
      </c>
      <c r="J329" s="249" t="s">
        <v>3479</v>
      </c>
      <c r="K329" s="249" t="s">
        <v>3479</v>
      </c>
      <c r="L329" s="249" t="s">
        <v>3479</v>
      </c>
      <c r="M329" s="249" t="s">
        <v>3479</v>
      </c>
      <c r="N329" s="250" t="s">
        <v>3480</v>
      </c>
      <c r="O329" s="250" t="s">
        <v>3480</v>
      </c>
      <c r="P329" s="72">
        <f t="shared" si="65"/>
        <v>3.0974467145765372</v>
      </c>
      <c r="Q329" s="249" t="s">
        <v>3480</v>
      </c>
    </row>
    <row r="330" spans="1:17" ht="15.75" thickBot="1" x14ac:dyDescent="0.3">
      <c r="A330" s="44" t="s">
        <v>1221</v>
      </c>
      <c r="B330" s="45" t="s">
        <v>1222</v>
      </c>
      <c r="C330" s="44" t="s">
        <v>822</v>
      </c>
      <c r="D330" s="47">
        <v>38144</v>
      </c>
      <c r="E330" s="47">
        <v>39312</v>
      </c>
      <c r="F330" s="47">
        <v>1926</v>
      </c>
      <c r="G330" s="47">
        <v>3296</v>
      </c>
      <c r="H330" s="47">
        <v>34</v>
      </c>
      <c r="I330" s="47">
        <v>2</v>
      </c>
      <c r="J330" s="47">
        <v>3754</v>
      </c>
      <c r="K330" s="47">
        <v>0</v>
      </c>
      <c r="L330" s="47">
        <v>0</v>
      </c>
      <c r="M330" s="47">
        <f>J330+K330+L330</f>
        <v>3754</v>
      </c>
      <c r="N330" s="251">
        <f>E330+F330+G330+J330+K330+L330</f>
        <v>48288</v>
      </c>
      <c r="O330" s="53">
        <f>(J330+K330+L330)/D330</f>
        <v>9.8416526845637578E-2</v>
      </c>
      <c r="P330" s="72">
        <f t="shared" si="65"/>
        <v>1.1675230704697988</v>
      </c>
      <c r="Q330" s="72">
        <f>N330/D330</f>
        <v>1.2659395973154361</v>
      </c>
    </row>
    <row r="331" spans="1:17" ht="15.75" thickBot="1" x14ac:dyDescent="0.3">
      <c r="A331" s="44" t="s">
        <v>1231</v>
      </c>
      <c r="B331" s="45" t="s">
        <v>1232</v>
      </c>
      <c r="C331" s="44" t="s">
        <v>822</v>
      </c>
      <c r="D331" s="47">
        <v>35540</v>
      </c>
      <c r="E331" s="47">
        <v>117092</v>
      </c>
      <c r="F331" s="47">
        <v>13111</v>
      </c>
      <c r="G331" s="47">
        <v>9403</v>
      </c>
      <c r="H331" s="47">
        <v>148</v>
      </c>
      <c r="I331" s="47">
        <v>10</v>
      </c>
      <c r="J331" s="47">
        <v>36147</v>
      </c>
      <c r="K331" s="47">
        <v>13338</v>
      </c>
      <c r="L331" s="47">
        <v>0</v>
      </c>
      <c r="M331" s="47">
        <f>J331+K331+L331</f>
        <v>49485</v>
      </c>
      <c r="N331" s="251">
        <f>E331+F331+G331+J331+K331+L331</f>
        <v>189091</v>
      </c>
      <c r="O331" s="53">
        <f>(J331+K331+L331)/D331</f>
        <v>1.3923747889701745</v>
      </c>
      <c r="P331" s="72">
        <f t="shared" si="65"/>
        <v>3.9281373100731569</v>
      </c>
      <c r="Q331" s="72">
        <f>N331/D331</f>
        <v>5.3205120990433317</v>
      </c>
    </row>
    <row r="332" spans="1:17" ht="15.75" thickBot="1" x14ac:dyDescent="0.3">
      <c r="A332" s="44" t="s">
        <v>1247</v>
      </c>
      <c r="B332" s="45" t="s">
        <v>1248</v>
      </c>
      <c r="C332" s="44" t="s">
        <v>822</v>
      </c>
      <c r="D332" s="47">
        <v>29694</v>
      </c>
      <c r="E332" s="47">
        <v>68994</v>
      </c>
      <c r="F332" s="47">
        <v>2659</v>
      </c>
      <c r="G332" s="47">
        <v>5975</v>
      </c>
      <c r="H332" s="47">
        <v>86</v>
      </c>
      <c r="I332" s="47">
        <v>1</v>
      </c>
      <c r="J332" s="47">
        <v>43703</v>
      </c>
      <c r="K332" s="47">
        <v>12539</v>
      </c>
      <c r="L332" s="47">
        <v>761</v>
      </c>
      <c r="M332" s="47">
        <f>J332+K332+L332</f>
        <v>57003</v>
      </c>
      <c r="N332" s="251">
        <f>E332+F332+G332+J332+K332+L332</f>
        <v>134631</v>
      </c>
      <c r="O332" s="53">
        <f>(J332+K332+L332)/D332</f>
        <v>1.9196807435845626</v>
      </c>
      <c r="P332" s="72">
        <f t="shared" si="65"/>
        <v>2.6142655081834714</v>
      </c>
      <c r="Q332" s="72">
        <f>N332/D332</f>
        <v>4.5339462517680342</v>
      </c>
    </row>
    <row r="333" spans="1:17" ht="15.75" thickBot="1" x14ac:dyDescent="0.3">
      <c r="A333" s="44" t="s">
        <v>1267</v>
      </c>
      <c r="B333" s="45" t="s">
        <v>1268</v>
      </c>
      <c r="C333" s="44" t="s">
        <v>822</v>
      </c>
      <c r="D333" s="47">
        <v>28646</v>
      </c>
      <c r="E333" s="47">
        <v>57690</v>
      </c>
      <c r="F333" s="47">
        <v>2017</v>
      </c>
      <c r="G333" s="47">
        <v>8619</v>
      </c>
      <c r="H333" s="47">
        <v>121</v>
      </c>
      <c r="I333" s="47">
        <v>11</v>
      </c>
      <c r="J333" s="47">
        <v>23635</v>
      </c>
      <c r="K333" s="47">
        <v>4770</v>
      </c>
      <c r="L333" s="47">
        <v>199</v>
      </c>
      <c r="M333" s="47">
        <f>J333+K333+L333</f>
        <v>28604</v>
      </c>
      <c r="N333" s="251">
        <f>E333+F333+G333+J333+K333+L333</f>
        <v>96930</v>
      </c>
      <c r="O333" s="53">
        <f>(J333+K333+L333)/D333</f>
        <v>0.99853382671228097</v>
      </c>
      <c r="P333" s="72">
        <f t="shared" si="65"/>
        <v>2.385184668016477</v>
      </c>
      <c r="Q333" s="72">
        <f>N333/D333</f>
        <v>3.383718494728758</v>
      </c>
    </row>
    <row r="334" spans="1:17" ht="15.75" thickBot="1" x14ac:dyDescent="0.3">
      <c r="A334" s="122" t="s">
        <v>1323</v>
      </c>
      <c r="B334" s="248" t="s">
        <v>1324</v>
      </c>
      <c r="C334" s="122" t="s">
        <v>822</v>
      </c>
      <c r="D334" s="249">
        <v>34467</v>
      </c>
      <c r="E334" s="249">
        <v>99149</v>
      </c>
      <c r="F334" s="249">
        <v>7578</v>
      </c>
      <c r="G334" s="249">
        <v>16937</v>
      </c>
      <c r="H334" s="249">
        <v>188</v>
      </c>
      <c r="I334" s="249">
        <v>71</v>
      </c>
      <c r="J334" s="249" t="s">
        <v>3479</v>
      </c>
      <c r="K334" s="249" t="s">
        <v>3479</v>
      </c>
      <c r="L334" s="249" t="s">
        <v>3479</v>
      </c>
      <c r="M334" s="249" t="s">
        <v>3479</v>
      </c>
      <c r="N334" s="250" t="s">
        <v>3480</v>
      </c>
      <c r="O334" s="250" t="s">
        <v>3480</v>
      </c>
      <c r="P334" s="72">
        <f t="shared" si="65"/>
        <v>3.5878956683204226</v>
      </c>
      <c r="Q334" s="249" t="s">
        <v>3480</v>
      </c>
    </row>
    <row r="335" spans="1:17" ht="15.75" thickBot="1" x14ac:dyDescent="0.3">
      <c r="A335" s="44" t="s">
        <v>1329</v>
      </c>
      <c r="B335" s="45" t="s">
        <v>1330</v>
      </c>
      <c r="C335" s="44" t="s">
        <v>822</v>
      </c>
      <c r="D335" s="47">
        <v>29319</v>
      </c>
      <c r="E335" s="47">
        <v>74697</v>
      </c>
      <c r="F335" s="47">
        <v>3792</v>
      </c>
      <c r="G335" s="47">
        <v>4812</v>
      </c>
      <c r="H335" s="47">
        <v>65</v>
      </c>
      <c r="I335" s="47">
        <v>0</v>
      </c>
      <c r="J335" s="47">
        <v>48274</v>
      </c>
      <c r="K335" s="47">
        <v>13038</v>
      </c>
      <c r="L335" s="47">
        <v>761</v>
      </c>
      <c r="M335" s="47">
        <f>J335+K335+L335</f>
        <v>62073</v>
      </c>
      <c r="N335" s="251">
        <f>E335+F335+G335+J335+K335+L335</f>
        <v>145374</v>
      </c>
      <c r="O335" s="53">
        <f>(J335+K335+L335)/D335</f>
        <v>2.117159521129643</v>
      </c>
      <c r="P335" s="72">
        <f t="shared" si="65"/>
        <v>2.841195129438248</v>
      </c>
      <c r="Q335" s="72">
        <f>N335/D335</f>
        <v>4.958354650567891</v>
      </c>
    </row>
    <row r="336" spans="1:17" ht="15.75" thickBot="1" x14ac:dyDescent="0.3">
      <c r="A336" s="44" t="s">
        <v>1335</v>
      </c>
      <c r="B336" s="45" t="s">
        <v>1336</v>
      </c>
      <c r="C336" s="44" t="s">
        <v>822</v>
      </c>
      <c r="D336" s="47">
        <v>35394</v>
      </c>
      <c r="E336" s="47">
        <v>95832</v>
      </c>
      <c r="F336" s="47">
        <v>4467</v>
      </c>
      <c r="G336" s="47">
        <v>18736</v>
      </c>
      <c r="H336" s="47">
        <v>228</v>
      </c>
      <c r="I336" s="47">
        <v>19</v>
      </c>
      <c r="J336" s="47">
        <v>76964</v>
      </c>
      <c r="K336" s="47">
        <v>38141</v>
      </c>
      <c r="L336" s="47">
        <v>2415</v>
      </c>
      <c r="M336" s="47">
        <f>J336+K336+L336</f>
        <v>117520</v>
      </c>
      <c r="N336" s="251">
        <f>E336+F336+G336+J336+K336+L336</f>
        <v>236555</v>
      </c>
      <c r="O336" s="53">
        <f>(J336+K336+L336)/D336</f>
        <v>3.3203367802452393</v>
      </c>
      <c r="P336" s="72">
        <f t="shared" si="65"/>
        <v>3.363140645307114</v>
      </c>
      <c r="Q336" s="72">
        <f>N336/D336</f>
        <v>6.6834774255523532</v>
      </c>
    </row>
    <row r="337" spans="1:17" ht="15.75" thickBot="1" x14ac:dyDescent="0.3">
      <c r="A337" s="44" t="s">
        <v>1363</v>
      </c>
      <c r="B337" s="45" t="s">
        <v>1364</v>
      </c>
      <c r="C337" s="44" t="s">
        <v>822</v>
      </c>
      <c r="D337" s="47">
        <v>36441</v>
      </c>
      <c r="E337" s="47">
        <v>156352</v>
      </c>
      <c r="F337" s="47">
        <v>14822</v>
      </c>
      <c r="G337" s="47">
        <v>8708</v>
      </c>
      <c r="H337" s="47">
        <v>226</v>
      </c>
      <c r="I337" s="47">
        <v>18</v>
      </c>
      <c r="J337" s="47">
        <v>8761</v>
      </c>
      <c r="K337" s="47">
        <v>4006</v>
      </c>
      <c r="L337" s="47">
        <v>285</v>
      </c>
      <c r="M337" s="47">
        <f>J337+K337+L337</f>
        <v>13052</v>
      </c>
      <c r="N337" s="251">
        <f>E337+F337+G337+J337+K337+L337</f>
        <v>192934</v>
      </c>
      <c r="O337" s="53">
        <f>(J337+K337+L337)/D337</f>
        <v>0.35816799758513762</v>
      </c>
      <c r="P337" s="72">
        <f t="shared" si="65"/>
        <v>4.936253121484043</v>
      </c>
      <c r="Q337" s="72">
        <f>N337/D337</f>
        <v>5.2944211190691801</v>
      </c>
    </row>
    <row r="338" spans="1:17" ht="15.75" thickBot="1" x14ac:dyDescent="0.3">
      <c r="A338" s="122" t="s">
        <v>1373</v>
      </c>
      <c r="B338" s="248" t="s">
        <v>1374</v>
      </c>
      <c r="C338" s="122" t="s">
        <v>822</v>
      </c>
      <c r="D338" s="249">
        <v>36656</v>
      </c>
      <c r="E338" s="249">
        <v>199391</v>
      </c>
      <c r="F338" s="249">
        <v>18232</v>
      </c>
      <c r="G338" s="249">
        <v>24700</v>
      </c>
      <c r="H338" s="249">
        <v>350</v>
      </c>
      <c r="I338" s="249">
        <v>22</v>
      </c>
      <c r="J338" s="249" t="s">
        <v>3479</v>
      </c>
      <c r="K338" s="249" t="s">
        <v>3479</v>
      </c>
      <c r="L338" s="249" t="s">
        <v>3479</v>
      </c>
      <c r="M338" s="249" t="s">
        <v>3479</v>
      </c>
      <c r="N338" s="250" t="s">
        <v>3480</v>
      </c>
      <c r="O338" s="250" t="s">
        <v>3480</v>
      </c>
      <c r="P338" s="72">
        <f t="shared" si="65"/>
        <v>6.6107322130074202</v>
      </c>
      <c r="Q338" s="249" t="s">
        <v>3480</v>
      </c>
    </row>
    <row r="339" spans="1:17" ht="15.75" thickBot="1" x14ac:dyDescent="0.3">
      <c r="A339" s="44" t="s">
        <v>1401</v>
      </c>
      <c r="B339" s="45" t="s">
        <v>1402</v>
      </c>
      <c r="C339" s="44" t="s">
        <v>822</v>
      </c>
      <c r="D339" s="47">
        <v>48362</v>
      </c>
      <c r="E339" s="47">
        <v>135001</v>
      </c>
      <c r="F339" s="47">
        <v>8658</v>
      </c>
      <c r="G339" s="47">
        <v>9724</v>
      </c>
      <c r="H339" s="47">
        <v>149</v>
      </c>
      <c r="I339" s="47">
        <v>10</v>
      </c>
      <c r="J339" s="47">
        <v>41473</v>
      </c>
      <c r="K339" s="47">
        <v>26594</v>
      </c>
      <c r="L339" s="47">
        <v>1603</v>
      </c>
      <c r="M339" s="47">
        <f t="shared" ref="M339:M355" si="66">J339+K339+L339</f>
        <v>69670</v>
      </c>
      <c r="N339" s="251">
        <f t="shared" ref="N339:N355" si="67">E339+F339+G339+J339+K339+L339</f>
        <v>223053</v>
      </c>
      <c r="O339" s="53">
        <f t="shared" ref="O339:O355" si="68">(J339+K339+L339)/D339</f>
        <v>1.4405938546792936</v>
      </c>
      <c r="P339" s="72">
        <f t="shared" si="65"/>
        <v>3.1715603159505399</v>
      </c>
      <c r="Q339" s="72">
        <f t="shared" ref="Q339:Q355" si="69">N339/D339</f>
        <v>4.6121541706298332</v>
      </c>
    </row>
    <row r="340" spans="1:17" ht="15.75" thickBot="1" x14ac:dyDescent="0.3">
      <c r="A340" s="44" t="s">
        <v>1425</v>
      </c>
      <c r="B340" s="45" t="s">
        <v>1426</v>
      </c>
      <c r="C340" s="44" t="s">
        <v>822</v>
      </c>
      <c r="D340" s="47">
        <v>33839</v>
      </c>
      <c r="E340" s="47">
        <v>73027</v>
      </c>
      <c r="F340" s="47">
        <v>6052</v>
      </c>
      <c r="G340" s="47">
        <v>19674</v>
      </c>
      <c r="H340" s="47">
        <v>105</v>
      </c>
      <c r="I340" s="47">
        <v>5</v>
      </c>
      <c r="J340" s="47">
        <v>12766</v>
      </c>
      <c r="K340" s="47">
        <v>2849</v>
      </c>
      <c r="L340" s="47">
        <v>0</v>
      </c>
      <c r="M340" s="47">
        <f t="shared" si="66"/>
        <v>15615</v>
      </c>
      <c r="N340" s="251">
        <f t="shared" si="67"/>
        <v>114368</v>
      </c>
      <c r="O340" s="53">
        <f t="shared" si="68"/>
        <v>0.46144980643636041</v>
      </c>
      <c r="P340" s="72">
        <f t="shared" si="65"/>
        <v>2.9183190992641626</v>
      </c>
      <c r="Q340" s="72">
        <f t="shared" si="69"/>
        <v>3.3797689057005229</v>
      </c>
    </row>
    <row r="341" spans="1:17" ht="15.75" thickBot="1" x14ac:dyDescent="0.3">
      <c r="A341" s="44" t="s">
        <v>1427</v>
      </c>
      <c r="B341" s="45" t="s">
        <v>1428</v>
      </c>
      <c r="C341" s="44" t="s">
        <v>822</v>
      </c>
      <c r="D341" s="47">
        <v>39868</v>
      </c>
      <c r="E341" s="47">
        <v>42621</v>
      </c>
      <c r="F341" s="47">
        <v>1746</v>
      </c>
      <c r="G341" s="47">
        <v>2942</v>
      </c>
      <c r="H341" s="47">
        <v>31</v>
      </c>
      <c r="I341" s="47">
        <v>3</v>
      </c>
      <c r="J341" s="47">
        <v>16768</v>
      </c>
      <c r="K341" s="47">
        <v>6642</v>
      </c>
      <c r="L341" s="47">
        <v>953</v>
      </c>
      <c r="M341" s="47">
        <f t="shared" si="66"/>
        <v>24363</v>
      </c>
      <c r="N341" s="251">
        <f t="shared" si="67"/>
        <v>71672</v>
      </c>
      <c r="O341" s="53">
        <f t="shared" si="68"/>
        <v>0.61109160228754889</v>
      </c>
      <c r="P341" s="72">
        <f t="shared" si="65"/>
        <v>1.1866409150195645</v>
      </c>
      <c r="Q341" s="72">
        <f t="shared" si="69"/>
        <v>1.7977325173071135</v>
      </c>
    </row>
    <row r="342" spans="1:17" ht="15.75" thickBot="1" x14ac:dyDescent="0.3">
      <c r="A342" s="44" t="s">
        <v>1431</v>
      </c>
      <c r="B342" s="45" t="s">
        <v>1432</v>
      </c>
      <c r="C342" s="44" t="s">
        <v>822</v>
      </c>
      <c r="D342" s="47">
        <v>47299</v>
      </c>
      <c r="E342" s="47">
        <v>82316</v>
      </c>
      <c r="F342" s="47">
        <v>5670</v>
      </c>
      <c r="G342" s="47">
        <v>9477</v>
      </c>
      <c r="H342" s="47">
        <v>54</v>
      </c>
      <c r="I342" s="47">
        <v>6</v>
      </c>
      <c r="J342" s="47">
        <v>14156</v>
      </c>
      <c r="K342" s="47">
        <v>3945</v>
      </c>
      <c r="L342" s="47">
        <v>32</v>
      </c>
      <c r="M342" s="47">
        <f t="shared" si="66"/>
        <v>18133</v>
      </c>
      <c r="N342" s="251">
        <f t="shared" si="67"/>
        <v>115596</v>
      </c>
      <c r="O342" s="53">
        <f t="shared" si="68"/>
        <v>0.38336962726484702</v>
      </c>
      <c r="P342" s="72">
        <f t="shared" si="65"/>
        <v>2.0605721051185015</v>
      </c>
      <c r="Q342" s="72">
        <f t="shared" si="69"/>
        <v>2.4439417323833483</v>
      </c>
    </row>
    <row r="343" spans="1:17" ht="15.75" thickBot="1" x14ac:dyDescent="0.3">
      <c r="A343" s="44" t="s">
        <v>1449</v>
      </c>
      <c r="B343" s="45" t="s">
        <v>1450</v>
      </c>
      <c r="C343" s="44" t="s">
        <v>822</v>
      </c>
      <c r="D343" s="47">
        <v>26376</v>
      </c>
      <c r="E343" s="47">
        <v>97868</v>
      </c>
      <c r="F343" s="47">
        <v>10416</v>
      </c>
      <c r="G343" s="47">
        <v>10623</v>
      </c>
      <c r="H343" s="47">
        <v>215</v>
      </c>
      <c r="I343" s="47">
        <v>17</v>
      </c>
      <c r="J343" s="47">
        <v>38659</v>
      </c>
      <c r="K343" s="47">
        <v>13246</v>
      </c>
      <c r="L343" s="47">
        <v>853</v>
      </c>
      <c r="M343" s="47">
        <f t="shared" si="66"/>
        <v>52758</v>
      </c>
      <c r="N343" s="251">
        <f t="shared" si="67"/>
        <v>171665</v>
      </c>
      <c r="O343" s="53">
        <f t="shared" si="68"/>
        <v>2.0002274795268424</v>
      </c>
      <c r="P343" s="72">
        <f t="shared" si="65"/>
        <v>4.5081513497118593</v>
      </c>
      <c r="Q343" s="72">
        <f t="shared" si="69"/>
        <v>6.5083788292387021</v>
      </c>
    </row>
    <row r="344" spans="1:17" ht="15.75" thickBot="1" x14ac:dyDescent="0.3">
      <c r="A344" s="44" t="s">
        <v>1474</v>
      </c>
      <c r="B344" s="45" t="s">
        <v>1475</v>
      </c>
      <c r="C344" s="44" t="s">
        <v>822</v>
      </c>
      <c r="D344" s="47">
        <v>27920</v>
      </c>
      <c r="E344" s="47">
        <v>72039</v>
      </c>
      <c r="F344" s="47">
        <v>5417</v>
      </c>
      <c r="G344" s="47">
        <v>2721</v>
      </c>
      <c r="H344" s="47">
        <v>108</v>
      </c>
      <c r="I344" s="47">
        <v>20</v>
      </c>
      <c r="J344" s="47">
        <v>15436</v>
      </c>
      <c r="K344" s="47">
        <v>2233</v>
      </c>
      <c r="L344" s="47">
        <v>0</v>
      </c>
      <c r="M344" s="47">
        <f t="shared" si="66"/>
        <v>17669</v>
      </c>
      <c r="N344" s="251">
        <f t="shared" si="67"/>
        <v>97846</v>
      </c>
      <c r="O344" s="53">
        <f t="shared" si="68"/>
        <v>0.63284383954154733</v>
      </c>
      <c r="P344" s="72">
        <f t="shared" si="65"/>
        <v>2.8716690544412606</v>
      </c>
      <c r="Q344" s="72">
        <f t="shared" si="69"/>
        <v>3.5045128939828079</v>
      </c>
    </row>
    <row r="345" spans="1:17" ht="15.75" thickBot="1" x14ac:dyDescent="0.3">
      <c r="A345" s="44" t="s">
        <v>1484</v>
      </c>
      <c r="B345" s="45" t="s">
        <v>1485</v>
      </c>
      <c r="C345" s="44" t="s">
        <v>822</v>
      </c>
      <c r="D345" s="47">
        <v>30047</v>
      </c>
      <c r="E345" s="47">
        <v>80958</v>
      </c>
      <c r="F345" s="47">
        <v>8673</v>
      </c>
      <c r="G345" s="47">
        <v>8250</v>
      </c>
      <c r="H345" s="47">
        <v>42</v>
      </c>
      <c r="I345" s="47">
        <v>3</v>
      </c>
      <c r="J345" s="47">
        <v>48274</v>
      </c>
      <c r="K345" s="47">
        <v>13038</v>
      </c>
      <c r="L345" s="47">
        <v>761</v>
      </c>
      <c r="M345" s="47">
        <f t="shared" si="66"/>
        <v>62073</v>
      </c>
      <c r="N345" s="251">
        <f t="shared" si="67"/>
        <v>159954</v>
      </c>
      <c r="O345" s="53">
        <f t="shared" si="68"/>
        <v>2.0658634805471427</v>
      </c>
      <c r="P345" s="72">
        <f t="shared" si="65"/>
        <v>3.2575964322561322</v>
      </c>
      <c r="Q345" s="72">
        <f t="shared" si="69"/>
        <v>5.3234599128032745</v>
      </c>
    </row>
    <row r="346" spans="1:17" ht="15.75" thickBot="1" x14ac:dyDescent="0.3">
      <c r="A346" s="44" t="s">
        <v>1502</v>
      </c>
      <c r="B346" s="45" t="s">
        <v>1503</v>
      </c>
      <c r="C346" s="44" t="s">
        <v>822</v>
      </c>
      <c r="D346" s="47">
        <v>43031</v>
      </c>
      <c r="E346" s="47">
        <v>216315</v>
      </c>
      <c r="F346" s="47">
        <v>8191</v>
      </c>
      <c r="G346" s="47">
        <v>15215</v>
      </c>
      <c r="H346" s="47">
        <v>321</v>
      </c>
      <c r="I346" s="47">
        <v>19</v>
      </c>
      <c r="J346" s="47">
        <v>8543</v>
      </c>
      <c r="K346" s="47">
        <v>3883</v>
      </c>
      <c r="L346" s="47">
        <v>285</v>
      </c>
      <c r="M346" s="47">
        <f t="shared" si="66"/>
        <v>12711</v>
      </c>
      <c r="N346" s="251">
        <f t="shared" si="67"/>
        <v>252432</v>
      </c>
      <c r="O346" s="53">
        <f t="shared" si="68"/>
        <v>0.29539169435988011</v>
      </c>
      <c r="P346" s="72">
        <f t="shared" si="65"/>
        <v>5.5708907531779417</v>
      </c>
      <c r="Q346" s="72">
        <f t="shared" si="69"/>
        <v>5.8662824475378219</v>
      </c>
    </row>
    <row r="347" spans="1:17" ht="15.75" thickBot="1" x14ac:dyDescent="0.3">
      <c r="A347" s="44" t="s">
        <v>1546</v>
      </c>
      <c r="B347" s="45" t="s">
        <v>1547</v>
      </c>
      <c r="C347" s="44" t="s">
        <v>822</v>
      </c>
      <c r="D347" s="47">
        <v>44265</v>
      </c>
      <c r="E347" s="47">
        <v>154116</v>
      </c>
      <c r="F347" s="47">
        <v>3498</v>
      </c>
      <c r="G347" s="47">
        <v>13523</v>
      </c>
      <c r="H347" s="47">
        <v>864</v>
      </c>
      <c r="I347" s="47">
        <v>5</v>
      </c>
      <c r="J347" s="47">
        <v>17721</v>
      </c>
      <c r="K347" s="47">
        <v>5637</v>
      </c>
      <c r="L347" s="47">
        <v>3703</v>
      </c>
      <c r="M347" s="47">
        <f t="shared" si="66"/>
        <v>27061</v>
      </c>
      <c r="N347" s="251">
        <f t="shared" si="67"/>
        <v>198198</v>
      </c>
      <c r="O347" s="53">
        <f t="shared" si="68"/>
        <v>0.61134078843329942</v>
      </c>
      <c r="P347" s="72">
        <f t="shared" si="65"/>
        <v>3.8661922512142777</v>
      </c>
      <c r="Q347" s="72">
        <f t="shared" si="69"/>
        <v>4.477533039647577</v>
      </c>
    </row>
    <row r="348" spans="1:17" ht="15.75" thickBot="1" x14ac:dyDescent="0.3">
      <c r="A348" s="44" t="s">
        <v>1586</v>
      </c>
      <c r="B348" s="45" t="s">
        <v>1587</v>
      </c>
      <c r="C348" s="44" t="s">
        <v>822</v>
      </c>
      <c r="D348" s="47">
        <v>30019</v>
      </c>
      <c r="E348" s="47">
        <v>56571</v>
      </c>
      <c r="F348" s="47">
        <v>2347</v>
      </c>
      <c r="G348" s="47">
        <v>4458</v>
      </c>
      <c r="H348" s="47">
        <v>110</v>
      </c>
      <c r="I348" s="47">
        <v>6</v>
      </c>
      <c r="J348" s="47">
        <v>44948</v>
      </c>
      <c r="K348" s="47">
        <v>16473</v>
      </c>
      <c r="L348" s="47">
        <v>853</v>
      </c>
      <c r="M348" s="47">
        <f t="shared" si="66"/>
        <v>62274</v>
      </c>
      <c r="N348" s="251">
        <f t="shared" si="67"/>
        <v>125650</v>
      </c>
      <c r="O348" s="53">
        <f t="shared" si="68"/>
        <v>2.0744861587661148</v>
      </c>
      <c r="P348" s="72">
        <f t="shared" si="65"/>
        <v>2.1111962423798261</v>
      </c>
      <c r="Q348" s="72">
        <f t="shared" si="69"/>
        <v>4.1856824011459413</v>
      </c>
    </row>
    <row r="349" spans="1:17" ht="15.75" thickBot="1" x14ac:dyDescent="0.3">
      <c r="A349" s="44" t="s">
        <v>835</v>
      </c>
      <c r="B349" s="45" t="s">
        <v>836</v>
      </c>
      <c r="C349" s="44" t="s">
        <v>837</v>
      </c>
      <c r="D349" s="47">
        <v>163590</v>
      </c>
      <c r="E349" s="47">
        <v>357308</v>
      </c>
      <c r="F349" s="47">
        <v>73591</v>
      </c>
      <c r="G349" s="47">
        <v>77162</v>
      </c>
      <c r="H349" s="47">
        <v>1325</v>
      </c>
      <c r="I349" s="47">
        <v>34</v>
      </c>
      <c r="J349" s="47">
        <v>35122</v>
      </c>
      <c r="K349" s="47">
        <v>42798</v>
      </c>
      <c r="L349" s="47">
        <v>1132</v>
      </c>
      <c r="M349" s="47">
        <f t="shared" si="66"/>
        <v>79052</v>
      </c>
      <c r="N349" s="251">
        <f t="shared" si="67"/>
        <v>587113</v>
      </c>
      <c r="O349" s="53">
        <f t="shared" si="68"/>
        <v>0.48323247142245856</v>
      </c>
      <c r="P349" s="72">
        <f t="shared" si="65"/>
        <v>3.1056971697536526</v>
      </c>
      <c r="Q349" s="72">
        <f t="shared" si="69"/>
        <v>3.5889296411761111</v>
      </c>
    </row>
    <row r="350" spans="1:17" ht="15.75" thickBot="1" x14ac:dyDescent="0.3">
      <c r="A350" s="44" t="s">
        <v>861</v>
      </c>
      <c r="B350" s="45" t="s">
        <v>862</v>
      </c>
      <c r="C350" s="44" t="s">
        <v>837</v>
      </c>
      <c r="D350" s="47">
        <v>107681</v>
      </c>
      <c r="E350" s="47">
        <v>266607</v>
      </c>
      <c r="F350" s="47">
        <v>27211</v>
      </c>
      <c r="G350" s="47">
        <v>18481</v>
      </c>
      <c r="H350" s="47">
        <v>261</v>
      </c>
      <c r="I350" s="47">
        <v>12</v>
      </c>
      <c r="J350" s="47">
        <v>8547</v>
      </c>
      <c r="K350" s="47">
        <v>0</v>
      </c>
      <c r="L350" s="47">
        <v>0</v>
      </c>
      <c r="M350" s="47">
        <f t="shared" si="66"/>
        <v>8547</v>
      </c>
      <c r="N350" s="251">
        <f t="shared" si="67"/>
        <v>320846</v>
      </c>
      <c r="O350" s="53">
        <f t="shared" si="68"/>
        <v>7.9373334200091003E-2</v>
      </c>
      <c r="P350" s="72">
        <f t="shared" si="65"/>
        <v>2.9002238092142534</v>
      </c>
      <c r="Q350" s="72">
        <f t="shared" si="69"/>
        <v>2.979597143414344</v>
      </c>
    </row>
    <row r="351" spans="1:17" ht="15.75" thickBot="1" x14ac:dyDescent="0.3">
      <c r="A351" s="44" t="s">
        <v>923</v>
      </c>
      <c r="B351" s="45" t="s">
        <v>924</v>
      </c>
      <c r="C351" s="44" t="s">
        <v>837</v>
      </c>
      <c r="D351" s="47">
        <v>90173</v>
      </c>
      <c r="E351" s="47">
        <v>213013</v>
      </c>
      <c r="F351" s="47">
        <v>30696</v>
      </c>
      <c r="G351" s="47">
        <v>51135</v>
      </c>
      <c r="H351" s="47">
        <v>413</v>
      </c>
      <c r="I351" s="47">
        <v>32</v>
      </c>
      <c r="J351" s="47">
        <v>28335</v>
      </c>
      <c r="K351" s="47">
        <v>42960</v>
      </c>
      <c r="L351" s="47">
        <v>29496</v>
      </c>
      <c r="M351" s="47">
        <f t="shared" si="66"/>
        <v>100791</v>
      </c>
      <c r="N351" s="251">
        <f t="shared" si="67"/>
        <v>395635</v>
      </c>
      <c r="O351" s="53">
        <f t="shared" si="68"/>
        <v>1.1177514333558827</v>
      </c>
      <c r="P351" s="72">
        <f t="shared" si="65"/>
        <v>3.2697592405709024</v>
      </c>
      <c r="Q351" s="72">
        <f t="shared" si="69"/>
        <v>4.3875106739267853</v>
      </c>
    </row>
    <row r="352" spans="1:17" ht="15.75" thickBot="1" x14ac:dyDescent="0.3">
      <c r="A352" s="44" t="s">
        <v>925</v>
      </c>
      <c r="B352" s="45" t="s">
        <v>926</v>
      </c>
      <c r="C352" s="44" t="s">
        <v>837</v>
      </c>
      <c r="D352" s="47">
        <v>238859</v>
      </c>
      <c r="E352" s="47">
        <v>366509</v>
      </c>
      <c r="F352" s="47">
        <v>44578</v>
      </c>
      <c r="G352" s="47">
        <v>79123</v>
      </c>
      <c r="H352" s="47">
        <v>586</v>
      </c>
      <c r="I352" s="47">
        <v>10</v>
      </c>
      <c r="J352" s="47">
        <v>93293</v>
      </c>
      <c r="K352" s="47">
        <v>107956</v>
      </c>
      <c r="L352" s="47">
        <v>30838</v>
      </c>
      <c r="M352" s="47">
        <f t="shared" si="66"/>
        <v>232087</v>
      </c>
      <c r="N352" s="251">
        <f t="shared" si="67"/>
        <v>722297</v>
      </c>
      <c r="O352" s="53">
        <f t="shared" si="68"/>
        <v>0.97164854579479942</v>
      </c>
      <c r="P352" s="72">
        <f t="shared" si="65"/>
        <v>2.0522986364340468</v>
      </c>
      <c r="Q352" s="72">
        <f t="shared" si="69"/>
        <v>3.0239471822288464</v>
      </c>
    </row>
    <row r="353" spans="1:17" ht="15.75" thickBot="1" x14ac:dyDescent="0.3">
      <c r="A353" s="44" t="s">
        <v>955</v>
      </c>
      <c r="B353" s="45" t="s">
        <v>956</v>
      </c>
      <c r="C353" s="44" t="s">
        <v>837</v>
      </c>
      <c r="D353" s="47">
        <v>51640</v>
      </c>
      <c r="E353" s="47">
        <v>121491</v>
      </c>
      <c r="F353" s="47">
        <v>7863</v>
      </c>
      <c r="G353" s="47">
        <v>14719</v>
      </c>
      <c r="H353" s="47">
        <v>280</v>
      </c>
      <c r="I353" s="47">
        <v>4</v>
      </c>
      <c r="J353" s="47">
        <v>20429</v>
      </c>
      <c r="K353" s="47">
        <v>6209</v>
      </c>
      <c r="L353" s="47">
        <v>1497</v>
      </c>
      <c r="M353" s="47">
        <f t="shared" si="66"/>
        <v>28135</v>
      </c>
      <c r="N353" s="251">
        <f t="shared" si="67"/>
        <v>172208</v>
      </c>
      <c r="O353" s="53">
        <f t="shared" si="68"/>
        <v>0.54482958946553062</v>
      </c>
      <c r="P353" s="72">
        <f t="shared" si="65"/>
        <v>2.7899496514329978</v>
      </c>
      <c r="Q353" s="72">
        <f t="shared" si="69"/>
        <v>3.3347792408985284</v>
      </c>
    </row>
    <row r="354" spans="1:17" ht="15.75" thickBot="1" x14ac:dyDescent="0.3">
      <c r="A354" s="44" t="s">
        <v>961</v>
      </c>
      <c r="B354" s="45" t="s">
        <v>962</v>
      </c>
      <c r="C354" s="44" t="s">
        <v>837</v>
      </c>
      <c r="D354" s="47">
        <v>169833</v>
      </c>
      <c r="E354" s="47">
        <v>281023</v>
      </c>
      <c r="F354" s="47">
        <v>40056</v>
      </c>
      <c r="G354" s="47">
        <v>50092</v>
      </c>
      <c r="H354" s="47">
        <v>472</v>
      </c>
      <c r="I354" s="47">
        <v>0</v>
      </c>
      <c r="J354" s="47">
        <v>14910</v>
      </c>
      <c r="K354" s="47">
        <v>3557</v>
      </c>
      <c r="L354" s="47">
        <v>108</v>
      </c>
      <c r="M354" s="47">
        <f t="shared" si="66"/>
        <v>18575</v>
      </c>
      <c r="N354" s="251">
        <f t="shared" si="67"/>
        <v>389746</v>
      </c>
      <c r="O354" s="53">
        <f t="shared" si="68"/>
        <v>0.10937214793355826</v>
      </c>
      <c r="P354" s="72">
        <f t="shared" si="65"/>
        <v>2.1855057615422209</v>
      </c>
      <c r="Q354" s="72">
        <f t="shared" si="69"/>
        <v>2.2948779094757792</v>
      </c>
    </row>
    <row r="355" spans="1:17" ht="15.75" thickBot="1" x14ac:dyDescent="0.3">
      <c r="A355" s="44" t="s">
        <v>995</v>
      </c>
      <c r="B355" s="45" t="s">
        <v>996</v>
      </c>
      <c r="C355" s="44" t="s">
        <v>837</v>
      </c>
      <c r="D355" s="47">
        <v>57774</v>
      </c>
      <c r="E355" s="47">
        <v>128825</v>
      </c>
      <c r="F355" s="47">
        <v>8242</v>
      </c>
      <c r="G355" s="47">
        <v>12781</v>
      </c>
      <c r="H355" s="47">
        <v>285</v>
      </c>
      <c r="I355" s="47">
        <v>6</v>
      </c>
      <c r="J355" s="47">
        <v>15411</v>
      </c>
      <c r="K355" s="47">
        <v>3441</v>
      </c>
      <c r="L355" s="47">
        <v>0</v>
      </c>
      <c r="M355" s="47">
        <f t="shared" si="66"/>
        <v>18852</v>
      </c>
      <c r="N355" s="251">
        <f t="shared" si="67"/>
        <v>168700</v>
      </c>
      <c r="O355" s="53">
        <f t="shared" si="68"/>
        <v>0.32630595077370445</v>
      </c>
      <c r="P355" s="72">
        <f t="shared" si="65"/>
        <v>2.5936926645203724</v>
      </c>
      <c r="Q355" s="72">
        <f t="shared" si="69"/>
        <v>2.9199986152940771</v>
      </c>
    </row>
    <row r="356" spans="1:17" ht="15.75" thickBot="1" x14ac:dyDescent="0.3">
      <c r="A356" s="122" t="s">
        <v>997</v>
      </c>
      <c r="B356" s="248" t="s">
        <v>998</v>
      </c>
      <c r="C356" s="122" t="s">
        <v>837</v>
      </c>
      <c r="D356" s="249">
        <v>98153</v>
      </c>
      <c r="E356" s="249">
        <v>145405</v>
      </c>
      <c r="F356" s="249">
        <v>17020</v>
      </c>
      <c r="G356" s="249">
        <v>37836</v>
      </c>
      <c r="H356" s="249">
        <v>384</v>
      </c>
      <c r="I356" s="249">
        <v>19</v>
      </c>
      <c r="J356" s="249" t="s">
        <v>3479</v>
      </c>
      <c r="K356" s="249" t="s">
        <v>3479</v>
      </c>
      <c r="L356" s="249" t="s">
        <v>3479</v>
      </c>
      <c r="M356" s="249" t="s">
        <v>3479</v>
      </c>
      <c r="N356" s="250" t="s">
        <v>3480</v>
      </c>
      <c r="O356" s="250" t="s">
        <v>3480</v>
      </c>
      <c r="P356" s="72">
        <f t="shared" si="65"/>
        <v>2.0402942345114261</v>
      </c>
      <c r="Q356" s="249" t="s">
        <v>3480</v>
      </c>
    </row>
    <row r="357" spans="1:17" ht="15.75" thickBot="1" x14ac:dyDescent="0.3">
      <c r="A357" s="44" t="s">
        <v>1005</v>
      </c>
      <c r="B357" s="45" t="s">
        <v>1006</v>
      </c>
      <c r="C357" s="44" t="s">
        <v>837</v>
      </c>
      <c r="D357" s="47">
        <v>713777</v>
      </c>
      <c r="E357" s="47">
        <v>1756936</v>
      </c>
      <c r="F357" s="47">
        <v>51854</v>
      </c>
      <c r="G357" s="47">
        <v>107899</v>
      </c>
      <c r="H357" s="47">
        <v>-1</v>
      </c>
      <c r="I357" s="47">
        <v>99</v>
      </c>
      <c r="J357" s="47">
        <v>7959</v>
      </c>
      <c r="K357" s="47">
        <v>2708</v>
      </c>
      <c r="L357" s="47">
        <v>0</v>
      </c>
      <c r="M357" s="47">
        <f>J357+K357+L357</f>
        <v>10667</v>
      </c>
      <c r="N357" s="251">
        <f>E357+F357+G357+J357+K357+L357</f>
        <v>1927356</v>
      </c>
      <c r="O357" s="53">
        <f>(J357+K357+L357)/D357</f>
        <v>1.4944443432612706E-2</v>
      </c>
      <c r="P357" s="72">
        <f t="shared" si="65"/>
        <v>2.6852770543180853</v>
      </c>
      <c r="Q357" s="72">
        <f>N357/D357</f>
        <v>2.700221497750698</v>
      </c>
    </row>
    <row r="358" spans="1:17" ht="15.75" thickBot="1" x14ac:dyDescent="0.3">
      <c r="A358" s="44" t="s">
        <v>1051</v>
      </c>
      <c r="B358" s="45" t="s">
        <v>1052</v>
      </c>
      <c r="C358" s="44" t="s">
        <v>837</v>
      </c>
      <c r="D358" s="47">
        <v>90112</v>
      </c>
      <c r="E358" s="47">
        <v>232183</v>
      </c>
      <c r="F358" s="47">
        <v>22500</v>
      </c>
      <c r="G358" s="47">
        <v>34341</v>
      </c>
      <c r="H358" s="47">
        <v>386</v>
      </c>
      <c r="I358" s="47">
        <v>24</v>
      </c>
      <c r="J358" s="47">
        <v>28358</v>
      </c>
      <c r="K358" s="47">
        <v>43890</v>
      </c>
      <c r="L358" s="47">
        <v>10703</v>
      </c>
      <c r="M358" s="47">
        <f>J358+K358+L358</f>
        <v>82951</v>
      </c>
      <c r="N358" s="251">
        <f>E358+F358+G358+J358+K358+L358</f>
        <v>371975</v>
      </c>
      <c r="O358" s="53">
        <f>(J358+K358+L358)/D358</f>
        <v>0.9205322265625</v>
      </c>
      <c r="P358" s="72">
        <f t="shared" si="65"/>
        <v>3.2073863636363638</v>
      </c>
      <c r="Q358" s="72">
        <f>N358/D358</f>
        <v>4.1279185901988633</v>
      </c>
    </row>
    <row r="359" spans="1:17" ht="15.75" thickBot="1" x14ac:dyDescent="0.3">
      <c r="A359" s="44" t="s">
        <v>1063</v>
      </c>
      <c r="B359" s="45" t="s">
        <v>1064</v>
      </c>
      <c r="C359" s="44" t="s">
        <v>837</v>
      </c>
      <c r="D359" s="47">
        <v>102434</v>
      </c>
      <c r="E359" s="47">
        <v>206851</v>
      </c>
      <c r="F359" s="47">
        <v>23800</v>
      </c>
      <c r="G359" s="47">
        <v>16187</v>
      </c>
      <c r="H359" s="47">
        <v>41</v>
      </c>
      <c r="I359" s="47">
        <v>10</v>
      </c>
      <c r="J359" s="47">
        <v>7119</v>
      </c>
      <c r="K359" s="47">
        <v>3703</v>
      </c>
      <c r="L359" s="47">
        <v>0</v>
      </c>
      <c r="M359" s="47">
        <f>J359+K359+L359</f>
        <v>10822</v>
      </c>
      <c r="N359" s="251">
        <f>E359+F359+G359+J359+K359+L359</f>
        <v>257660</v>
      </c>
      <c r="O359" s="53">
        <f>(J359+K359+L359)/D359</f>
        <v>0.10564851514145694</v>
      </c>
      <c r="P359" s="72">
        <f t="shared" si="65"/>
        <v>2.4097272390026747</v>
      </c>
      <c r="Q359" s="72">
        <f>N359/D359</f>
        <v>2.5153757541441317</v>
      </c>
    </row>
    <row r="360" spans="1:17" ht="15.75" thickBot="1" x14ac:dyDescent="0.3">
      <c r="A360" s="44" t="s">
        <v>1089</v>
      </c>
      <c r="B360" s="45" t="s">
        <v>1090</v>
      </c>
      <c r="C360" s="44" t="s">
        <v>837</v>
      </c>
      <c r="D360" s="47">
        <v>332567</v>
      </c>
      <c r="E360" s="47">
        <v>544738</v>
      </c>
      <c r="F360" s="47">
        <v>29782</v>
      </c>
      <c r="G360" s="47">
        <v>141352</v>
      </c>
      <c r="H360" s="47">
        <v>483</v>
      </c>
      <c r="I360" s="47">
        <v>15</v>
      </c>
      <c r="J360" s="47">
        <v>47525</v>
      </c>
      <c r="K360" s="47">
        <v>18390</v>
      </c>
      <c r="L360" s="47">
        <v>971</v>
      </c>
      <c r="M360" s="47">
        <f>J360+K360+L360</f>
        <v>66886</v>
      </c>
      <c r="N360" s="251">
        <f>E360+F360+G360+J360+K360+L360</f>
        <v>782758</v>
      </c>
      <c r="O360" s="53">
        <f>(J360+K360+L360)/D360</f>
        <v>0.20112037574383507</v>
      </c>
      <c r="P360" s="72">
        <f t="shared" si="65"/>
        <v>2.1525647463518629</v>
      </c>
      <c r="Q360" s="72">
        <f>N360/D360</f>
        <v>2.353685122095698</v>
      </c>
    </row>
    <row r="361" spans="1:17" ht="15.75" thickBot="1" x14ac:dyDescent="0.3">
      <c r="A361" s="122" t="s">
        <v>1103</v>
      </c>
      <c r="B361" s="248" t="s">
        <v>1104</v>
      </c>
      <c r="C361" s="122" t="s">
        <v>837</v>
      </c>
      <c r="D361" s="249">
        <v>76707</v>
      </c>
      <c r="E361" s="249">
        <v>177056</v>
      </c>
      <c r="F361" s="249">
        <v>16919</v>
      </c>
      <c r="G361" s="249">
        <v>8842</v>
      </c>
      <c r="H361" s="249">
        <v>260</v>
      </c>
      <c r="I361" s="249">
        <v>12</v>
      </c>
      <c r="J361" s="249" t="s">
        <v>3479</v>
      </c>
      <c r="K361" s="249" t="s">
        <v>3479</v>
      </c>
      <c r="L361" s="249" t="s">
        <v>3479</v>
      </c>
      <c r="M361" s="249" t="s">
        <v>3479</v>
      </c>
      <c r="N361" s="250" t="s">
        <v>3480</v>
      </c>
      <c r="O361" s="250" t="s">
        <v>3480</v>
      </c>
      <c r="P361" s="72">
        <f t="shared" si="65"/>
        <v>2.6440481312005422</v>
      </c>
      <c r="Q361" s="249" t="s">
        <v>3480</v>
      </c>
    </row>
    <row r="362" spans="1:17" ht="15.75" thickBot="1" x14ac:dyDescent="0.3">
      <c r="A362" s="44" t="s">
        <v>1107</v>
      </c>
      <c r="B362" s="45" t="s">
        <v>1108</v>
      </c>
      <c r="C362" s="44" t="s">
        <v>837</v>
      </c>
      <c r="D362" s="47">
        <v>188040</v>
      </c>
      <c r="E362" s="47">
        <v>715996</v>
      </c>
      <c r="F362" s="47">
        <v>60554</v>
      </c>
      <c r="G362" s="47">
        <v>58967</v>
      </c>
      <c r="H362" s="47">
        <v>425</v>
      </c>
      <c r="I362" s="47">
        <v>50</v>
      </c>
      <c r="J362" s="47">
        <v>31185</v>
      </c>
      <c r="K362" s="47">
        <v>16713</v>
      </c>
      <c r="L362" s="47">
        <v>0</v>
      </c>
      <c r="M362" s="47">
        <f>J362+K362+L362</f>
        <v>47898</v>
      </c>
      <c r="N362" s="251">
        <f>E362+F362+G362+J362+K362+L362</f>
        <v>883415</v>
      </c>
      <c r="O362" s="53">
        <f>(J362+K362+L362)/D362</f>
        <v>0.25472239948947034</v>
      </c>
      <c r="P362" s="72">
        <f t="shared" si="65"/>
        <v>4.4432939800042544</v>
      </c>
      <c r="Q362" s="72">
        <f>N362/D362</f>
        <v>4.6980163794937244</v>
      </c>
    </row>
    <row r="363" spans="1:17" ht="15.75" thickBot="1" x14ac:dyDescent="0.3">
      <c r="A363" s="122" t="s">
        <v>1111</v>
      </c>
      <c r="B363" s="248" t="s">
        <v>1112</v>
      </c>
      <c r="C363" s="122" t="s">
        <v>837</v>
      </c>
      <c r="D363" s="249">
        <v>51133</v>
      </c>
      <c r="E363" s="249">
        <v>165479</v>
      </c>
      <c r="F363" s="249">
        <v>18622</v>
      </c>
      <c r="G363" s="249">
        <v>25541</v>
      </c>
      <c r="H363" s="249">
        <v>382</v>
      </c>
      <c r="I363" s="249">
        <v>1</v>
      </c>
      <c r="J363" s="249" t="s">
        <v>3479</v>
      </c>
      <c r="K363" s="249" t="s">
        <v>3479</v>
      </c>
      <c r="L363" s="249" t="s">
        <v>3479</v>
      </c>
      <c r="M363" s="249" t="s">
        <v>3479</v>
      </c>
      <c r="N363" s="250" t="s">
        <v>3480</v>
      </c>
      <c r="O363" s="250" t="s">
        <v>3480</v>
      </c>
      <c r="P363" s="72">
        <f t="shared" si="65"/>
        <v>4.0999354624215281</v>
      </c>
      <c r="Q363" s="249" t="s">
        <v>3480</v>
      </c>
    </row>
    <row r="364" spans="1:17" ht="15.75" thickBot="1" x14ac:dyDescent="0.3">
      <c r="A364" s="44" t="s">
        <v>1137</v>
      </c>
      <c r="B364" s="45" t="s">
        <v>1138</v>
      </c>
      <c r="C364" s="44" t="s">
        <v>837</v>
      </c>
      <c r="D364" s="47">
        <v>102423</v>
      </c>
      <c r="E364" s="47">
        <v>230478</v>
      </c>
      <c r="F364" s="47">
        <v>24589</v>
      </c>
      <c r="G364" s="47">
        <v>24385</v>
      </c>
      <c r="H364" s="47">
        <v>281</v>
      </c>
      <c r="I364" s="47">
        <v>21</v>
      </c>
      <c r="J364" s="47">
        <v>96519</v>
      </c>
      <c r="K364" s="47">
        <v>58377</v>
      </c>
      <c r="L364" s="47">
        <v>8597</v>
      </c>
      <c r="M364" s="47">
        <f>J364+K364+L364</f>
        <v>163493</v>
      </c>
      <c r="N364" s="251">
        <f>E364+F364+G364+J364+K364+L364</f>
        <v>442945</v>
      </c>
      <c r="O364" s="53">
        <f>(J364+K364+L364)/D364</f>
        <v>1.5962527947824219</v>
      </c>
      <c r="P364" s="72">
        <f t="shared" si="65"/>
        <v>2.7284106108979427</v>
      </c>
      <c r="Q364" s="72">
        <f>N364/D364</f>
        <v>4.324663405680365</v>
      </c>
    </row>
    <row r="365" spans="1:17" ht="15.75" thickBot="1" x14ac:dyDescent="0.3">
      <c r="A365" s="44" t="s">
        <v>1159</v>
      </c>
      <c r="B365" s="45" t="s">
        <v>1160</v>
      </c>
      <c r="C365" s="44" t="s">
        <v>837</v>
      </c>
      <c r="D365" s="47">
        <v>52529</v>
      </c>
      <c r="E365" s="47">
        <v>108794</v>
      </c>
      <c r="F365" s="47">
        <v>12718</v>
      </c>
      <c r="G365" s="47">
        <v>24617</v>
      </c>
      <c r="H365" s="47">
        <v>301</v>
      </c>
      <c r="I365" s="47">
        <v>22</v>
      </c>
      <c r="J365" s="47">
        <v>85944</v>
      </c>
      <c r="K365" s="47">
        <v>40204</v>
      </c>
      <c r="L365" s="47">
        <v>1187</v>
      </c>
      <c r="M365" s="47">
        <f>J365+K365+L365</f>
        <v>127335</v>
      </c>
      <c r="N365" s="251">
        <f>E365+F365+G365+J365+K365+L365</f>
        <v>273464</v>
      </c>
      <c r="O365" s="53">
        <f>(J365+K365+L365)/D365</f>
        <v>2.4240895505339908</v>
      </c>
      <c r="P365" s="72">
        <f t="shared" si="65"/>
        <v>2.7818728702240665</v>
      </c>
      <c r="Q365" s="72">
        <f>N365/D365</f>
        <v>5.2059624207580573</v>
      </c>
    </row>
    <row r="366" spans="1:17" ht="15.75" thickBot="1" x14ac:dyDescent="0.3">
      <c r="A366" s="44" t="s">
        <v>1179</v>
      </c>
      <c r="B366" s="45" t="s">
        <v>1180</v>
      </c>
      <c r="C366" s="44" t="s">
        <v>837</v>
      </c>
      <c r="D366" s="47">
        <v>160248</v>
      </c>
      <c r="E366" s="47">
        <v>369604</v>
      </c>
      <c r="F366" s="47">
        <v>32170</v>
      </c>
      <c r="G366" s="47">
        <v>50111</v>
      </c>
      <c r="H366" s="47">
        <v>363</v>
      </c>
      <c r="I366" s="47">
        <v>23</v>
      </c>
      <c r="J366" s="47">
        <v>74469</v>
      </c>
      <c r="K366" s="47">
        <v>44894</v>
      </c>
      <c r="L366" s="47">
        <v>8868</v>
      </c>
      <c r="M366" s="47">
        <f>J366+K366+L366</f>
        <v>128231</v>
      </c>
      <c r="N366" s="251">
        <f>E366+F366+G366+J366+K366+L366</f>
        <v>580116</v>
      </c>
      <c r="O366" s="53">
        <f>(J366+K366+L366)/D366</f>
        <v>0.80020343467625177</v>
      </c>
      <c r="P366" s="72">
        <f t="shared" si="65"/>
        <v>2.8199103888972092</v>
      </c>
      <c r="Q366" s="72">
        <f>N366/D366</f>
        <v>3.6201138235734613</v>
      </c>
    </row>
    <row r="367" spans="1:17" ht="15.75" thickBot="1" x14ac:dyDescent="0.3">
      <c r="A367" s="122" t="s">
        <v>1187</v>
      </c>
      <c r="B367" s="248" t="s">
        <v>1188</v>
      </c>
      <c r="C367" s="122" t="s">
        <v>837</v>
      </c>
      <c r="D367" s="249">
        <v>116445</v>
      </c>
      <c r="E367" s="249">
        <v>444013</v>
      </c>
      <c r="F367" s="249">
        <v>23237</v>
      </c>
      <c r="G367" s="249">
        <v>86711</v>
      </c>
      <c r="H367" s="249">
        <v>360</v>
      </c>
      <c r="I367" s="249">
        <v>26</v>
      </c>
      <c r="J367" s="249" t="s">
        <v>3479</v>
      </c>
      <c r="K367" s="249" t="s">
        <v>3479</v>
      </c>
      <c r="L367" s="249" t="s">
        <v>3479</v>
      </c>
      <c r="M367" s="249" t="s">
        <v>3479</v>
      </c>
      <c r="N367" s="250" t="s">
        <v>3480</v>
      </c>
      <c r="O367" s="250" t="s">
        <v>3480</v>
      </c>
      <c r="P367" s="72">
        <f t="shared" si="65"/>
        <v>4.757275967194813</v>
      </c>
      <c r="Q367" s="249" t="s">
        <v>3480</v>
      </c>
    </row>
    <row r="368" spans="1:17" ht="15.75" thickBot="1" x14ac:dyDescent="0.3">
      <c r="A368" s="44" t="s">
        <v>1191</v>
      </c>
      <c r="B368" s="45" t="s">
        <v>1192</v>
      </c>
      <c r="C368" s="44" t="s">
        <v>837</v>
      </c>
      <c r="D368" s="47">
        <v>395660</v>
      </c>
      <c r="E368" s="47">
        <v>746928</v>
      </c>
      <c r="F368" s="47">
        <v>74113</v>
      </c>
      <c r="G368" s="47">
        <v>87749</v>
      </c>
      <c r="H368" s="47">
        <v>1905</v>
      </c>
      <c r="I368" s="47">
        <v>25</v>
      </c>
      <c r="J368" s="47">
        <v>143251</v>
      </c>
      <c r="K368" s="47">
        <v>190335</v>
      </c>
      <c r="L368" s="47">
        <v>19138</v>
      </c>
      <c r="M368" s="47">
        <f t="shared" ref="M368:M377" si="70">J368+K368+L368</f>
        <v>352724</v>
      </c>
      <c r="N368" s="251">
        <f t="shared" ref="N368:N377" si="71">E368+F368+G368+J368+K368+L368</f>
        <v>1261514</v>
      </c>
      <c r="O368" s="53">
        <f t="shared" ref="O368:O377" si="72">(J368+K368+L368)/D368</f>
        <v>0.89148258605873731</v>
      </c>
      <c r="P368" s="72">
        <f t="shared" si="65"/>
        <v>2.2968963251276349</v>
      </c>
      <c r="Q368" s="72">
        <f t="shared" ref="Q368:Q377" si="73">N368/D368</f>
        <v>3.1883789111863723</v>
      </c>
    </row>
    <row r="369" spans="1:17" ht="15.75" thickBot="1" x14ac:dyDescent="0.3">
      <c r="A369" s="44" t="s">
        <v>1201</v>
      </c>
      <c r="B369" s="45" t="s">
        <v>1202</v>
      </c>
      <c r="C369" s="44" t="s">
        <v>837</v>
      </c>
      <c r="D369" s="47">
        <v>60006</v>
      </c>
      <c r="E369" s="47">
        <v>85656</v>
      </c>
      <c r="F369" s="47">
        <v>3839</v>
      </c>
      <c r="G369" s="47">
        <v>6268</v>
      </c>
      <c r="H369" s="47">
        <v>178</v>
      </c>
      <c r="I369" s="47">
        <v>5</v>
      </c>
      <c r="J369" s="47">
        <v>15823</v>
      </c>
      <c r="K369" s="47">
        <v>5194</v>
      </c>
      <c r="L369" s="47">
        <v>713</v>
      </c>
      <c r="M369" s="47">
        <f t="shared" si="70"/>
        <v>21730</v>
      </c>
      <c r="N369" s="251">
        <f t="shared" si="71"/>
        <v>117493</v>
      </c>
      <c r="O369" s="53">
        <f t="shared" si="72"/>
        <v>0.36213045362130453</v>
      </c>
      <c r="P369" s="72">
        <f t="shared" si="65"/>
        <v>1.595890410958904</v>
      </c>
      <c r="Q369" s="72">
        <f t="shared" si="73"/>
        <v>1.9580208645802086</v>
      </c>
    </row>
    <row r="370" spans="1:17" ht="15.75" thickBot="1" x14ac:dyDescent="0.3">
      <c r="A370" s="44" t="s">
        <v>1227</v>
      </c>
      <c r="B370" s="45" t="s">
        <v>1228</v>
      </c>
      <c r="C370" s="44" t="s">
        <v>837</v>
      </c>
      <c r="D370" s="47">
        <v>96942</v>
      </c>
      <c r="E370" s="47">
        <v>218703</v>
      </c>
      <c r="F370" s="47">
        <v>17963</v>
      </c>
      <c r="G370" s="47">
        <v>17628</v>
      </c>
      <c r="H370" s="47">
        <v>204</v>
      </c>
      <c r="I370" s="47">
        <v>4</v>
      </c>
      <c r="J370" s="47">
        <v>6466</v>
      </c>
      <c r="K370" s="47">
        <v>10778</v>
      </c>
      <c r="L370" s="47">
        <v>759</v>
      </c>
      <c r="M370" s="47">
        <f t="shared" si="70"/>
        <v>18003</v>
      </c>
      <c r="N370" s="251">
        <f t="shared" si="71"/>
        <v>272297</v>
      </c>
      <c r="O370" s="53">
        <f t="shared" si="72"/>
        <v>0.18570898062759175</v>
      </c>
      <c r="P370" s="72">
        <f t="shared" si="65"/>
        <v>2.6231561139650514</v>
      </c>
      <c r="Q370" s="72">
        <f t="shared" si="73"/>
        <v>2.808865094592643</v>
      </c>
    </row>
    <row r="371" spans="1:17" ht="15.75" thickBot="1" x14ac:dyDescent="0.3">
      <c r="A371" s="44" t="s">
        <v>1293</v>
      </c>
      <c r="B371" s="45" t="s">
        <v>1294</v>
      </c>
      <c r="C371" s="44" t="s">
        <v>837</v>
      </c>
      <c r="D371" s="47">
        <v>149955</v>
      </c>
      <c r="E371" s="47">
        <v>343751</v>
      </c>
      <c r="F371" s="47">
        <v>19020</v>
      </c>
      <c r="G371" s="47">
        <v>40860</v>
      </c>
      <c r="H371" s="47">
        <v>1572</v>
      </c>
      <c r="I371" s="47">
        <v>84</v>
      </c>
      <c r="J371" s="47">
        <v>23368</v>
      </c>
      <c r="K371" s="47">
        <v>28384</v>
      </c>
      <c r="L371" s="47">
        <v>5624</v>
      </c>
      <c r="M371" s="47">
        <f t="shared" si="70"/>
        <v>57376</v>
      </c>
      <c r="N371" s="251">
        <f t="shared" si="71"/>
        <v>461007</v>
      </c>
      <c r="O371" s="53">
        <f t="shared" si="72"/>
        <v>0.38262145310259743</v>
      </c>
      <c r="P371" s="72">
        <f t="shared" si="65"/>
        <v>2.6916808375846086</v>
      </c>
      <c r="Q371" s="72">
        <f t="shared" si="73"/>
        <v>3.0743022906872062</v>
      </c>
    </row>
    <row r="372" spans="1:17" ht="15.75" thickBot="1" x14ac:dyDescent="0.3">
      <c r="A372" s="44" t="s">
        <v>1307</v>
      </c>
      <c r="B372" s="45" t="s">
        <v>1308</v>
      </c>
      <c r="C372" s="44" t="s">
        <v>837</v>
      </c>
      <c r="D372" s="47">
        <v>105852</v>
      </c>
      <c r="E372" s="47">
        <v>162249</v>
      </c>
      <c r="F372" s="47">
        <v>10254</v>
      </c>
      <c r="G372" s="47">
        <v>17681</v>
      </c>
      <c r="H372" s="47">
        <v>626</v>
      </c>
      <c r="I372" s="47">
        <v>12</v>
      </c>
      <c r="J372" s="47">
        <v>78218</v>
      </c>
      <c r="K372" s="47">
        <v>113955</v>
      </c>
      <c r="L372" s="47">
        <v>41120</v>
      </c>
      <c r="M372" s="47">
        <f t="shared" si="70"/>
        <v>233293</v>
      </c>
      <c r="N372" s="251">
        <f t="shared" si="71"/>
        <v>423477</v>
      </c>
      <c r="O372" s="53">
        <f t="shared" si="72"/>
        <v>2.2039545780901637</v>
      </c>
      <c r="P372" s="72">
        <f t="shared" si="65"/>
        <v>1.7966972754411821</v>
      </c>
      <c r="Q372" s="72">
        <f t="shared" si="73"/>
        <v>4.0006518535313456</v>
      </c>
    </row>
    <row r="373" spans="1:17" ht="15.75" thickBot="1" x14ac:dyDescent="0.3">
      <c r="A373" s="44" t="s">
        <v>1327</v>
      </c>
      <c r="B373" s="45" t="s">
        <v>1328</v>
      </c>
      <c r="C373" s="44" t="s">
        <v>837</v>
      </c>
      <c r="D373" s="47">
        <v>55374</v>
      </c>
      <c r="E373" s="47">
        <v>139449</v>
      </c>
      <c r="F373" s="47">
        <v>10343</v>
      </c>
      <c r="G373" s="47">
        <v>19757</v>
      </c>
      <c r="H373" s="47">
        <v>190</v>
      </c>
      <c r="I373" s="47">
        <v>17</v>
      </c>
      <c r="J373" s="47">
        <v>54709</v>
      </c>
      <c r="K373" s="47">
        <v>13061</v>
      </c>
      <c r="L373" s="47">
        <v>761</v>
      </c>
      <c r="M373" s="47">
        <f t="shared" si="70"/>
        <v>68531</v>
      </c>
      <c r="N373" s="251">
        <f t="shared" si="71"/>
        <v>238080</v>
      </c>
      <c r="O373" s="53">
        <f t="shared" si="72"/>
        <v>1.237602484920721</v>
      </c>
      <c r="P373" s="72">
        <f t="shared" si="65"/>
        <v>3.061888250803626</v>
      </c>
      <c r="Q373" s="72">
        <f t="shared" si="73"/>
        <v>4.2994907357243468</v>
      </c>
    </row>
    <row r="374" spans="1:17" ht="15.75" thickBot="1" x14ac:dyDescent="0.3">
      <c r="A374" s="44" t="s">
        <v>1375</v>
      </c>
      <c r="B374" s="45" t="s">
        <v>1376</v>
      </c>
      <c r="C374" s="44" t="s">
        <v>837</v>
      </c>
      <c r="D374" s="47">
        <v>59515</v>
      </c>
      <c r="E374" s="47">
        <v>59830</v>
      </c>
      <c r="F374" s="47">
        <v>2925</v>
      </c>
      <c r="G374" s="47">
        <v>4377</v>
      </c>
      <c r="H374" s="47">
        <v>96</v>
      </c>
      <c r="I374" s="47">
        <v>8</v>
      </c>
      <c r="J374" s="47">
        <v>25218</v>
      </c>
      <c r="K374" s="47">
        <v>0</v>
      </c>
      <c r="L374" s="47">
        <v>815</v>
      </c>
      <c r="M374" s="47">
        <f t="shared" si="70"/>
        <v>26033</v>
      </c>
      <c r="N374" s="251">
        <f t="shared" si="71"/>
        <v>93165</v>
      </c>
      <c r="O374" s="53">
        <f t="shared" si="72"/>
        <v>0.43741913803242882</v>
      </c>
      <c r="P374" s="72">
        <f t="shared" si="65"/>
        <v>1.1279845417121734</v>
      </c>
      <c r="Q374" s="72">
        <f t="shared" si="73"/>
        <v>1.5654036797446023</v>
      </c>
    </row>
    <row r="375" spans="1:17" ht="15.75" thickBot="1" x14ac:dyDescent="0.3">
      <c r="A375" s="44" t="s">
        <v>1379</v>
      </c>
      <c r="B375" s="45" t="s">
        <v>1380</v>
      </c>
      <c r="C375" s="44" t="s">
        <v>837</v>
      </c>
      <c r="D375" s="47">
        <v>52170</v>
      </c>
      <c r="E375" s="47">
        <v>167221</v>
      </c>
      <c r="F375" s="47">
        <v>15817</v>
      </c>
      <c r="G375" s="47">
        <v>14291</v>
      </c>
      <c r="H375" s="47">
        <v>163</v>
      </c>
      <c r="I375" s="47">
        <v>56</v>
      </c>
      <c r="J375" s="47">
        <v>39472</v>
      </c>
      <c r="K375" s="47">
        <v>24187</v>
      </c>
      <c r="L375" s="47">
        <v>2675</v>
      </c>
      <c r="M375" s="47">
        <f t="shared" si="70"/>
        <v>66334</v>
      </c>
      <c r="N375" s="251">
        <f t="shared" si="71"/>
        <v>263663</v>
      </c>
      <c r="O375" s="53">
        <f t="shared" si="72"/>
        <v>1.2714970289438374</v>
      </c>
      <c r="P375" s="72">
        <f t="shared" si="65"/>
        <v>3.7824228483802953</v>
      </c>
      <c r="Q375" s="72">
        <f t="shared" si="73"/>
        <v>5.0539198773241329</v>
      </c>
    </row>
    <row r="376" spans="1:17" ht="15.75" thickBot="1" x14ac:dyDescent="0.3">
      <c r="A376" s="44" t="s">
        <v>1389</v>
      </c>
      <c r="B376" s="45" t="s">
        <v>1390</v>
      </c>
      <c r="C376" s="44" t="s">
        <v>837</v>
      </c>
      <c r="D376" s="47">
        <v>124690</v>
      </c>
      <c r="E376" s="47">
        <v>289394</v>
      </c>
      <c r="F376" s="47">
        <v>14544</v>
      </c>
      <c r="G376" s="47">
        <v>13845</v>
      </c>
      <c r="H376" s="47">
        <v>403</v>
      </c>
      <c r="I376" s="47">
        <v>14</v>
      </c>
      <c r="J376" s="47">
        <v>4100</v>
      </c>
      <c r="K376" s="47">
        <v>1200</v>
      </c>
      <c r="L376" s="47">
        <v>0</v>
      </c>
      <c r="M376" s="47">
        <f t="shared" si="70"/>
        <v>5300</v>
      </c>
      <c r="N376" s="251">
        <f t="shared" si="71"/>
        <v>323083</v>
      </c>
      <c r="O376" s="53">
        <f t="shared" si="72"/>
        <v>4.2505413425294729E-2</v>
      </c>
      <c r="P376" s="72">
        <f t="shared" si="65"/>
        <v>2.5485844895340444</v>
      </c>
      <c r="Q376" s="72">
        <f t="shared" si="73"/>
        <v>2.5910899029593391</v>
      </c>
    </row>
    <row r="377" spans="1:17" ht="15.75" thickBot="1" x14ac:dyDescent="0.3">
      <c r="A377" s="44" t="s">
        <v>1423</v>
      </c>
      <c r="B377" s="45" t="s">
        <v>1424</v>
      </c>
      <c r="C377" s="44" t="s">
        <v>837</v>
      </c>
      <c r="D377" s="47">
        <v>100485</v>
      </c>
      <c r="E377" s="47">
        <v>191881</v>
      </c>
      <c r="F377" s="47">
        <v>17888</v>
      </c>
      <c r="G377" s="47">
        <v>45031</v>
      </c>
      <c r="H377" s="47">
        <v>383</v>
      </c>
      <c r="I377" s="47">
        <v>14</v>
      </c>
      <c r="J377" s="47">
        <v>14074</v>
      </c>
      <c r="K377" s="47">
        <v>0</v>
      </c>
      <c r="L377" s="47">
        <v>0</v>
      </c>
      <c r="M377" s="47">
        <f t="shared" si="70"/>
        <v>14074</v>
      </c>
      <c r="N377" s="251">
        <f t="shared" si="71"/>
        <v>268874</v>
      </c>
      <c r="O377" s="53">
        <f t="shared" si="72"/>
        <v>0.14006070557794695</v>
      </c>
      <c r="P377" s="72">
        <f t="shared" si="65"/>
        <v>2.5357018460466736</v>
      </c>
      <c r="Q377" s="72">
        <f t="shared" si="73"/>
        <v>2.6757625516246204</v>
      </c>
    </row>
    <row r="378" spans="1:17" ht="15.75" thickBot="1" x14ac:dyDescent="0.3">
      <c r="A378" s="122" t="s">
        <v>1433</v>
      </c>
      <c r="B378" s="248" t="s">
        <v>1434</v>
      </c>
      <c r="C378" s="122" t="s">
        <v>837</v>
      </c>
      <c r="D378" s="249">
        <v>57236</v>
      </c>
      <c r="E378" s="249">
        <v>131698</v>
      </c>
      <c r="F378" s="249">
        <v>8093</v>
      </c>
      <c r="G378" s="249">
        <v>9739</v>
      </c>
      <c r="H378" s="249">
        <v>85</v>
      </c>
      <c r="I378" s="249">
        <v>11</v>
      </c>
      <c r="J378" s="249" t="s">
        <v>3479</v>
      </c>
      <c r="K378" s="249" t="s">
        <v>3479</v>
      </c>
      <c r="L378" s="249" t="s">
        <v>3479</v>
      </c>
      <c r="M378" s="249" t="s">
        <v>3479</v>
      </c>
      <c r="N378" s="250" t="s">
        <v>3480</v>
      </c>
      <c r="O378" s="250" t="s">
        <v>3480</v>
      </c>
      <c r="P378" s="72">
        <f t="shared" si="65"/>
        <v>2.6125165979453491</v>
      </c>
      <c r="Q378" s="249" t="s">
        <v>3480</v>
      </c>
    </row>
    <row r="379" spans="1:17" ht="15.75" thickBot="1" x14ac:dyDescent="0.3">
      <c r="A379" s="44" t="s">
        <v>1439</v>
      </c>
      <c r="B379" s="45" t="s">
        <v>1440</v>
      </c>
      <c r="C379" s="44" t="s">
        <v>837</v>
      </c>
      <c r="D379" s="47">
        <v>160312</v>
      </c>
      <c r="E379" s="47">
        <v>350204</v>
      </c>
      <c r="F379" s="47">
        <v>38285</v>
      </c>
      <c r="G379" s="47">
        <v>51690</v>
      </c>
      <c r="H379" s="47">
        <v>1100</v>
      </c>
      <c r="I379" s="47">
        <v>10</v>
      </c>
      <c r="J379" s="47">
        <v>10592</v>
      </c>
      <c r="K379" s="47">
        <v>13785</v>
      </c>
      <c r="L379" s="47">
        <v>3298</v>
      </c>
      <c r="M379" s="47">
        <f t="shared" ref="M379:M386" si="74">J379+K379+L379</f>
        <v>27675</v>
      </c>
      <c r="N379" s="251">
        <f t="shared" ref="N379:N386" si="75">E379+F379+G379+J379+K379+L379</f>
        <v>467854</v>
      </c>
      <c r="O379" s="53">
        <f t="shared" ref="O379:O386" si="76">(J379+K379+L379)/D379</f>
        <v>0.1726321173711263</v>
      </c>
      <c r="P379" s="72">
        <f t="shared" si="65"/>
        <v>2.7457645092070462</v>
      </c>
      <c r="Q379" s="72">
        <f t="shared" ref="Q379:Q386" si="77">N379/D379</f>
        <v>2.9183966265781724</v>
      </c>
    </row>
    <row r="380" spans="1:17" ht="15.75" thickBot="1" x14ac:dyDescent="0.3">
      <c r="A380" s="44" t="s">
        <v>1441</v>
      </c>
      <c r="B380" s="45" t="s">
        <v>1442</v>
      </c>
      <c r="C380" s="44" t="s">
        <v>837</v>
      </c>
      <c r="D380" s="47">
        <v>59715</v>
      </c>
      <c r="E380" s="47">
        <v>110432</v>
      </c>
      <c r="F380" s="47">
        <v>6783</v>
      </c>
      <c r="G380" s="47">
        <v>8006</v>
      </c>
      <c r="H380" s="47">
        <v>188</v>
      </c>
      <c r="I380" s="47">
        <v>6</v>
      </c>
      <c r="J380" s="47">
        <v>11076</v>
      </c>
      <c r="K380" s="47">
        <v>1969</v>
      </c>
      <c r="L380" s="47">
        <v>35</v>
      </c>
      <c r="M380" s="47">
        <f t="shared" si="74"/>
        <v>13080</v>
      </c>
      <c r="N380" s="251">
        <f t="shared" si="75"/>
        <v>138301</v>
      </c>
      <c r="O380" s="53">
        <f t="shared" si="76"/>
        <v>0.21904044209997489</v>
      </c>
      <c r="P380" s="72">
        <f t="shared" si="65"/>
        <v>2.096977308883865</v>
      </c>
      <c r="Q380" s="72">
        <f t="shared" si="77"/>
        <v>2.31601775098384</v>
      </c>
    </row>
    <row r="381" spans="1:17" ht="15.75" thickBot="1" x14ac:dyDescent="0.3">
      <c r="A381" s="44" t="s">
        <v>1470</v>
      </c>
      <c r="B381" s="45" t="s">
        <v>1471</v>
      </c>
      <c r="C381" s="44" t="s">
        <v>837</v>
      </c>
      <c r="D381" s="47">
        <v>73804</v>
      </c>
      <c r="E381" s="47">
        <v>101047</v>
      </c>
      <c r="F381" s="47">
        <v>7047</v>
      </c>
      <c r="G381" s="47">
        <v>7978</v>
      </c>
      <c r="H381" s="47">
        <v>215</v>
      </c>
      <c r="I381" s="47">
        <v>8</v>
      </c>
      <c r="J381" s="47">
        <v>15563</v>
      </c>
      <c r="K381" s="47">
        <v>2638</v>
      </c>
      <c r="L381" s="47">
        <v>0</v>
      </c>
      <c r="M381" s="47">
        <f t="shared" si="74"/>
        <v>18201</v>
      </c>
      <c r="N381" s="251">
        <f t="shared" si="75"/>
        <v>134273</v>
      </c>
      <c r="O381" s="53">
        <f t="shared" si="76"/>
        <v>0.24661264972088234</v>
      </c>
      <c r="P381" s="72">
        <f t="shared" si="65"/>
        <v>1.5727060863909814</v>
      </c>
      <c r="Q381" s="72">
        <f t="shared" si="77"/>
        <v>1.8193187361118639</v>
      </c>
    </row>
    <row r="382" spans="1:17" ht="15.75" thickBot="1" x14ac:dyDescent="0.3">
      <c r="A382" s="44" t="s">
        <v>1482</v>
      </c>
      <c r="B382" s="45" t="s">
        <v>1483</v>
      </c>
      <c r="C382" s="44" t="s">
        <v>837</v>
      </c>
      <c r="D382" s="47">
        <v>75814</v>
      </c>
      <c r="E382" s="47">
        <v>194169</v>
      </c>
      <c r="F382" s="47">
        <v>10984</v>
      </c>
      <c r="G382" s="47">
        <v>20172</v>
      </c>
      <c r="H382" s="47">
        <v>170</v>
      </c>
      <c r="I382" s="47">
        <v>51</v>
      </c>
      <c r="J382" s="47">
        <v>13970</v>
      </c>
      <c r="K382" s="47">
        <v>3846</v>
      </c>
      <c r="L382" s="47">
        <v>0</v>
      </c>
      <c r="M382" s="47">
        <f t="shared" si="74"/>
        <v>17816</v>
      </c>
      <c r="N382" s="251">
        <f t="shared" si="75"/>
        <v>243141</v>
      </c>
      <c r="O382" s="53">
        <f t="shared" si="76"/>
        <v>0.23499617484897248</v>
      </c>
      <c r="P382" s="72">
        <f t="shared" si="65"/>
        <v>2.9720763974991424</v>
      </c>
      <c r="Q382" s="72">
        <f t="shared" si="77"/>
        <v>3.2070725723481153</v>
      </c>
    </row>
    <row r="383" spans="1:17" ht="15.75" thickBot="1" x14ac:dyDescent="0.3">
      <c r="A383" s="44" t="s">
        <v>1496</v>
      </c>
      <c r="B383" s="45" t="s">
        <v>1497</v>
      </c>
      <c r="C383" s="44" t="s">
        <v>837</v>
      </c>
      <c r="D383" s="47">
        <v>129699</v>
      </c>
      <c r="E383" s="47">
        <v>185922</v>
      </c>
      <c r="F383" s="47">
        <v>9317</v>
      </c>
      <c r="G383" s="47">
        <v>22919</v>
      </c>
      <c r="H383" s="47">
        <v>175</v>
      </c>
      <c r="I383" s="47">
        <v>8</v>
      </c>
      <c r="J383" s="47">
        <v>61228</v>
      </c>
      <c r="K383" s="47">
        <v>50000</v>
      </c>
      <c r="L383" s="47">
        <v>0</v>
      </c>
      <c r="M383" s="47">
        <f t="shared" si="74"/>
        <v>111228</v>
      </c>
      <c r="N383" s="251">
        <f t="shared" si="75"/>
        <v>329386</v>
      </c>
      <c r="O383" s="53">
        <f t="shared" si="76"/>
        <v>0.85758564059861675</v>
      </c>
      <c r="P383" s="72">
        <f t="shared" si="65"/>
        <v>1.6820330149037386</v>
      </c>
      <c r="Q383" s="72">
        <f t="shared" si="77"/>
        <v>2.5396186555023554</v>
      </c>
    </row>
    <row r="384" spans="1:17" ht="15.75" thickBot="1" x14ac:dyDescent="0.3">
      <c r="A384" s="44" t="s">
        <v>1512</v>
      </c>
      <c r="B384" s="45" t="s">
        <v>1513</v>
      </c>
      <c r="C384" s="44" t="s">
        <v>837</v>
      </c>
      <c r="D384" s="47">
        <v>63131</v>
      </c>
      <c r="E384" s="47">
        <v>118921</v>
      </c>
      <c r="F384" s="47">
        <v>4232</v>
      </c>
      <c r="G384" s="47">
        <v>7296</v>
      </c>
      <c r="H384" s="47">
        <v>143</v>
      </c>
      <c r="I384" s="47">
        <v>6</v>
      </c>
      <c r="J384" s="47">
        <v>48274</v>
      </c>
      <c r="K384" s="47">
        <v>13038</v>
      </c>
      <c r="L384" s="47">
        <v>761</v>
      </c>
      <c r="M384" s="47">
        <f t="shared" si="74"/>
        <v>62073</v>
      </c>
      <c r="N384" s="251">
        <f t="shared" si="75"/>
        <v>192522</v>
      </c>
      <c r="O384" s="53">
        <f t="shared" si="76"/>
        <v>0.98324119687633649</v>
      </c>
      <c r="P384" s="72">
        <f t="shared" si="65"/>
        <v>2.0663224089591483</v>
      </c>
      <c r="Q384" s="72">
        <f t="shared" si="77"/>
        <v>3.0495636058354849</v>
      </c>
    </row>
    <row r="385" spans="1:17" ht="15.75" thickBot="1" x14ac:dyDescent="0.3">
      <c r="A385" s="44" t="s">
        <v>1538</v>
      </c>
      <c r="B385" s="45" t="s">
        <v>1539</v>
      </c>
      <c r="C385" s="44" t="s">
        <v>837</v>
      </c>
      <c r="D385" s="47">
        <v>97396</v>
      </c>
      <c r="E385" s="47">
        <v>223078</v>
      </c>
      <c r="F385" s="47">
        <v>50176</v>
      </c>
      <c r="G385" s="47">
        <v>29275</v>
      </c>
      <c r="H385" s="47">
        <v>377</v>
      </c>
      <c r="I385" s="47">
        <v>15</v>
      </c>
      <c r="J385" s="47">
        <v>11915</v>
      </c>
      <c r="K385" s="47">
        <v>17457</v>
      </c>
      <c r="L385" s="47">
        <v>3545</v>
      </c>
      <c r="M385" s="47">
        <f t="shared" si="74"/>
        <v>32917</v>
      </c>
      <c r="N385" s="251">
        <f t="shared" si="75"/>
        <v>335446</v>
      </c>
      <c r="O385" s="53">
        <f t="shared" si="76"/>
        <v>0.33797075855271264</v>
      </c>
      <c r="P385" s="72">
        <f t="shared" si="65"/>
        <v>3.1061747915725491</v>
      </c>
      <c r="Q385" s="72">
        <f t="shared" si="77"/>
        <v>3.444145550125262</v>
      </c>
    </row>
    <row r="386" spans="1:17" ht="15.75" thickBot="1" x14ac:dyDescent="0.3">
      <c r="A386" s="44" t="s">
        <v>1540</v>
      </c>
      <c r="B386" s="45" t="s">
        <v>1541</v>
      </c>
      <c r="C386" s="44" t="s">
        <v>837</v>
      </c>
      <c r="D386" s="47">
        <v>72726</v>
      </c>
      <c r="E386" s="47">
        <v>98907</v>
      </c>
      <c r="F386" s="47">
        <v>5548</v>
      </c>
      <c r="G386" s="47">
        <v>3630</v>
      </c>
      <c r="H386" s="47">
        <v>114</v>
      </c>
      <c r="I386" s="47">
        <v>3</v>
      </c>
      <c r="J386" s="47">
        <v>48274</v>
      </c>
      <c r="K386" s="47">
        <v>13038</v>
      </c>
      <c r="L386" s="47">
        <v>761</v>
      </c>
      <c r="M386" s="47">
        <f t="shared" si="74"/>
        <v>62073</v>
      </c>
      <c r="N386" s="251">
        <f t="shared" si="75"/>
        <v>170158</v>
      </c>
      <c r="O386" s="53">
        <f t="shared" si="76"/>
        <v>0.85351868657701513</v>
      </c>
      <c r="P386" s="72">
        <f t="shared" si="65"/>
        <v>1.4861947584082722</v>
      </c>
      <c r="Q386" s="72">
        <f t="shared" si="77"/>
        <v>2.3397134449852874</v>
      </c>
    </row>
    <row r="387" spans="1:17" ht="15.75" thickBot="1" x14ac:dyDescent="0.3">
      <c r="A387" s="122" t="s">
        <v>1542</v>
      </c>
      <c r="B387" s="248" t="s">
        <v>1543</v>
      </c>
      <c r="C387" s="122" t="s">
        <v>837</v>
      </c>
      <c r="D387" s="249">
        <v>80980</v>
      </c>
      <c r="E387" s="249">
        <v>163429</v>
      </c>
      <c r="F387" s="249">
        <v>18368</v>
      </c>
      <c r="G387" s="249">
        <v>30351</v>
      </c>
      <c r="H387" s="249">
        <v>197</v>
      </c>
      <c r="I387" s="249">
        <v>19</v>
      </c>
      <c r="J387" s="249" t="s">
        <v>3479</v>
      </c>
      <c r="K387" s="249" t="s">
        <v>3479</v>
      </c>
      <c r="L387" s="249" t="s">
        <v>3479</v>
      </c>
      <c r="M387" s="249" t="s">
        <v>3479</v>
      </c>
      <c r="N387" s="250" t="s">
        <v>3480</v>
      </c>
      <c r="O387" s="250" t="s">
        <v>3480</v>
      </c>
      <c r="P387" s="72">
        <f t="shared" si="65"/>
        <v>2.6197579649296121</v>
      </c>
      <c r="Q387" s="249" t="s">
        <v>3480</v>
      </c>
    </row>
    <row r="388" spans="1:17" ht="15.75" thickBot="1" x14ac:dyDescent="0.3">
      <c r="A388" s="44" t="s">
        <v>1564</v>
      </c>
      <c r="B388" s="45" t="s">
        <v>1565</v>
      </c>
      <c r="C388" s="44" t="s">
        <v>837</v>
      </c>
      <c r="D388" s="47">
        <v>134056</v>
      </c>
      <c r="E388" s="47">
        <v>226322</v>
      </c>
      <c r="F388" s="47">
        <v>26570</v>
      </c>
      <c r="G388" s="47">
        <v>17615</v>
      </c>
      <c r="H388" s="47">
        <v>416</v>
      </c>
      <c r="I388" s="47">
        <v>8</v>
      </c>
      <c r="J388" s="47">
        <v>37143</v>
      </c>
      <c r="K388" s="47">
        <v>14539</v>
      </c>
      <c r="L388" s="47">
        <v>16054</v>
      </c>
      <c r="M388" s="47">
        <f t="shared" ref="M388:M393" si="78">J388+K388+L388</f>
        <v>67736</v>
      </c>
      <c r="N388" s="251">
        <f t="shared" ref="N388:N393" si="79">E388+F388+G388+J388+K388+L388</f>
        <v>338243</v>
      </c>
      <c r="O388" s="53">
        <f t="shared" ref="O388:O393" si="80">(J388+K388+L388)/D388</f>
        <v>0.50528137494778302</v>
      </c>
      <c r="P388" s="72">
        <f t="shared" ref="P388:P393" si="81">(E388+F388+G388)/D388</f>
        <v>2.0178656680790117</v>
      </c>
      <c r="Q388" s="72">
        <f t="shared" ref="Q388:Q393" si="82">N388/D388</f>
        <v>2.5231470430267948</v>
      </c>
    </row>
    <row r="389" spans="1:17" ht="15.75" thickBot="1" x14ac:dyDescent="0.3">
      <c r="A389" s="44" t="s">
        <v>1566</v>
      </c>
      <c r="B389" s="45" t="s">
        <v>1567</v>
      </c>
      <c r="C389" s="44" t="s">
        <v>837</v>
      </c>
      <c r="D389" s="47">
        <v>71997</v>
      </c>
      <c r="E389" s="47">
        <v>109963</v>
      </c>
      <c r="F389" s="47">
        <v>5864</v>
      </c>
      <c r="G389" s="47">
        <v>4127</v>
      </c>
      <c r="H389" s="47">
        <v>198</v>
      </c>
      <c r="I389" s="47">
        <v>0</v>
      </c>
      <c r="J389" s="47">
        <v>23416</v>
      </c>
      <c r="K389" s="47">
        <v>11068</v>
      </c>
      <c r="L389" s="47">
        <v>797</v>
      </c>
      <c r="M389" s="47">
        <f t="shared" si="78"/>
        <v>35281</v>
      </c>
      <c r="N389" s="251">
        <f t="shared" si="79"/>
        <v>155235</v>
      </c>
      <c r="O389" s="53">
        <f t="shared" si="80"/>
        <v>0.49003430698501327</v>
      </c>
      <c r="P389" s="72">
        <f t="shared" si="81"/>
        <v>1.6660971984943818</v>
      </c>
      <c r="Q389" s="72">
        <f t="shared" si="82"/>
        <v>2.156131505479395</v>
      </c>
    </row>
    <row r="390" spans="1:17" ht="15.75" thickBot="1" x14ac:dyDescent="0.3">
      <c r="A390" s="44" t="s">
        <v>1574</v>
      </c>
      <c r="B390" s="45" t="s">
        <v>1575</v>
      </c>
      <c r="C390" s="44" t="s">
        <v>837</v>
      </c>
      <c r="D390" s="47">
        <v>71755</v>
      </c>
      <c r="E390" s="47">
        <v>142567</v>
      </c>
      <c r="F390" s="47">
        <v>16691</v>
      </c>
      <c r="G390" s="47">
        <v>37482</v>
      </c>
      <c r="H390" s="47">
        <v>473</v>
      </c>
      <c r="I390" s="47">
        <v>40</v>
      </c>
      <c r="J390" s="47">
        <v>37507</v>
      </c>
      <c r="K390" s="47">
        <v>32786</v>
      </c>
      <c r="L390" s="47">
        <v>6784</v>
      </c>
      <c r="M390" s="47">
        <f t="shared" si="78"/>
        <v>77077</v>
      </c>
      <c r="N390" s="251">
        <f t="shared" si="79"/>
        <v>273817</v>
      </c>
      <c r="O390" s="53">
        <f t="shared" si="80"/>
        <v>1.0741690474531391</v>
      </c>
      <c r="P390" s="72">
        <f t="shared" si="81"/>
        <v>2.7418298376419763</v>
      </c>
      <c r="Q390" s="72">
        <f t="shared" si="82"/>
        <v>3.8159988850951154</v>
      </c>
    </row>
    <row r="391" spans="1:17" ht="15.75" thickBot="1" x14ac:dyDescent="0.3">
      <c r="A391" s="44" t="s">
        <v>1594</v>
      </c>
      <c r="B391" s="45" t="s">
        <v>1595</v>
      </c>
      <c r="C391" s="44" t="s">
        <v>837</v>
      </c>
      <c r="D391" s="47">
        <v>89779</v>
      </c>
      <c r="E391" s="47">
        <v>166838</v>
      </c>
      <c r="F391" s="47">
        <v>18315</v>
      </c>
      <c r="G391" s="47">
        <v>22764</v>
      </c>
      <c r="H391" s="47">
        <v>227</v>
      </c>
      <c r="I391" s="47">
        <v>13</v>
      </c>
      <c r="J391" s="47">
        <v>85167</v>
      </c>
      <c r="K391" s="47">
        <v>33480</v>
      </c>
      <c r="L391" s="47">
        <v>0</v>
      </c>
      <c r="M391" s="47">
        <f t="shared" si="78"/>
        <v>118647</v>
      </c>
      <c r="N391" s="251">
        <f t="shared" si="79"/>
        <v>326564</v>
      </c>
      <c r="O391" s="53">
        <f t="shared" si="80"/>
        <v>1.3215451274797001</v>
      </c>
      <c r="P391" s="72">
        <f t="shared" si="81"/>
        <v>2.3158756502077322</v>
      </c>
      <c r="Q391" s="72">
        <f t="shared" si="82"/>
        <v>3.6374207776874323</v>
      </c>
    </row>
    <row r="392" spans="1:17" ht="15.75" thickBot="1" x14ac:dyDescent="0.3">
      <c r="A392" s="44" t="s">
        <v>1596</v>
      </c>
      <c r="B392" s="45" t="s">
        <v>1597</v>
      </c>
      <c r="C392" s="44" t="s">
        <v>837</v>
      </c>
      <c r="D392" s="47">
        <v>84094</v>
      </c>
      <c r="E392" s="47">
        <v>125280</v>
      </c>
      <c r="F392" s="47">
        <v>11127</v>
      </c>
      <c r="G392" s="47">
        <v>13831</v>
      </c>
      <c r="H392" s="47">
        <v>379</v>
      </c>
      <c r="I392" s="47">
        <v>20</v>
      </c>
      <c r="J392" s="47">
        <v>40112</v>
      </c>
      <c r="K392" s="47">
        <v>36985</v>
      </c>
      <c r="L392" s="47">
        <v>11387</v>
      </c>
      <c r="M392" s="47">
        <f t="shared" si="78"/>
        <v>88484</v>
      </c>
      <c r="N392" s="251">
        <f t="shared" si="79"/>
        <v>238722</v>
      </c>
      <c r="O392" s="53">
        <f t="shared" si="80"/>
        <v>1.0522034865745475</v>
      </c>
      <c r="P392" s="72">
        <f t="shared" si="81"/>
        <v>1.7865483863295835</v>
      </c>
      <c r="Q392" s="72">
        <f t="shared" si="82"/>
        <v>2.838751872904131</v>
      </c>
    </row>
    <row r="393" spans="1:17" ht="15.75" thickBot="1" x14ac:dyDescent="0.3">
      <c r="A393" s="44" t="s">
        <v>1602</v>
      </c>
      <c r="B393" s="45" t="s">
        <v>1603</v>
      </c>
      <c r="C393" s="44" t="s">
        <v>837</v>
      </c>
      <c r="D393" s="47">
        <v>82974</v>
      </c>
      <c r="E393" s="47">
        <v>211787</v>
      </c>
      <c r="F393" s="47">
        <v>16823</v>
      </c>
      <c r="G393" s="47">
        <v>27840</v>
      </c>
      <c r="H393" s="47">
        <v>207</v>
      </c>
      <c r="I393" s="47">
        <v>9</v>
      </c>
      <c r="J393" s="47">
        <v>57773</v>
      </c>
      <c r="K393" s="47">
        <v>42687</v>
      </c>
      <c r="L393" s="47">
        <v>5935</v>
      </c>
      <c r="M393" s="47">
        <f t="shared" si="78"/>
        <v>106395</v>
      </c>
      <c r="N393" s="251">
        <f t="shared" si="79"/>
        <v>362845</v>
      </c>
      <c r="O393" s="53">
        <f t="shared" si="80"/>
        <v>1.2822691445513053</v>
      </c>
      <c r="P393" s="72">
        <f t="shared" si="81"/>
        <v>3.0907272157543328</v>
      </c>
      <c r="Q393" s="72">
        <f t="shared" si="82"/>
        <v>4.3729963603056383</v>
      </c>
    </row>
    <row r="394" spans="1:17" ht="15.75" thickBot="1" x14ac:dyDescent="0.3"/>
    <row r="395" spans="1:17" ht="18.75" thickBot="1" x14ac:dyDescent="0.3">
      <c r="B395" s="129" t="s">
        <v>3450</v>
      </c>
      <c r="C395" s="252">
        <f>SUBTOTAL(103,Table16[Library Class])</f>
        <v>390</v>
      </c>
    </row>
    <row r="396" spans="1:17" ht="16.5" thickBot="1" x14ac:dyDescent="0.3">
      <c r="C396" s="176" t="s">
        <v>3464</v>
      </c>
      <c r="D396" s="139">
        <f>SUBTOTAL(109,Table16[Total Population Served])</f>
        <v>9838063</v>
      </c>
      <c r="E396" s="139">
        <f>SUBTOTAL(109,Table16[Number of Print Materials])</f>
        <v>25830069</v>
      </c>
      <c r="F396" s="139">
        <f>SUBTOTAL(109,Table16[Audio (Physical Units)])</f>
        <v>1810602</v>
      </c>
      <c r="G396" s="139">
        <f>SUBTOTAL(109,Table16[Video (Physical Units)])</f>
        <v>2727564</v>
      </c>
      <c r="H396" s="139">
        <f>SUBTOTAL(109,Table16[Subscriptions (Non-electronic)])</f>
        <v>40560</v>
      </c>
      <c r="I396" s="139">
        <f>SUBTOTAL(109,Table16[Total Electronic Collections])</f>
        <v>2478</v>
      </c>
      <c r="J396" s="139">
        <f>SUBTOTAL(109,Table16[Electronic Books (E-Books)])</f>
        <v>6539713</v>
      </c>
      <c r="K396" s="139">
        <f>SUBTOTAL(109,Table16[Audio (Downloadable Units)])</f>
        <v>3081689</v>
      </c>
      <c r="L396" s="139">
        <f>SUBTOTAL(109,Table16[Video (Downloadable Units)])</f>
        <v>452347</v>
      </c>
      <c r="M396" s="139">
        <f>SUBTOTAL(109,Table16[Total eContent])</f>
        <v>10073749</v>
      </c>
      <c r="N396" s="140">
        <f>SUBTOTAL(109,Table16[Total Collection (Physical / Electronic Units)])</f>
        <v>37518150</v>
      </c>
      <c r="O396" s="253"/>
      <c r="P396" s="253"/>
      <c r="Q396" s="253"/>
    </row>
    <row r="397" spans="1:17" ht="16.5" thickBot="1" x14ac:dyDescent="0.3">
      <c r="C397" s="176" t="s">
        <v>3465</v>
      </c>
      <c r="D397" s="254">
        <f>SUBTOTAL(101,Table16[Total Population Served])</f>
        <v>25225.802564102563</v>
      </c>
      <c r="E397" s="254">
        <f>SUBTOTAL(101,Table16[Number of Print Materials])</f>
        <v>66230.946153846147</v>
      </c>
      <c r="F397" s="254">
        <f>SUBTOTAL(101,Table16[Audio (Physical Units)])</f>
        <v>4642.5692307692307</v>
      </c>
      <c r="G397" s="254">
        <f>SUBTOTAL(101,Table16[Video (Physical Units)])</f>
        <v>6993.7538461538461</v>
      </c>
      <c r="H397" s="254">
        <f>SUBTOTAL(101,Table16[Subscriptions (Non-electronic)])</f>
        <v>104</v>
      </c>
      <c r="I397" s="254">
        <f>SUBTOTAL(101,Table16[Total Electronic Collections])</f>
        <v>6.3538461538461535</v>
      </c>
      <c r="J397" s="254">
        <f>SUBTOTAL(101,Table16[Electronic Books (E-Books)])</f>
        <v>17917.021917808219</v>
      </c>
      <c r="K397" s="254">
        <f>SUBTOTAL(101,Table16[Audio (Downloadable Units)])</f>
        <v>8442.9835616438359</v>
      </c>
      <c r="L397" s="254">
        <f>SUBTOTAL(101,Table16[Video (Downloadable Units)])</f>
        <v>1239.3068493150686</v>
      </c>
      <c r="M397" s="254">
        <f>SUBTOTAL(101,Table16[Total eContent])</f>
        <v>27599.312328767122</v>
      </c>
      <c r="N397" s="254">
        <f>SUBTOTAL(101,Table16[Total Collection (Physical / Electronic Units)])</f>
        <v>102789.45205479451</v>
      </c>
      <c r="O397" s="254">
        <f>SUBTOTAL(101,Table16[eMaterials Per Capita])</f>
        <v>2.9039338658737401</v>
      </c>
      <c r="P397" s="254">
        <f>SUBTOTAL(101,Table16[Physical Materials Per Capita (subcriptions not included)])</f>
        <v>4.6457764896611504</v>
      </c>
      <c r="Q397" s="255">
        <f>SUBTOTAL(101,Table16[Total Materials Per Capita])</f>
        <v>7.6067386590424766</v>
      </c>
    </row>
    <row r="399" spans="1:17" x14ac:dyDescent="0.25">
      <c r="B399" t="s">
        <v>3482</v>
      </c>
    </row>
    <row r="400" spans="1:17" x14ac:dyDescent="0.25">
      <c r="B400" t="s">
        <v>3481</v>
      </c>
    </row>
  </sheetData>
  <sortState xmlns:xlrd2="http://schemas.microsoft.com/office/spreadsheetml/2017/richdata2" ref="A4:Q393">
    <sortCondition ref="C4"/>
  </sortState>
  <hyperlinks>
    <hyperlink ref="F1" location="'Table of Contents'!A1" display="Return to Table of Contents" xr:uid="{A37852A2-F681-4F17-95EB-0044EFE33940}"/>
  </hyperlinks>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5BCF2-4648-4250-BA63-0E463C5C36EB}">
  <sheetPr>
    <tabColor theme="3" tint="0.59999389629810485"/>
  </sheetPr>
  <dimension ref="A1:AG396"/>
  <sheetViews>
    <sheetView workbookViewId="0">
      <pane ySplit="3" topLeftCell="A4" activePane="bottomLeft" state="frozen"/>
      <selection activeCell="H1" sqref="H1"/>
      <selection pane="bottomLeft" activeCell="Q3" sqref="Q3"/>
    </sheetView>
  </sheetViews>
  <sheetFormatPr defaultRowHeight="15" x14ac:dyDescent="0.25"/>
  <cols>
    <col min="2" max="2" width="49" bestFit="1" customWidth="1"/>
    <col min="3" max="3" width="25.85546875" bestFit="1" customWidth="1"/>
    <col min="4" max="4" width="17.85546875" customWidth="1"/>
    <col min="5" max="5" width="15.7109375" customWidth="1"/>
    <col min="6" max="6" width="18.5703125" customWidth="1"/>
    <col min="7" max="7" width="17" customWidth="1"/>
    <col min="8" max="8" width="15.140625" customWidth="1"/>
    <col min="9" max="9" width="12.7109375" customWidth="1"/>
    <col min="10" max="10" width="17.140625" customWidth="1"/>
    <col min="11" max="11" width="17.42578125" customWidth="1"/>
    <col min="12" max="12" width="17.140625" customWidth="1"/>
    <col min="13" max="13" width="15.7109375" customWidth="1"/>
    <col min="14" max="14" width="16.140625" customWidth="1"/>
    <col min="15" max="15" width="14.7109375" customWidth="1"/>
    <col min="16" max="16" width="16.7109375" customWidth="1"/>
    <col min="17" max="17" width="17.28515625" customWidth="1"/>
    <col min="18" max="18" width="15" customWidth="1"/>
    <col min="19" max="19" width="21.85546875" customWidth="1"/>
    <col min="20" max="20" width="13" customWidth="1"/>
    <col min="21" max="21" width="16" customWidth="1"/>
    <col min="22" max="22" width="18.28515625" customWidth="1"/>
    <col min="23" max="23" width="24.85546875" customWidth="1"/>
    <col min="24" max="24" width="14.85546875" customWidth="1"/>
    <col min="25" max="25" width="21.140625" customWidth="1"/>
    <col min="26" max="26" width="14.85546875" customWidth="1"/>
    <col min="27" max="27" width="13.5703125" customWidth="1"/>
    <col min="28" max="28" width="20.42578125" customWidth="1"/>
    <col min="29" max="29" width="23.5703125" customWidth="1"/>
    <col min="30" max="30" width="16.7109375" style="75" customWidth="1"/>
    <col min="31" max="31" width="24.140625" customWidth="1"/>
    <col min="32" max="32" width="20.28515625" customWidth="1"/>
    <col min="33" max="33" width="15.28515625" customWidth="1"/>
  </cols>
  <sheetData>
    <row r="1" spans="1:33" ht="18.75" x14ac:dyDescent="0.3">
      <c r="B1" s="56" t="s">
        <v>3449</v>
      </c>
      <c r="D1" s="54" t="s">
        <v>3</v>
      </c>
      <c r="G1" s="55" t="s">
        <v>13</v>
      </c>
    </row>
    <row r="3" spans="1:33" ht="46.5" customHeight="1" thickBot="1" x14ac:dyDescent="0.3">
      <c r="A3" s="57" t="s">
        <v>784</v>
      </c>
      <c r="B3" s="57" t="s">
        <v>785</v>
      </c>
      <c r="C3" s="123" t="s">
        <v>786</v>
      </c>
      <c r="D3" s="123" t="s">
        <v>1617</v>
      </c>
      <c r="E3" s="123" t="s">
        <v>1618</v>
      </c>
      <c r="F3" s="123" t="s">
        <v>1619</v>
      </c>
      <c r="G3" s="123" t="s">
        <v>1620</v>
      </c>
      <c r="H3" s="123" t="s">
        <v>1621</v>
      </c>
      <c r="I3" s="123" t="s">
        <v>1622</v>
      </c>
      <c r="J3" s="123" t="s">
        <v>1623</v>
      </c>
      <c r="K3" s="123" t="s">
        <v>1624</v>
      </c>
      <c r="L3" s="123" t="s">
        <v>1625</v>
      </c>
      <c r="M3" s="123" t="s">
        <v>1626</v>
      </c>
      <c r="N3" s="123" t="s">
        <v>1627</v>
      </c>
      <c r="O3" s="123" t="s">
        <v>1628</v>
      </c>
      <c r="P3" s="123" t="s">
        <v>3455</v>
      </c>
      <c r="Q3" s="123" t="s">
        <v>3486</v>
      </c>
      <c r="R3" s="123" t="s">
        <v>1629</v>
      </c>
      <c r="S3" s="123" t="s">
        <v>1630</v>
      </c>
      <c r="T3" s="123" t="s">
        <v>1631</v>
      </c>
      <c r="U3" s="123" t="s">
        <v>1632</v>
      </c>
      <c r="V3" s="123" t="s">
        <v>1633</v>
      </c>
      <c r="W3" s="123" t="s">
        <v>1634</v>
      </c>
      <c r="X3" s="123" t="s">
        <v>1635</v>
      </c>
      <c r="Y3" s="123" t="s">
        <v>1636</v>
      </c>
      <c r="Z3" s="123" t="s">
        <v>1637</v>
      </c>
      <c r="AA3" s="123" t="s">
        <v>1638</v>
      </c>
      <c r="AB3" s="123" t="s">
        <v>1639</v>
      </c>
      <c r="AC3" s="123" t="s">
        <v>1640</v>
      </c>
      <c r="AD3" s="124" t="s">
        <v>1641</v>
      </c>
      <c r="AE3" s="123" t="s">
        <v>1613</v>
      </c>
      <c r="AF3" s="123" t="s">
        <v>1642</v>
      </c>
      <c r="AG3" s="123" t="s">
        <v>1604</v>
      </c>
    </row>
    <row r="4" spans="1:33" ht="15.75" thickBot="1" x14ac:dyDescent="0.3">
      <c r="A4" s="44" t="s">
        <v>815</v>
      </c>
      <c r="B4" s="107" t="s">
        <v>816</v>
      </c>
      <c r="C4" s="78" t="s">
        <v>817</v>
      </c>
      <c r="D4" s="108">
        <v>2197</v>
      </c>
      <c r="E4" s="108">
        <v>11489</v>
      </c>
      <c r="F4" s="108">
        <v>1196</v>
      </c>
      <c r="G4" s="108">
        <v>14882</v>
      </c>
      <c r="H4" s="125">
        <f t="shared" ref="H4:H67" si="0">D4/AG4</f>
        <v>1.7097276264591439</v>
      </c>
      <c r="I4" s="125">
        <f t="shared" ref="I4:I67" si="1">F4/AG4</f>
        <v>0.93073929961089497</v>
      </c>
      <c r="J4" s="125">
        <f t="shared" ref="J4:J67" si="2">G4/AG4</f>
        <v>11.581322957198443</v>
      </c>
      <c r="K4" s="125">
        <f t="shared" ref="K4:K67" si="3">G4/AF4</f>
        <v>8.2494456762749451</v>
      </c>
      <c r="L4" s="126">
        <v>113</v>
      </c>
      <c r="M4" s="108">
        <v>1309</v>
      </c>
      <c r="N4" s="108">
        <v>13686</v>
      </c>
      <c r="O4" s="108">
        <v>14995</v>
      </c>
      <c r="P4" s="108">
        <f>O4/AG4</f>
        <v>11.669260700389104</v>
      </c>
      <c r="Q4" s="108">
        <v>15668</v>
      </c>
      <c r="R4" s="108">
        <v>53675</v>
      </c>
      <c r="S4" s="125">
        <f t="shared" ref="S4:S67" si="4">R4/AG4</f>
        <v>41.7704280155642</v>
      </c>
      <c r="T4" s="108">
        <v>149</v>
      </c>
      <c r="U4" s="125">
        <f t="shared" ref="U4:U67" si="5">T4/AG4</f>
        <v>0.11595330739299611</v>
      </c>
      <c r="V4" s="108">
        <v>534</v>
      </c>
      <c r="W4" s="108">
        <v>553</v>
      </c>
      <c r="X4" s="108">
        <v>16770</v>
      </c>
      <c r="Y4" s="108">
        <v>3118</v>
      </c>
      <c r="Z4" s="125">
        <f t="shared" ref="Z4:Z67" si="6">X4/AG4</f>
        <v>13.050583657587548</v>
      </c>
      <c r="AA4" s="125">
        <f t="shared" ref="AA4:AA67" si="7">X4/AF4</f>
        <v>9.2960088691796017</v>
      </c>
      <c r="AB4" s="108">
        <v>3828</v>
      </c>
      <c r="AC4" s="78" t="s">
        <v>1643</v>
      </c>
      <c r="AD4" s="126">
        <v>797</v>
      </c>
      <c r="AE4" s="108">
        <v>69343</v>
      </c>
      <c r="AF4" s="108">
        <v>1804</v>
      </c>
      <c r="AG4" s="108">
        <v>1285</v>
      </c>
    </row>
    <row r="5" spans="1:33" ht="15.75" thickBot="1" x14ac:dyDescent="0.3">
      <c r="A5" s="44" t="s">
        <v>840</v>
      </c>
      <c r="B5" s="107" t="s">
        <v>841</v>
      </c>
      <c r="C5" s="78" t="s">
        <v>817</v>
      </c>
      <c r="D5" s="108">
        <v>6268</v>
      </c>
      <c r="E5" s="108">
        <v>2023</v>
      </c>
      <c r="F5" s="108">
        <v>336</v>
      </c>
      <c r="G5" s="108">
        <v>8627</v>
      </c>
      <c r="H5" s="125">
        <f t="shared" si="0"/>
        <v>1.9298029556650247</v>
      </c>
      <c r="I5" s="125">
        <f t="shared" si="1"/>
        <v>0.10344827586206896</v>
      </c>
      <c r="J5" s="125">
        <f t="shared" si="2"/>
        <v>2.6560960591133007</v>
      </c>
      <c r="K5" s="125">
        <f t="shared" si="3"/>
        <v>13.110942249240122</v>
      </c>
      <c r="L5" s="126" t="s">
        <v>3453</v>
      </c>
      <c r="M5" s="108">
        <v>335</v>
      </c>
      <c r="N5" s="108">
        <v>8291</v>
      </c>
      <c r="O5" s="108">
        <v>8626</v>
      </c>
      <c r="P5" s="108">
        <f t="shared" ref="P5:P68" si="8">O5/AG5</f>
        <v>2.6557881773399017</v>
      </c>
      <c r="Q5" s="108">
        <v>10696</v>
      </c>
      <c r="R5" s="108">
        <v>20669</v>
      </c>
      <c r="S5" s="125">
        <f t="shared" si="4"/>
        <v>6.3636083743842367</v>
      </c>
      <c r="T5" s="108">
        <v>785</v>
      </c>
      <c r="U5" s="125">
        <f t="shared" si="5"/>
        <v>0.24168719211822659</v>
      </c>
      <c r="V5" s="108">
        <v>79</v>
      </c>
      <c r="W5" s="108">
        <v>84</v>
      </c>
      <c r="X5" s="108">
        <v>17004</v>
      </c>
      <c r="Y5" s="78" t="s">
        <v>3453</v>
      </c>
      <c r="Z5" s="125">
        <f t="shared" si="6"/>
        <v>5.235221674876847</v>
      </c>
      <c r="AA5" s="125">
        <f t="shared" si="7"/>
        <v>25.841945288753799</v>
      </c>
      <c r="AB5" s="108">
        <v>2066</v>
      </c>
      <c r="AC5" s="78" t="s">
        <v>1643</v>
      </c>
      <c r="AD5" s="126">
        <v>1054</v>
      </c>
      <c r="AE5" s="108">
        <v>31365</v>
      </c>
      <c r="AF5" s="108">
        <v>658</v>
      </c>
      <c r="AG5" s="108">
        <v>3248</v>
      </c>
    </row>
    <row r="6" spans="1:33" ht="15.75" thickBot="1" x14ac:dyDescent="0.3">
      <c r="A6" s="44" t="s">
        <v>863</v>
      </c>
      <c r="B6" s="107" t="s">
        <v>864</v>
      </c>
      <c r="C6" s="78" t="s">
        <v>817</v>
      </c>
      <c r="D6" s="108">
        <v>4531</v>
      </c>
      <c r="E6" s="108">
        <v>5538</v>
      </c>
      <c r="F6" s="108">
        <v>1104</v>
      </c>
      <c r="G6" s="108">
        <v>11173</v>
      </c>
      <c r="H6" s="125">
        <f t="shared" si="0"/>
        <v>6.8964992389649922</v>
      </c>
      <c r="I6" s="125">
        <f t="shared" si="1"/>
        <v>1.6803652968036529</v>
      </c>
      <c r="J6" s="125">
        <f t="shared" si="2"/>
        <v>17.006088280060883</v>
      </c>
      <c r="K6" s="125">
        <f t="shared" si="3"/>
        <v>4.8451864700780574</v>
      </c>
      <c r="L6" s="126">
        <v>0</v>
      </c>
      <c r="M6" s="108">
        <v>1104</v>
      </c>
      <c r="N6" s="108">
        <v>10069</v>
      </c>
      <c r="O6" s="108">
        <v>11173</v>
      </c>
      <c r="P6" s="108">
        <f t="shared" si="8"/>
        <v>17.006088280060883</v>
      </c>
      <c r="Q6" s="108">
        <v>15456</v>
      </c>
      <c r="R6" s="108">
        <v>28899</v>
      </c>
      <c r="S6" s="125">
        <f t="shared" si="4"/>
        <v>43.986301369863014</v>
      </c>
      <c r="T6" s="108">
        <v>0</v>
      </c>
      <c r="U6" s="125">
        <f t="shared" si="5"/>
        <v>0</v>
      </c>
      <c r="V6" s="108">
        <v>0</v>
      </c>
      <c r="W6" s="108">
        <v>94</v>
      </c>
      <c r="X6" s="108">
        <v>14798</v>
      </c>
      <c r="Y6" s="78" t="s">
        <v>3453</v>
      </c>
      <c r="Z6" s="125">
        <f t="shared" si="6"/>
        <v>22.523592085235922</v>
      </c>
      <c r="AA6" s="125">
        <f t="shared" si="7"/>
        <v>6.4171725932350387</v>
      </c>
      <c r="AB6" s="108">
        <v>2442</v>
      </c>
      <c r="AC6" s="78" t="s">
        <v>1643</v>
      </c>
      <c r="AD6" s="127" t="s">
        <v>3453</v>
      </c>
      <c r="AE6" s="108">
        <v>44355</v>
      </c>
      <c r="AF6" s="108">
        <v>2306</v>
      </c>
      <c r="AG6" s="108">
        <v>657</v>
      </c>
    </row>
    <row r="7" spans="1:33" ht="15.75" thickBot="1" x14ac:dyDescent="0.3">
      <c r="A7" s="44" t="s">
        <v>865</v>
      </c>
      <c r="B7" s="107" t="s">
        <v>866</v>
      </c>
      <c r="C7" s="78" t="s">
        <v>817</v>
      </c>
      <c r="D7" s="108">
        <v>7465</v>
      </c>
      <c r="E7" s="108">
        <v>19336</v>
      </c>
      <c r="F7" s="108">
        <v>3076</v>
      </c>
      <c r="G7" s="108">
        <v>29877</v>
      </c>
      <c r="H7" s="125">
        <f t="shared" si="0"/>
        <v>1.9806314672326877</v>
      </c>
      <c r="I7" s="125">
        <f t="shared" si="1"/>
        <v>0.81613159989387107</v>
      </c>
      <c r="J7" s="125">
        <f t="shared" si="2"/>
        <v>7.9270363491642346</v>
      </c>
      <c r="K7" s="125">
        <f t="shared" si="3"/>
        <v>29.936873747494989</v>
      </c>
      <c r="L7" s="126">
        <v>34255</v>
      </c>
      <c r="M7" s="108">
        <v>37331</v>
      </c>
      <c r="N7" s="108">
        <v>26801</v>
      </c>
      <c r="O7" s="108">
        <v>64132</v>
      </c>
      <c r="P7" s="108">
        <f t="shared" si="8"/>
        <v>17.015654019633857</v>
      </c>
      <c r="Q7" s="108">
        <v>26363</v>
      </c>
      <c r="R7" s="108">
        <v>34134</v>
      </c>
      <c r="S7" s="125">
        <f t="shared" si="4"/>
        <v>9.0565136641018835</v>
      </c>
      <c r="T7" s="108">
        <v>500</v>
      </c>
      <c r="U7" s="125">
        <f t="shared" si="5"/>
        <v>0.13266118333775537</v>
      </c>
      <c r="V7" s="108">
        <v>1290</v>
      </c>
      <c r="W7" s="108">
        <v>1409</v>
      </c>
      <c r="X7" s="108">
        <v>31271</v>
      </c>
      <c r="Y7" s="108">
        <v>16962</v>
      </c>
      <c r="Z7" s="125">
        <f t="shared" si="6"/>
        <v>8.296895728309897</v>
      </c>
      <c r="AA7" s="125">
        <f t="shared" si="7"/>
        <v>31.33366733466934</v>
      </c>
      <c r="AB7" s="108">
        <v>6424</v>
      </c>
      <c r="AC7" s="78" t="s">
        <v>1643</v>
      </c>
      <c r="AD7" s="126">
        <v>3500</v>
      </c>
      <c r="AE7" s="108">
        <v>60497</v>
      </c>
      <c r="AF7" s="108">
        <v>998</v>
      </c>
      <c r="AG7" s="108">
        <v>3769</v>
      </c>
    </row>
    <row r="8" spans="1:33" ht="15.75" thickBot="1" x14ac:dyDescent="0.3">
      <c r="A8" s="44" t="s">
        <v>869</v>
      </c>
      <c r="B8" s="107" t="s">
        <v>870</v>
      </c>
      <c r="C8" s="78" t="s">
        <v>817</v>
      </c>
      <c r="D8" s="108">
        <v>2004</v>
      </c>
      <c r="E8" s="108">
        <v>7001</v>
      </c>
      <c r="F8" s="108">
        <v>800</v>
      </c>
      <c r="G8" s="108">
        <v>9805</v>
      </c>
      <c r="H8" s="125">
        <f t="shared" si="0"/>
        <v>0.6361904761904762</v>
      </c>
      <c r="I8" s="125">
        <f t="shared" si="1"/>
        <v>0.25396825396825395</v>
      </c>
      <c r="J8" s="125">
        <f t="shared" si="2"/>
        <v>3.1126984126984127</v>
      </c>
      <c r="K8" s="125">
        <f t="shared" si="3"/>
        <v>4.456818181818182</v>
      </c>
      <c r="L8" s="127">
        <v>0</v>
      </c>
      <c r="M8" s="108">
        <v>800</v>
      </c>
      <c r="N8" s="108">
        <v>9005</v>
      </c>
      <c r="O8" s="108">
        <v>9805</v>
      </c>
      <c r="P8" s="108">
        <f t="shared" si="8"/>
        <v>3.1126984126984127</v>
      </c>
      <c r="Q8" s="108">
        <v>15946</v>
      </c>
      <c r="R8" s="108">
        <v>17135</v>
      </c>
      <c r="S8" s="125">
        <f t="shared" si="4"/>
        <v>5.4396825396825399</v>
      </c>
      <c r="T8" s="108">
        <v>384</v>
      </c>
      <c r="U8" s="125">
        <f t="shared" si="5"/>
        <v>0.1219047619047619</v>
      </c>
      <c r="V8" s="108">
        <v>840</v>
      </c>
      <c r="W8" s="108">
        <v>960</v>
      </c>
      <c r="X8" s="108">
        <v>4248</v>
      </c>
      <c r="Y8" s="108">
        <v>0</v>
      </c>
      <c r="Z8" s="125">
        <f t="shared" si="6"/>
        <v>1.3485714285714285</v>
      </c>
      <c r="AA8" s="125">
        <f t="shared" si="7"/>
        <v>1.9309090909090909</v>
      </c>
      <c r="AB8" s="108">
        <v>908</v>
      </c>
      <c r="AC8" s="78" t="s">
        <v>1643</v>
      </c>
      <c r="AD8" s="126">
        <v>189</v>
      </c>
      <c r="AE8" s="108">
        <v>33081</v>
      </c>
      <c r="AF8" s="108">
        <v>2200</v>
      </c>
      <c r="AG8" s="108">
        <v>3150</v>
      </c>
    </row>
    <row r="9" spans="1:33" ht="15.75" thickBot="1" x14ac:dyDescent="0.3">
      <c r="A9" s="44" t="s">
        <v>873</v>
      </c>
      <c r="B9" s="107" t="s">
        <v>874</v>
      </c>
      <c r="C9" s="78" t="s">
        <v>817</v>
      </c>
      <c r="D9" s="108">
        <v>11888</v>
      </c>
      <c r="E9" s="108">
        <v>38052</v>
      </c>
      <c r="F9" s="108">
        <v>8801</v>
      </c>
      <c r="G9" s="108">
        <v>58741</v>
      </c>
      <c r="H9" s="125">
        <f t="shared" si="0"/>
        <v>3.1193912358960905</v>
      </c>
      <c r="I9" s="125">
        <f t="shared" si="1"/>
        <v>2.3093676200472317</v>
      </c>
      <c r="J9" s="125">
        <f t="shared" si="2"/>
        <v>15.413539753345578</v>
      </c>
      <c r="K9" s="125">
        <f t="shared" si="3"/>
        <v>17.125655976676384</v>
      </c>
      <c r="L9" s="126">
        <v>3613</v>
      </c>
      <c r="M9" s="108">
        <v>12414</v>
      </c>
      <c r="N9" s="108">
        <v>49940</v>
      </c>
      <c r="O9" s="108">
        <v>62354</v>
      </c>
      <c r="P9" s="108">
        <f t="shared" si="8"/>
        <v>16.361584885856729</v>
      </c>
      <c r="Q9" s="108">
        <v>28113</v>
      </c>
      <c r="R9" s="108">
        <v>28093</v>
      </c>
      <c r="S9" s="125">
        <f t="shared" si="4"/>
        <v>7.3715560220414593</v>
      </c>
      <c r="T9" s="108">
        <v>6342</v>
      </c>
      <c r="U9" s="125">
        <f t="shared" si="5"/>
        <v>1.6641301495670429</v>
      </c>
      <c r="V9" s="108">
        <v>1438</v>
      </c>
      <c r="W9" s="108">
        <v>2361</v>
      </c>
      <c r="X9" s="108">
        <v>56884</v>
      </c>
      <c r="Y9" s="108">
        <v>13917</v>
      </c>
      <c r="Z9" s="125">
        <f t="shared" si="6"/>
        <v>14.926266071897141</v>
      </c>
      <c r="AA9" s="125">
        <f t="shared" si="7"/>
        <v>16.584256559766764</v>
      </c>
      <c r="AB9" s="108">
        <v>6561</v>
      </c>
      <c r="AC9" s="78" t="s">
        <v>1643</v>
      </c>
      <c r="AD9" s="126">
        <v>7903</v>
      </c>
      <c r="AE9" s="108">
        <v>56206</v>
      </c>
      <c r="AF9" s="108">
        <v>3430</v>
      </c>
      <c r="AG9" s="108">
        <v>3811</v>
      </c>
    </row>
    <row r="10" spans="1:33" ht="15.75" thickBot="1" x14ac:dyDescent="0.3">
      <c r="A10" s="44" t="s">
        <v>875</v>
      </c>
      <c r="B10" s="107" t="s">
        <v>876</v>
      </c>
      <c r="C10" s="78" t="s">
        <v>817</v>
      </c>
      <c r="D10" s="108">
        <v>9084</v>
      </c>
      <c r="E10" s="108">
        <v>21603</v>
      </c>
      <c r="F10" s="108">
        <v>3852</v>
      </c>
      <c r="G10" s="108">
        <v>34539</v>
      </c>
      <c r="H10" s="125">
        <f t="shared" si="0"/>
        <v>2.5073143803477782</v>
      </c>
      <c r="I10" s="125">
        <f t="shared" si="1"/>
        <v>1.0632072867789124</v>
      </c>
      <c r="J10" s="125">
        <f t="shared" si="2"/>
        <v>9.533259729505934</v>
      </c>
      <c r="K10" s="125">
        <f t="shared" si="3"/>
        <v>29.369897959183675</v>
      </c>
      <c r="L10" s="126">
        <v>0</v>
      </c>
      <c r="M10" s="108">
        <v>3852</v>
      </c>
      <c r="N10" s="108">
        <v>30687</v>
      </c>
      <c r="O10" s="108">
        <v>34539</v>
      </c>
      <c r="P10" s="108">
        <f t="shared" si="8"/>
        <v>9.533259729505934</v>
      </c>
      <c r="Q10" s="108">
        <v>16451</v>
      </c>
      <c r="R10" s="108">
        <v>36093</v>
      </c>
      <c r="S10" s="125">
        <f t="shared" si="4"/>
        <v>9.9621860336737509</v>
      </c>
      <c r="T10" s="108">
        <v>2230</v>
      </c>
      <c r="U10" s="125">
        <f t="shared" si="5"/>
        <v>0.61551200662434447</v>
      </c>
      <c r="V10" s="108">
        <v>2152</v>
      </c>
      <c r="W10" s="108">
        <v>2617</v>
      </c>
      <c r="X10" s="108">
        <v>31024</v>
      </c>
      <c r="Y10" s="108">
        <v>27886</v>
      </c>
      <c r="Z10" s="125">
        <f t="shared" si="6"/>
        <v>8.5630692796025389</v>
      </c>
      <c r="AA10" s="125">
        <f t="shared" si="7"/>
        <v>26.38095238095238</v>
      </c>
      <c r="AB10" s="108">
        <v>3175</v>
      </c>
      <c r="AC10" s="78" t="s">
        <v>1643</v>
      </c>
      <c r="AD10" s="126">
        <v>17000</v>
      </c>
      <c r="AE10" s="108">
        <v>52544</v>
      </c>
      <c r="AF10" s="108">
        <v>1176</v>
      </c>
      <c r="AG10" s="108">
        <v>3623</v>
      </c>
    </row>
    <row r="11" spans="1:33" ht="15.75" thickBot="1" x14ac:dyDescent="0.3">
      <c r="A11" s="44" t="s">
        <v>883</v>
      </c>
      <c r="B11" s="107" t="s">
        <v>884</v>
      </c>
      <c r="C11" s="78" t="s">
        <v>817</v>
      </c>
      <c r="D11" s="108">
        <v>1104</v>
      </c>
      <c r="E11" s="108">
        <v>4164</v>
      </c>
      <c r="F11" s="108">
        <v>851</v>
      </c>
      <c r="G11" s="108">
        <v>6119</v>
      </c>
      <c r="H11" s="125">
        <f t="shared" si="0"/>
        <v>0.37589376915219613</v>
      </c>
      <c r="I11" s="125">
        <f t="shared" si="1"/>
        <v>0.28975144705481787</v>
      </c>
      <c r="J11" s="125">
        <f t="shared" si="2"/>
        <v>2.083418454204971</v>
      </c>
      <c r="K11" s="125">
        <f t="shared" si="3"/>
        <v>3.2756959314775163</v>
      </c>
      <c r="L11" s="126">
        <v>0</v>
      </c>
      <c r="M11" s="108">
        <v>851</v>
      </c>
      <c r="N11" s="108">
        <v>5268</v>
      </c>
      <c r="O11" s="108">
        <v>6119</v>
      </c>
      <c r="P11" s="108">
        <f t="shared" si="8"/>
        <v>2.083418454204971</v>
      </c>
      <c r="Q11" s="108">
        <v>7522</v>
      </c>
      <c r="R11" s="108">
        <v>37346</v>
      </c>
      <c r="S11" s="125">
        <f t="shared" si="4"/>
        <v>12.715696288729996</v>
      </c>
      <c r="T11" s="108">
        <v>936</v>
      </c>
      <c r="U11" s="125">
        <f t="shared" si="5"/>
        <v>0.31869254341164455</v>
      </c>
      <c r="V11" s="108">
        <v>467</v>
      </c>
      <c r="W11" s="108">
        <v>702</v>
      </c>
      <c r="X11" s="108">
        <v>6648</v>
      </c>
      <c r="Y11" s="108">
        <v>7428</v>
      </c>
      <c r="Z11" s="125">
        <f t="shared" si="6"/>
        <v>2.2635342185903982</v>
      </c>
      <c r="AA11" s="125">
        <f t="shared" si="7"/>
        <v>3.5588865096359741</v>
      </c>
      <c r="AB11" s="108">
        <v>866</v>
      </c>
      <c r="AC11" s="78" t="s">
        <v>1643</v>
      </c>
      <c r="AD11" s="126">
        <v>788</v>
      </c>
      <c r="AE11" s="108">
        <v>44868</v>
      </c>
      <c r="AF11" s="108">
        <v>1868</v>
      </c>
      <c r="AG11" s="108">
        <v>2937</v>
      </c>
    </row>
    <row r="12" spans="1:33" ht="15.75" thickBot="1" x14ac:dyDescent="0.3">
      <c r="A12" s="44" t="s">
        <v>915</v>
      </c>
      <c r="B12" s="107" t="s">
        <v>916</v>
      </c>
      <c r="C12" s="78" t="s">
        <v>817</v>
      </c>
      <c r="D12" s="108">
        <v>705</v>
      </c>
      <c r="E12" s="108">
        <v>621</v>
      </c>
      <c r="F12" s="108">
        <v>0</v>
      </c>
      <c r="G12" s="108">
        <v>1326</v>
      </c>
      <c r="H12" s="125">
        <f t="shared" si="0"/>
        <v>0.27001148985063195</v>
      </c>
      <c r="I12" s="125">
        <f t="shared" si="1"/>
        <v>0</v>
      </c>
      <c r="J12" s="125">
        <f t="shared" si="2"/>
        <v>0.50785139793182688</v>
      </c>
      <c r="K12" s="125">
        <f t="shared" si="3"/>
        <v>0.82771535580524347</v>
      </c>
      <c r="L12" s="126">
        <v>0</v>
      </c>
      <c r="M12" s="108">
        <v>0</v>
      </c>
      <c r="N12" s="108">
        <v>1326</v>
      </c>
      <c r="O12" s="108">
        <v>1326</v>
      </c>
      <c r="P12" s="108">
        <f t="shared" si="8"/>
        <v>0.50785139793182688</v>
      </c>
      <c r="Q12" s="108">
        <v>17825</v>
      </c>
      <c r="R12" s="108">
        <v>0</v>
      </c>
      <c r="S12" s="125">
        <f t="shared" si="4"/>
        <v>0</v>
      </c>
      <c r="T12" s="108">
        <v>50</v>
      </c>
      <c r="U12" s="125">
        <f t="shared" si="5"/>
        <v>1.9149751053236307E-2</v>
      </c>
      <c r="V12" s="108">
        <v>97</v>
      </c>
      <c r="W12" s="108">
        <v>85</v>
      </c>
      <c r="X12" s="108">
        <v>1823</v>
      </c>
      <c r="Y12" s="108">
        <v>1462</v>
      </c>
      <c r="Z12" s="125">
        <f t="shared" si="6"/>
        <v>0.69819992340099579</v>
      </c>
      <c r="AA12" s="125">
        <f t="shared" si="7"/>
        <v>1.1379525593008739</v>
      </c>
      <c r="AB12" s="108">
        <v>239</v>
      </c>
      <c r="AC12" s="78" t="s">
        <v>1643</v>
      </c>
      <c r="AD12" s="126">
        <v>386</v>
      </c>
      <c r="AE12" s="108">
        <v>17825</v>
      </c>
      <c r="AF12" s="108">
        <v>1602</v>
      </c>
      <c r="AG12" s="108">
        <v>2611</v>
      </c>
    </row>
    <row r="13" spans="1:33" ht="15.75" thickBot="1" x14ac:dyDescent="0.3">
      <c r="A13" s="44" t="s">
        <v>929</v>
      </c>
      <c r="B13" s="107" t="s">
        <v>930</v>
      </c>
      <c r="C13" s="78" t="s">
        <v>817</v>
      </c>
      <c r="D13" s="108">
        <v>101</v>
      </c>
      <c r="E13" s="108">
        <v>2599</v>
      </c>
      <c r="F13" s="108">
        <v>189</v>
      </c>
      <c r="G13" s="108">
        <v>2889</v>
      </c>
      <c r="H13" s="125">
        <f t="shared" si="0"/>
        <v>0.13988919667590027</v>
      </c>
      <c r="I13" s="125">
        <f t="shared" si="1"/>
        <v>0.26177285318559557</v>
      </c>
      <c r="J13" s="125">
        <f t="shared" si="2"/>
        <v>4.0013850415512469</v>
      </c>
      <c r="K13" s="125">
        <f t="shared" si="3"/>
        <v>11.987551867219917</v>
      </c>
      <c r="L13" s="126">
        <v>0</v>
      </c>
      <c r="M13" s="108">
        <v>189</v>
      </c>
      <c r="N13" s="108">
        <v>2700</v>
      </c>
      <c r="O13" s="108">
        <v>2889</v>
      </c>
      <c r="P13" s="108">
        <f t="shared" si="8"/>
        <v>4.0013850415512469</v>
      </c>
      <c r="Q13" s="108">
        <v>13987</v>
      </c>
      <c r="R13" s="108">
        <v>11881</v>
      </c>
      <c r="S13" s="125">
        <f t="shared" si="4"/>
        <v>16.455678670360111</v>
      </c>
      <c r="T13" s="108">
        <v>69</v>
      </c>
      <c r="U13" s="125">
        <f t="shared" si="5"/>
        <v>9.5567867036011084E-2</v>
      </c>
      <c r="V13" s="108">
        <v>1</v>
      </c>
      <c r="W13" s="108">
        <v>32</v>
      </c>
      <c r="X13" s="108">
        <v>2049</v>
      </c>
      <c r="Y13" s="108">
        <v>520</v>
      </c>
      <c r="Z13" s="125">
        <f t="shared" si="6"/>
        <v>2.837950138504155</v>
      </c>
      <c r="AA13" s="125">
        <f t="shared" si="7"/>
        <v>8.5020746887966805</v>
      </c>
      <c r="AB13" s="108">
        <v>770</v>
      </c>
      <c r="AC13" s="78" t="s">
        <v>1643</v>
      </c>
      <c r="AD13" s="126">
        <v>205</v>
      </c>
      <c r="AE13" s="108">
        <v>25868</v>
      </c>
      <c r="AF13" s="108">
        <v>241</v>
      </c>
      <c r="AG13" s="108">
        <v>722</v>
      </c>
    </row>
    <row r="14" spans="1:33" ht="15.75" thickBot="1" x14ac:dyDescent="0.3">
      <c r="A14" s="44" t="s">
        <v>939</v>
      </c>
      <c r="B14" s="107" t="s">
        <v>940</v>
      </c>
      <c r="C14" s="78" t="s">
        <v>817</v>
      </c>
      <c r="D14" s="108">
        <v>3212</v>
      </c>
      <c r="E14" s="108">
        <v>12035</v>
      </c>
      <c r="F14" s="108">
        <v>3600</v>
      </c>
      <c r="G14" s="108">
        <v>18847</v>
      </c>
      <c r="H14" s="125">
        <f t="shared" si="0"/>
        <v>0.80400500625782223</v>
      </c>
      <c r="I14" s="125">
        <f t="shared" si="1"/>
        <v>0.90112640801001254</v>
      </c>
      <c r="J14" s="125">
        <f t="shared" si="2"/>
        <v>4.7176470588235295</v>
      </c>
      <c r="K14" s="125">
        <f t="shared" si="3"/>
        <v>5.6974002418379683</v>
      </c>
      <c r="L14" s="126">
        <v>0</v>
      </c>
      <c r="M14" s="108">
        <v>3600</v>
      </c>
      <c r="N14" s="108">
        <v>15247</v>
      </c>
      <c r="O14" s="108">
        <v>18847</v>
      </c>
      <c r="P14" s="108">
        <f t="shared" si="8"/>
        <v>4.7176470588235295</v>
      </c>
      <c r="Q14" s="108">
        <v>24846</v>
      </c>
      <c r="R14" s="108">
        <v>23373</v>
      </c>
      <c r="S14" s="125">
        <f t="shared" si="4"/>
        <v>5.850563204005006</v>
      </c>
      <c r="T14" s="108">
        <v>1854</v>
      </c>
      <c r="U14" s="125">
        <f t="shared" si="5"/>
        <v>0.46408010012515644</v>
      </c>
      <c r="V14" s="108">
        <v>2418</v>
      </c>
      <c r="W14" s="108">
        <v>2059</v>
      </c>
      <c r="X14" s="108">
        <v>16395</v>
      </c>
      <c r="Y14" s="108">
        <v>11920</v>
      </c>
      <c r="Z14" s="125">
        <f t="shared" si="6"/>
        <v>4.1038798498122651</v>
      </c>
      <c r="AA14" s="125">
        <f t="shared" si="7"/>
        <v>4.9561668681983075</v>
      </c>
      <c r="AB14" s="108">
        <v>4996</v>
      </c>
      <c r="AC14" s="78" t="s">
        <v>1643</v>
      </c>
      <c r="AD14" s="126">
        <v>7048</v>
      </c>
      <c r="AE14" s="108">
        <v>48219</v>
      </c>
      <c r="AF14" s="108">
        <v>3308</v>
      </c>
      <c r="AG14" s="108">
        <v>3995</v>
      </c>
    </row>
    <row r="15" spans="1:33" ht="15.75" thickBot="1" x14ac:dyDescent="0.3">
      <c r="A15" s="44" t="s">
        <v>947</v>
      </c>
      <c r="B15" s="107" t="s">
        <v>948</v>
      </c>
      <c r="C15" s="78" t="s">
        <v>817</v>
      </c>
      <c r="D15" s="108">
        <v>5668</v>
      </c>
      <c r="E15" s="108">
        <v>4674</v>
      </c>
      <c r="F15" s="108">
        <v>0</v>
      </c>
      <c r="G15" s="108">
        <v>10342</v>
      </c>
      <c r="H15" s="125">
        <f t="shared" si="0"/>
        <v>3.057173678532902</v>
      </c>
      <c r="I15" s="125">
        <f t="shared" si="1"/>
        <v>0</v>
      </c>
      <c r="J15" s="125">
        <f t="shared" si="2"/>
        <v>5.5782092772384031</v>
      </c>
      <c r="K15" s="125">
        <f t="shared" si="3"/>
        <v>6.2640823743185949</v>
      </c>
      <c r="L15" s="126">
        <v>0</v>
      </c>
      <c r="M15" s="108">
        <v>0</v>
      </c>
      <c r="N15" s="108">
        <v>10342</v>
      </c>
      <c r="O15" s="108">
        <v>10342</v>
      </c>
      <c r="P15" s="108">
        <f t="shared" si="8"/>
        <v>5.5782092772384031</v>
      </c>
      <c r="Q15" s="108">
        <v>36109</v>
      </c>
      <c r="R15" s="108">
        <v>0</v>
      </c>
      <c r="S15" s="125">
        <f t="shared" si="4"/>
        <v>0</v>
      </c>
      <c r="T15" s="108">
        <v>699</v>
      </c>
      <c r="U15" s="125">
        <f t="shared" si="5"/>
        <v>0.37702265372168287</v>
      </c>
      <c r="V15" s="108">
        <v>0</v>
      </c>
      <c r="W15" s="108">
        <v>0</v>
      </c>
      <c r="X15" s="108">
        <v>3174</v>
      </c>
      <c r="Y15" s="108">
        <v>0</v>
      </c>
      <c r="Z15" s="125">
        <f t="shared" si="6"/>
        <v>1.7119741100323624</v>
      </c>
      <c r="AA15" s="125">
        <f t="shared" si="7"/>
        <v>1.9224712295578437</v>
      </c>
      <c r="AB15" s="108">
        <v>254</v>
      </c>
      <c r="AC15" s="78" t="s">
        <v>1643</v>
      </c>
      <c r="AD15" s="126">
        <v>301</v>
      </c>
      <c r="AE15" s="108">
        <v>36109</v>
      </c>
      <c r="AF15" s="108">
        <v>1651</v>
      </c>
      <c r="AG15" s="108">
        <v>1854</v>
      </c>
    </row>
    <row r="16" spans="1:33" ht="15.75" thickBot="1" x14ac:dyDescent="0.3">
      <c r="A16" s="44" t="s">
        <v>959</v>
      </c>
      <c r="B16" s="107" t="s">
        <v>960</v>
      </c>
      <c r="C16" s="78" t="s">
        <v>817</v>
      </c>
      <c r="D16" s="108">
        <v>11635</v>
      </c>
      <c r="E16" s="108">
        <v>17051</v>
      </c>
      <c r="F16" s="108">
        <v>2000</v>
      </c>
      <c r="G16" s="108">
        <v>30686</v>
      </c>
      <c r="H16" s="125">
        <f t="shared" si="0"/>
        <v>3.2283573806881245</v>
      </c>
      <c r="I16" s="125">
        <f t="shared" si="1"/>
        <v>0.55493895671476134</v>
      </c>
      <c r="J16" s="125">
        <f t="shared" si="2"/>
        <v>8.5144284128745831</v>
      </c>
      <c r="K16" s="125">
        <f t="shared" si="3"/>
        <v>29.19695528068506</v>
      </c>
      <c r="L16" s="126">
        <v>250</v>
      </c>
      <c r="M16" s="108">
        <v>2250</v>
      </c>
      <c r="N16" s="108">
        <v>28686</v>
      </c>
      <c r="O16" s="108">
        <v>30936</v>
      </c>
      <c r="P16" s="108">
        <f t="shared" si="8"/>
        <v>8.5837957824639286</v>
      </c>
      <c r="Q16" s="108">
        <v>45505</v>
      </c>
      <c r="R16" s="108">
        <v>13738</v>
      </c>
      <c r="S16" s="125">
        <f t="shared" si="4"/>
        <v>3.8118756936736959</v>
      </c>
      <c r="T16" s="108">
        <v>3600</v>
      </c>
      <c r="U16" s="125">
        <f t="shared" si="5"/>
        <v>0.99889012208657046</v>
      </c>
      <c r="V16" s="108">
        <v>1142</v>
      </c>
      <c r="W16" s="108">
        <v>1869</v>
      </c>
      <c r="X16" s="108">
        <v>20899</v>
      </c>
      <c r="Y16" s="108">
        <v>5859</v>
      </c>
      <c r="Z16" s="125">
        <f t="shared" si="6"/>
        <v>5.7988346281908987</v>
      </c>
      <c r="AA16" s="125">
        <f t="shared" si="7"/>
        <v>19.884871550903902</v>
      </c>
      <c r="AB16" s="108">
        <v>2142</v>
      </c>
      <c r="AC16" s="78" t="s">
        <v>1643</v>
      </c>
      <c r="AD16" s="126">
        <v>520</v>
      </c>
      <c r="AE16" s="108">
        <v>59243</v>
      </c>
      <c r="AF16" s="108">
        <v>1051</v>
      </c>
      <c r="AG16" s="108">
        <v>3604</v>
      </c>
    </row>
    <row r="17" spans="1:33" ht="15.75" thickBot="1" x14ac:dyDescent="0.3">
      <c r="A17" s="44" t="s">
        <v>967</v>
      </c>
      <c r="B17" s="107" t="s">
        <v>968</v>
      </c>
      <c r="C17" s="78" t="s">
        <v>817</v>
      </c>
      <c r="D17" s="108">
        <v>3113</v>
      </c>
      <c r="E17" s="108">
        <v>11887</v>
      </c>
      <c r="F17" s="108">
        <v>3437</v>
      </c>
      <c r="G17" s="108">
        <v>18437</v>
      </c>
      <c r="H17" s="125">
        <f t="shared" si="0"/>
        <v>0.81856429134893505</v>
      </c>
      <c r="I17" s="125">
        <f t="shared" si="1"/>
        <v>0.90376018932421776</v>
      </c>
      <c r="J17" s="125">
        <f t="shared" si="2"/>
        <v>4.8480147252169337</v>
      </c>
      <c r="K17" s="125">
        <f t="shared" si="3"/>
        <v>3.8733193277310924</v>
      </c>
      <c r="L17" s="126">
        <v>3128</v>
      </c>
      <c r="M17" s="108">
        <v>6565</v>
      </c>
      <c r="N17" s="108">
        <v>15000</v>
      </c>
      <c r="O17" s="108">
        <v>21565</v>
      </c>
      <c r="P17" s="108">
        <f t="shared" si="8"/>
        <v>5.6705232711017617</v>
      </c>
      <c r="Q17" s="108">
        <v>25465</v>
      </c>
      <c r="R17" s="108">
        <v>441604</v>
      </c>
      <c r="S17" s="125">
        <f t="shared" si="4"/>
        <v>116.11990533789114</v>
      </c>
      <c r="T17" s="108">
        <v>2600</v>
      </c>
      <c r="U17" s="125">
        <f t="shared" si="5"/>
        <v>0.6836707862214042</v>
      </c>
      <c r="V17" s="108">
        <v>2845</v>
      </c>
      <c r="W17" s="108">
        <v>2775</v>
      </c>
      <c r="X17" s="108">
        <v>25000</v>
      </c>
      <c r="Y17" s="108">
        <v>6826</v>
      </c>
      <c r="Z17" s="125">
        <f t="shared" si="6"/>
        <v>6.5737575598211935</v>
      </c>
      <c r="AA17" s="125">
        <f t="shared" si="7"/>
        <v>5.2521008403361344</v>
      </c>
      <c r="AB17" s="108">
        <v>3061</v>
      </c>
      <c r="AC17" s="78" t="s">
        <v>1643</v>
      </c>
      <c r="AD17" s="126">
        <v>30025</v>
      </c>
      <c r="AE17" s="108">
        <v>467069</v>
      </c>
      <c r="AF17" s="108">
        <v>4760</v>
      </c>
      <c r="AG17" s="108">
        <v>3803</v>
      </c>
    </row>
    <row r="18" spans="1:33" ht="15.75" thickBot="1" x14ac:dyDescent="0.3">
      <c r="A18" s="44" t="s">
        <v>969</v>
      </c>
      <c r="B18" s="107" t="s">
        <v>970</v>
      </c>
      <c r="C18" s="78" t="s">
        <v>817</v>
      </c>
      <c r="D18" s="108">
        <v>4241</v>
      </c>
      <c r="E18" s="108">
        <v>7857</v>
      </c>
      <c r="F18" s="108">
        <v>852</v>
      </c>
      <c r="G18" s="108">
        <v>12950</v>
      </c>
      <c r="H18" s="125">
        <f t="shared" si="0"/>
        <v>1.7871892119679731</v>
      </c>
      <c r="I18" s="125">
        <f t="shared" si="1"/>
        <v>0.359039190897598</v>
      </c>
      <c r="J18" s="125">
        <f t="shared" si="2"/>
        <v>5.4572271386430682</v>
      </c>
      <c r="K18" s="125">
        <f t="shared" si="3"/>
        <v>11.3896218117854</v>
      </c>
      <c r="L18" s="126">
        <v>152</v>
      </c>
      <c r="M18" s="108">
        <v>1004</v>
      </c>
      <c r="N18" s="108">
        <v>12098</v>
      </c>
      <c r="O18" s="108">
        <v>13102</v>
      </c>
      <c r="P18" s="108">
        <f t="shared" si="8"/>
        <v>5.5212810788032023</v>
      </c>
      <c r="Q18" s="108">
        <v>16792</v>
      </c>
      <c r="R18" s="108">
        <v>11895</v>
      </c>
      <c r="S18" s="125">
        <f t="shared" si="4"/>
        <v>5.0126422250316054</v>
      </c>
      <c r="T18" s="108">
        <v>252</v>
      </c>
      <c r="U18" s="125">
        <f t="shared" si="5"/>
        <v>0.10619469026548672</v>
      </c>
      <c r="V18" s="108">
        <v>1124</v>
      </c>
      <c r="W18" s="108">
        <v>1059</v>
      </c>
      <c r="X18" s="108">
        <v>7704</v>
      </c>
      <c r="Y18" s="108">
        <v>7409</v>
      </c>
      <c r="Z18" s="125">
        <f t="shared" si="6"/>
        <v>3.2465233881163083</v>
      </c>
      <c r="AA18" s="125">
        <f t="shared" si="7"/>
        <v>6.7757255936675458</v>
      </c>
      <c r="AB18" s="108">
        <v>853</v>
      </c>
      <c r="AC18" s="78" t="s">
        <v>1643</v>
      </c>
      <c r="AD18" s="126">
        <v>19</v>
      </c>
      <c r="AE18" s="108">
        <v>28687</v>
      </c>
      <c r="AF18" s="108">
        <v>1137</v>
      </c>
      <c r="AG18" s="108">
        <v>2373</v>
      </c>
    </row>
    <row r="19" spans="1:33" ht="15.75" thickBot="1" x14ac:dyDescent="0.3">
      <c r="A19" s="44" t="s">
        <v>985</v>
      </c>
      <c r="B19" s="107" t="s">
        <v>986</v>
      </c>
      <c r="C19" s="78" t="s">
        <v>817</v>
      </c>
      <c r="D19" s="108">
        <v>2745</v>
      </c>
      <c r="E19" s="108">
        <v>5174</v>
      </c>
      <c r="F19" s="108">
        <v>2459</v>
      </c>
      <c r="G19" s="108">
        <v>10378</v>
      </c>
      <c r="H19" s="125">
        <f t="shared" si="0"/>
        <v>0.69440930938527701</v>
      </c>
      <c r="I19" s="125">
        <f t="shared" si="1"/>
        <v>0.6220591955476853</v>
      </c>
      <c r="J19" s="125">
        <f t="shared" si="2"/>
        <v>2.6253478370857577</v>
      </c>
      <c r="K19" s="125">
        <f t="shared" si="3"/>
        <v>5.5705850778314545</v>
      </c>
      <c r="L19" s="127">
        <v>0</v>
      </c>
      <c r="M19" s="108">
        <v>2459</v>
      </c>
      <c r="N19" s="108">
        <v>7919</v>
      </c>
      <c r="O19" s="108">
        <v>10378</v>
      </c>
      <c r="P19" s="108">
        <f t="shared" si="8"/>
        <v>2.6253478370857577</v>
      </c>
      <c r="Q19" s="108">
        <v>25837</v>
      </c>
      <c r="R19" s="108">
        <v>685203</v>
      </c>
      <c r="S19" s="125">
        <f t="shared" si="4"/>
        <v>173.33746521629143</v>
      </c>
      <c r="T19" s="108">
        <v>2080</v>
      </c>
      <c r="U19" s="125">
        <f t="shared" si="5"/>
        <v>0.52618264609157606</v>
      </c>
      <c r="V19" s="108">
        <v>5050</v>
      </c>
      <c r="W19" s="108">
        <v>2605</v>
      </c>
      <c r="X19" s="108">
        <v>7253</v>
      </c>
      <c r="Y19" s="108">
        <v>6580</v>
      </c>
      <c r="Z19" s="125">
        <f t="shared" si="6"/>
        <v>1.8348090058183657</v>
      </c>
      <c r="AA19" s="125">
        <f t="shared" si="7"/>
        <v>3.8931830381105743</v>
      </c>
      <c r="AB19" s="108">
        <v>1650</v>
      </c>
      <c r="AC19" s="78" t="s">
        <v>1643</v>
      </c>
      <c r="AD19" s="127" t="s">
        <v>3453</v>
      </c>
      <c r="AE19" s="108">
        <v>711040</v>
      </c>
      <c r="AF19" s="108">
        <v>1863</v>
      </c>
      <c r="AG19" s="108">
        <v>3953</v>
      </c>
    </row>
    <row r="20" spans="1:33" ht="15.75" thickBot="1" x14ac:dyDescent="0.3">
      <c r="A20" s="44" t="s">
        <v>987</v>
      </c>
      <c r="B20" s="107" t="s">
        <v>988</v>
      </c>
      <c r="C20" s="78" t="s">
        <v>817</v>
      </c>
      <c r="D20" s="108">
        <v>2142</v>
      </c>
      <c r="E20" s="108">
        <v>12635</v>
      </c>
      <c r="F20" s="108">
        <v>841</v>
      </c>
      <c r="G20" s="108">
        <v>15618</v>
      </c>
      <c r="H20" s="125">
        <f t="shared" si="0"/>
        <v>0.66356877323420072</v>
      </c>
      <c r="I20" s="125">
        <f t="shared" si="1"/>
        <v>0.26053283767038415</v>
      </c>
      <c r="J20" s="125">
        <f t="shared" si="2"/>
        <v>4.8382899628252787</v>
      </c>
      <c r="K20" s="125">
        <f t="shared" si="3"/>
        <v>12.854320987654321</v>
      </c>
      <c r="L20" s="126">
        <v>0</v>
      </c>
      <c r="M20" s="108">
        <v>841</v>
      </c>
      <c r="N20" s="108">
        <v>14777</v>
      </c>
      <c r="O20" s="108">
        <v>15618</v>
      </c>
      <c r="P20" s="108">
        <f t="shared" si="8"/>
        <v>4.8382899628252787</v>
      </c>
      <c r="Q20" s="108">
        <v>14598</v>
      </c>
      <c r="R20" s="108">
        <v>14728</v>
      </c>
      <c r="S20" s="125">
        <f t="shared" si="4"/>
        <v>4.5625774473358121</v>
      </c>
      <c r="T20" s="108">
        <v>721</v>
      </c>
      <c r="U20" s="125">
        <f t="shared" si="5"/>
        <v>0.22335811648079307</v>
      </c>
      <c r="V20" s="108">
        <v>768</v>
      </c>
      <c r="W20" s="108">
        <v>1451</v>
      </c>
      <c r="X20" s="108">
        <v>5346</v>
      </c>
      <c r="Y20" s="108">
        <v>4776</v>
      </c>
      <c r="Z20" s="125">
        <f t="shared" si="6"/>
        <v>1.6561338289962826</v>
      </c>
      <c r="AA20" s="125">
        <f t="shared" si="7"/>
        <v>4.4000000000000004</v>
      </c>
      <c r="AB20" s="108">
        <v>1432</v>
      </c>
      <c r="AC20" s="78" t="s">
        <v>1643</v>
      </c>
      <c r="AD20" s="126">
        <v>325</v>
      </c>
      <c r="AE20" s="108">
        <v>29326</v>
      </c>
      <c r="AF20" s="108">
        <v>1215</v>
      </c>
      <c r="AG20" s="108">
        <v>3228</v>
      </c>
    </row>
    <row r="21" spans="1:33" ht="15.75" thickBot="1" x14ac:dyDescent="0.3">
      <c r="A21" s="44" t="s">
        <v>989</v>
      </c>
      <c r="B21" s="107" t="s">
        <v>990</v>
      </c>
      <c r="C21" s="78" t="s">
        <v>817</v>
      </c>
      <c r="D21" s="108">
        <v>2958</v>
      </c>
      <c r="E21" s="108">
        <v>14159</v>
      </c>
      <c r="F21" s="108">
        <v>1897</v>
      </c>
      <c r="G21" s="108">
        <v>19014</v>
      </c>
      <c r="H21" s="125">
        <f t="shared" si="0"/>
        <v>0.85664639443961776</v>
      </c>
      <c r="I21" s="125">
        <f t="shared" si="1"/>
        <v>0.54937735302635393</v>
      </c>
      <c r="J21" s="125">
        <f t="shared" si="2"/>
        <v>5.5065160729800171</v>
      </c>
      <c r="K21" s="125">
        <f t="shared" si="3"/>
        <v>9.960188580408591</v>
      </c>
      <c r="L21" s="126">
        <v>1</v>
      </c>
      <c r="M21" s="108">
        <v>1898</v>
      </c>
      <c r="N21" s="108">
        <v>17117</v>
      </c>
      <c r="O21" s="108">
        <v>19015</v>
      </c>
      <c r="P21" s="108">
        <f t="shared" si="8"/>
        <v>5.506805676223574</v>
      </c>
      <c r="Q21" s="108">
        <v>17654</v>
      </c>
      <c r="R21" s="108">
        <v>11644</v>
      </c>
      <c r="S21" s="125">
        <f t="shared" si="4"/>
        <v>3.3721401679698815</v>
      </c>
      <c r="T21" s="108">
        <v>1239</v>
      </c>
      <c r="U21" s="125">
        <f t="shared" si="5"/>
        <v>0.35881841876629017</v>
      </c>
      <c r="V21" s="108">
        <v>6</v>
      </c>
      <c r="W21" s="108">
        <v>80</v>
      </c>
      <c r="X21" s="108">
        <v>19609</v>
      </c>
      <c r="Y21" s="108">
        <v>1495</v>
      </c>
      <c r="Z21" s="125">
        <f t="shared" si="6"/>
        <v>5.6788300028960323</v>
      </c>
      <c r="AA21" s="125">
        <f t="shared" si="7"/>
        <v>10.271870089051859</v>
      </c>
      <c r="AB21" s="108">
        <v>2397</v>
      </c>
      <c r="AC21" s="78" t="s">
        <v>1643</v>
      </c>
      <c r="AD21" s="126">
        <v>4404</v>
      </c>
      <c r="AE21" s="108">
        <v>29298</v>
      </c>
      <c r="AF21" s="108">
        <v>1909</v>
      </c>
      <c r="AG21" s="108">
        <v>3453</v>
      </c>
    </row>
    <row r="22" spans="1:33" ht="15.75" thickBot="1" x14ac:dyDescent="0.3">
      <c r="A22" s="44" t="s">
        <v>991</v>
      </c>
      <c r="B22" s="107" t="s">
        <v>992</v>
      </c>
      <c r="C22" s="78" t="s">
        <v>817</v>
      </c>
      <c r="D22" s="108">
        <v>69</v>
      </c>
      <c r="E22" s="108">
        <v>5529</v>
      </c>
      <c r="F22" s="108">
        <v>339</v>
      </c>
      <c r="G22" s="108">
        <v>5937</v>
      </c>
      <c r="H22" s="125">
        <f t="shared" si="0"/>
        <v>5.5825242718446605E-2</v>
      </c>
      <c r="I22" s="125">
        <f t="shared" si="1"/>
        <v>0.27427184466019416</v>
      </c>
      <c r="J22" s="125">
        <f t="shared" si="2"/>
        <v>4.8033980582524274</v>
      </c>
      <c r="K22" s="125">
        <f t="shared" si="3"/>
        <v>7.8015768725361365</v>
      </c>
      <c r="L22" s="126">
        <v>0</v>
      </c>
      <c r="M22" s="108">
        <v>339</v>
      </c>
      <c r="N22" s="108">
        <v>5598</v>
      </c>
      <c r="O22" s="108">
        <v>5937</v>
      </c>
      <c r="P22" s="108">
        <f t="shared" si="8"/>
        <v>4.8033980582524274</v>
      </c>
      <c r="Q22" s="108">
        <v>16288</v>
      </c>
      <c r="R22" s="108">
        <v>12858</v>
      </c>
      <c r="S22" s="125">
        <f t="shared" si="4"/>
        <v>10.402912621359222</v>
      </c>
      <c r="T22" s="108">
        <v>1632</v>
      </c>
      <c r="U22" s="125">
        <f t="shared" si="5"/>
        <v>1.3203883495145632</v>
      </c>
      <c r="V22" s="108">
        <v>417</v>
      </c>
      <c r="W22" s="108">
        <v>164</v>
      </c>
      <c r="X22" s="108">
        <v>3747</v>
      </c>
      <c r="Y22" s="108">
        <v>4091</v>
      </c>
      <c r="Z22" s="125">
        <f t="shared" si="6"/>
        <v>3.0315533980582523</v>
      </c>
      <c r="AA22" s="125">
        <f t="shared" si="7"/>
        <v>4.9237844940867284</v>
      </c>
      <c r="AB22" s="108">
        <v>1224</v>
      </c>
      <c r="AC22" s="78" t="s">
        <v>1643</v>
      </c>
      <c r="AD22" s="126">
        <v>1899</v>
      </c>
      <c r="AE22" s="108">
        <v>29146</v>
      </c>
      <c r="AF22" s="108">
        <v>761</v>
      </c>
      <c r="AG22" s="108">
        <v>1236</v>
      </c>
    </row>
    <row r="23" spans="1:33" ht="15.75" thickBot="1" x14ac:dyDescent="0.3">
      <c r="A23" s="44" t="s">
        <v>993</v>
      </c>
      <c r="B23" s="107" t="s">
        <v>994</v>
      </c>
      <c r="C23" s="78" t="s">
        <v>817</v>
      </c>
      <c r="D23" s="108">
        <v>2467</v>
      </c>
      <c r="E23" s="108">
        <v>15071</v>
      </c>
      <c r="F23" s="108">
        <v>933</v>
      </c>
      <c r="G23" s="108">
        <v>18471</v>
      </c>
      <c r="H23" s="125">
        <f t="shared" si="0"/>
        <v>0.77603019817552688</v>
      </c>
      <c r="I23" s="125">
        <f t="shared" si="1"/>
        <v>0.29348851840201323</v>
      </c>
      <c r="J23" s="125">
        <f t="shared" si="2"/>
        <v>5.8103177099716889</v>
      </c>
      <c r="K23" s="125">
        <f t="shared" si="3"/>
        <v>11.994155844155845</v>
      </c>
      <c r="L23" s="126">
        <v>0</v>
      </c>
      <c r="M23" s="108">
        <v>933</v>
      </c>
      <c r="N23" s="108">
        <v>17538</v>
      </c>
      <c r="O23" s="108">
        <v>18471</v>
      </c>
      <c r="P23" s="108">
        <f t="shared" si="8"/>
        <v>5.8103177099716889</v>
      </c>
      <c r="Q23" s="108">
        <v>14240</v>
      </c>
      <c r="R23" s="108">
        <v>23285</v>
      </c>
      <c r="S23" s="125">
        <f t="shared" si="4"/>
        <v>7.3246303869141238</v>
      </c>
      <c r="T23" s="108">
        <v>4111</v>
      </c>
      <c r="U23" s="125">
        <f t="shared" si="5"/>
        <v>1.293173954073608</v>
      </c>
      <c r="V23" s="108">
        <v>928</v>
      </c>
      <c r="W23" s="108">
        <v>633</v>
      </c>
      <c r="X23" s="108">
        <v>16851</v>
      </c>
      <c r="Y23" s="108">
        <v>10711</v>
      </c>
      <c r="Z23" s="125">
        <f t="shared" si="6"/>
        <v>5.3007234979553317</v>
      </c>
      <c r="AA23" s="125">
        <f t="shared" si="7"/>
        <v>10.942207792207792</v>
      </c>
      <c r="AB23" s="108">
        <v>4692</v>
      </c>
      <c r="AC23" s="78" t="s">
        <v>1643</v>
      </c>
      <c r="AD23" s="126">
        <v>1600</v>
      </c>
      <c r="AE23" s="108">
        <v>37525</v>
      </c>
      <c r="AF23" s="108">
        <v>1540</v>
      </c>
      <c r="AG23" s="108">
        <v>3179</v>
      </c>
    </row>
    <row r="24" spans="1:33" ht="15.75" thickBot="1" x14ac:dyDescent="0.3">
      <c r="A24" s="44" t="s">
        <v>1039</v>
      </c>
      <c r="B24" s="107" t="s">
        <v>1040</v>
      </c>
      <c r="C24" s="78" t="s">
        <v>817</v>
      </c>
      <c r="D24" s="108">
        <v>1451</v>
      </c>
      <c r="E24" s="108">
        <v>3500</v>
      </c>
      <c r="F24" s="108">
        <v>0</v>
      </c>
      <c r="G24" s="108">
        <v>4951</v>
      </c>
      <c r="H24" s="125">
        <f t="shared" si="0"/>
        <v>0.52401589021307327</v>
      </c>
      <c r="I24" s="125">
        <f t="shared" si="1"/>
        <v>0</v>
      </c>
      <c r="J24" s="125">
        <f t="shared" si="2"/>
        <v>1.7880101119537739</v>
      </c>
      <c r="K24" s="125">
        <f t="shared" si="3"/>
        <v>2.2102678571428571</v>
      </c>
      <c r="L24" s="126">
        <v>0</v>
      </c>
      <c r="M24" s="108">
        <v>0</v>
      </c>
      <c r="N24" s="108">
        <v>4951</v>
      </c>
      <c r="O24" s="108">
        <v>4951</v>
      </c>
      <c r="P24" s="108">
        <f t="shared" si="8"/>
        <v>1.7880101119537739</v>
      </c>
      <c r="Q24" s="108">
        <v>16955</v>
      </c>
      <c r="R24" s="108">
        <v>0</v>
      </c>
      <c r="S24" s="125">
        <f t="shared" si="4"/>
        <v>0</v>
      </c>
      <c r="T24" s="108">
        <v>75</v>
      </c>
      <c r="U24" s="125">
        <f t="shared" si="5"/>
        <v>2.7085590465872156E-2</v>
      </c>
      <c r="V24" s="108">
        <v>108</v>
      </c>
      <c r="W24" s="108">
        <v>50</v>
      </c>
      <c r="X24" s="108">
        <v>1850</v>
      </c>
      <c r="Y24" s="108">
        <v>19532</v>
      </c>
      <c r="Z24" s="125">
        <f t="shared" si="6"/>
        <v>0.66811123149151319</v>
      </c>
      <c r="AA24" s="125">
        <f t="shared" si="7"/>
        <v>0.8258928571428571</v>
      </c>
      <c r="AB24" s="108">
        <v>497</v>
      </c>
      <c r="AC24" s="78" t="s">
        <v>1643</v>
      </c>
      <c r="AD24" s="126">
        <v>292</v>
      </c>
      <c r="AE24" s="108">
        <v>16955</v>
      </c>
      <c r="AF24" s="108">
        <v>2240</v>
      </c>
      <c r="AG24" s="108">
        <v>2769</v>
      </c>
    </row>
    <row r="25" spans="1:33" ht="15.75" thickBot="1" x14ac:dyDescent="0.3">
      <c r="A25" s="44" t="s">
        <v>1041</v>
      </c>
      <c r="B25" s="107" t="s">
        <v>1042</v>
      </c>
      <c r="C25" s="78" t="s">
        <v>817</v>
      </c>
      <c r="D25" s="108">
        <v>5679</v>
      </c>
      <c r="E25" s="108">
        <v>7417</v>
      </c>
      <c r="F25" s="108">
        <v>0</v>
      </c>
      <c r="G25" s="108">
        <v>13096</v>
      </c>
      <c r="H25" s="125">
        <f t="shared" si="0"/>
        <v>1.5192616372391654</v>
      </c>
      <c r="I25" s="125">
        <f t="shared" si="1"/>
        <v>0</v>
      </c>
      <c r="J25" s="125">
        <f t="shared" si="2"/>
        <v>3.5034777956126271</v>
      </c>
      <c r="K25" s="125">
        <f t="shared" si="3"/>
        <v>7.2513842746400883</v>
      </c>
      <c r="L25" s="126">
        <v>0</v>
      </c>
      <c r="M25" s="108">
        <v>0</v>
      </c>
      <c r="N25" s="108">
        <v>13096</v>
      </c>
      <c r="O25" s="108">
        <v>13096</v>
      </c>
      <c r="P25" s="108">
        <f t="shared" si="8"/>
        <v>3.5034777956126271</v>
      </c>
      <c r="Q25" s="108">
        <v>27809</v>
      </c>
      <c r="R25" s="108">
        <v>46</v>
      </c>
      <c r="S25" s="125">
        <f t="shared" si="4"/>
        <v>1.2306046013911182E-2</v>
      </c>
      <c r="T25" s="108">
        <v>4177</v>
      </c>
      <c r="U25" s="125">
        <f t="shared" si="5"/>
        <v>1.1174424826110219</v>
      </c>
      <c r="V25" s="108">
        <v>682</v>
      </c>
      <c r="W25" s="108">
        <v>905</v>
      </c>
      <c r="X25" s="108">
        <v>11177</v>
      </c>
      <c r="Y25" s="108">
        <v>2354</v>
      </c>
      <c r="Z25" s="125">
        <f t="shared" si="6"/>
        <v>2.9901016586409845</v>
      </c>
      <c r="AA25" s="125">
        <f t="shared" si="7"/>
        <v>6.1888150609080839</v>
      </c>
      <c r="AB25" s="108">
        <v>2771</v>
      </c>
      <c r="AC25" s="78" t="s">
        <v>1643</v>
      </c>
      <c r="AD25" s="126">
        <v>2232</v>
      </c>
      <c r="AE25" s="108">
        <v>27855</v>
      </c>
      <c r="AF25" s="108">
        <v>1806</v>
      </c>
      <c r="AG25" s="108">
        <v>3738</v>
      </c>
    </row>
    <row r="26" spans="1:33" ht="15.75" thickBot="1" x14ac:dyDescent="0.3">
      <c r="A26" s="44" t="s">
        <v>1049</v>
      </c>
      <c r="B26" s="107" t="s">
        <v>1050</v>
      </c>
      <c r="C26" s="78" t="s">
        <v>817</v>
      </c>
      <c r="D26" s="108">
        <v>3722</v>
      </c>
      <c r="E26" s="108">
        <v>5510</v>
      </c>
      <c r="F26" s="108">
        <v>0</v>
      </c>
      <c r="G26" s="108">
        <v>9232</v>
      </c>
      <c r="H26" s="125">
        <f t="shared" si="0"/>
        <v>1.1960154241645244</v>
      </c>
      <c r="I26" s="125">
        <f t="shared" si="1"/>
        <v>0</v>
      </c>
      <c r="J26" s="125">
        <f t="shared" si="2"/>
        <v>2.966580976863753</v>
      </c>
      <c r="K26" s="125">
        <f t="shared" si="3"/>
        <v>9.5077239958805357</v>
      </c>
      <c r="L26" s="126">
        <v>287</v>
      </c>
      <c r="M26" s="108">
        <v>287</v>
      </c>
      <c r="N26" s="108">
        <v>9232</v>
      </c>
      <c r="O26" s="108">
        <v>9519</v>
      </c>
      <c r="P26" s="108">
        <f t="shared" si="8"/>
        <v>3.0588046272493572</v>
      </c>
      <c r="Q26" s="108">
        <v>23841</v>
      </c>
      <c r="R26" s="108">
        <v>11895</v>
      </c>
      <c r="S26" s="125">
        <f t="shared" si="4"/>
        <v>3.8223007712082264</v>
      </c>
      <c r="T26" s="108">
        <v>1446</v>
      </c>
      <c r="U26" s="125">
        <f t="shared" si="5"/>
        <v>0.46465295629820053</v>
      </c>
      <c r="V26" s="108">
        <v>326</v>
      </c>
      <c r="W26" s="108">
        <v>270</v>
      </c>
      <c r="X26" s="108">
        <v>6344</v>
      </c>
      <c r="Y26" s="108">
        <v>1404</v>
      </c>
      <c r="Z26" s="125">
        <f t="shared" si="6"/>
        <v>2.038560411311054</v>
      </c>
      <c r="AA26" s="125">
        <f t="shared" si="7"/>
        <v>6.533470648815654</v>
      </c>
      <c r="AB26" s="108">
        <v>1160</v>
      </c>
      <c r="AC26" s="78" t="s">
        <v>1643</v>
      </c>
      <c r="AD26" s="126" t="s">
        <v>3453</v>
      </c>
      <c r="AE26" s="108">
        <v>35736</v>
      </c>
      <c r="AF26" s="108">
        <v>971</v>
      </c>
      <c r="AG26" s="108">
        <v>3112</v>
      </c>
    </row>
    <row r="27" spans="1:33" ht="15.75" thickBot="1" x14ac:dyDescent="0.3">
      <c r="A27" s="44" t="s">
        <v>1057</v>
      </c>
      <c r="B27" s="107" t="s">
        <v>1058</v>
      </c>
      <c r="C27" s="78" t="s">
        <v>817</v>
      </c>
      <c r="D27" s="108">
        <v>4927</v>
      </c>
      <c r="E27" s="108">
        <v>13833</v>
      </c>
      <c r="F27" s="108">
        <v>0</v>
      </c>
      <c r="G27" s="108">
        <v>18760</v>
      </c>
      <c r="H27" s="125">
        <f t="shared" si="0"/>
        <v>1.7653170906485132</v>
      </c>
      <c r="I27" s="125">
        <f t="shared" si="1"/>
        <v>0</v>
      </c>
      <c r="J27" s="125">
        <f t="shared" si="2"/>
        <v>6.7216051594410606</v>
      </c>
      <c r="K27" s="125">
        <f t="shared" si="3"/>
        <v>0.29238034381185418</v>
      </c>
      <c r="L27" s="126">
        <v>0</v>
      </c>
      <c r="M27" s="108">
        <v>0</v>
      </c>
      <c r="N27" s="108">
        <v>18760</v>
      </c>
      <c r="O27" s="108">
        <v>18760</v>
      </c>
      <c r="P27" s="108">
        <f t="shared" si="8"/>
        <v>6.7216051594410606</v>
      </c>
      <c r="Q27" s="108">
        <v>18753</v>
      </c>
      <c r="R27" s="108">
        <v>0</v>
      </c>
      <c r="S27" s="125">
        <f t="shared" si="4"/>
        <v>0</v>
      </c>
      <c r="T27" s="108">
        <v>9300</v>
      </c>
      <c r="U27" s="125">
        <f t="shared" si="5"/>
        <v>3.3321390182730206</v>
      </c>
      <c r="V27" s="108">
        <v>7447</v>
      </c>
      <c r="W27" s="108">
        <v>7187</v>
      </c>
      <c r="X27" s="108">
        <v>29100</v>
      </c>
      <c r="Y27" s="108">
        <v>0</v>
      </c>
      <c r="Z27" s="125">
        <f t="shared" si="6"/>
        <v>10.426370476531709</v>
      </c>
      <c r="AA27" s="125">
        <f t="shared" si="7"/>
        <v>0.45353240964418745</v>
      </c>
      <c r="AB27" s="108">
        <v>2288</v>
      </c>
      <c r="AC27" s="78" t="s">
        <v>1643</v>
      </c>
      <c r="AD27" s="126">
        <v>7116</v>
      </c>
      <c r="AE27" s="108">
        <v>18753</v>
      </c>
      <c r="AF27" s="108">
        <v>64163</v>
      </c>
      <c r="AG27" s="108">
        <v>2791</v>
      </c>
    </row>
    <row r="28" spans="1:33" ht="15.75" thickBot="1" x14ac:dyDescent="0.3">
      <c r="A28" s="44" t="s">
        <v>1071</v>
      </c>
      <c r="B28" s="107" t="s">
        <v>1072</v>
      </c>
      <c r="C28" s="78" t="s">
        <v>817</v>
      </c>
      <c r="D28" s="108">
        <v>6322</v>
      </c>
      <c r="E28" s="108">
        <v>12644</v>
      </c>
      <c r="F28" s="108">
        <v>6081</v>
      </c>
      <c r="G28" s="108">
        <v>25047</v>
      </c>
      <c r="H28" s="125">
        <f t="shared" si="0"/>
        <v>2.0069841269841269</v>
      </c>
      <c r="I28" s="125">
        <f t="shared" si="1"/>
        <v>1.9304761904761905</v>
      </c>
      <c r="J28" s="125">
        <f t="shared" si="2"/>
        <v>7.9514285714285711</v>
      </c>
      <c r="K28" s="125">
        <f t="shared" si="3"/>
        <v>18.691791044776121</v>
      </c>
      <c r="L28" s="126">
        <v>0</v>
      </c>
      <c r="M28" s="108">
        <v>6081</v>
      </c>
      <c r="N28" s="108">
        <v>18966</v>
      </c>
      <c r="O28" s="108">
        <v>25047</v>
      </c>
      <c r="P28" s="108">
        <f t="shared" si="8"/>
        <v>7.9514285714285711</v>
      </c>
      <c r="Q28" s="108">
        <v>14039</v>
      </c>
      <c r="R28" s="108">
        <v>57570</v>
      </c>
      <c r="S28" s="125">
        <f t="shared" si="4"/>
        <v>18.276190476190475</v>
      </c>
      <c r="T28" s="108">
        <v>1541</v>
      </c>
      <c r="U28" s="125">
        <f t="shared" si="5"/>
        <v>0.4892063492063492</v>
      </c>
      <c r="V28" s="108">
        <v>7680</v>
      </c>
      <c r="W28" s="108">
        <v>2313</v>
      </c>
      <c r="X28" s="108">
        <v>13480</v>
      </c>
      <c r="Y28" s="108">
        <v>21576</v>
      </c>
      <c r="Z28" s="125">
        <f t="shared" si="6"/>
        <v>4.2793650793650793</v>
      </c>
      <c r="AA28" s="125">
        <f t="shared" si="7"/>
        <v>10.059701492537313</v>
      </c>
      <c r="AB28" s="108">
        <v>1673</v>
      </c>
      <c r="AC28" s="78" t="s">
        <v>1643</v>
      </c>
      <c r="AD28" s="126">
        <v>936</v>
      </c>
      <c r="AE28" s="108">
        <v>71609</v>
      </c>
      <c r="AF28" s="108">
        <v>1340</v>
      </c>
      <c r="AG28" s="108">
        <v>3150</v>
      </c>
    </row>
    <row r="29" spans="1:33" ht="15.75" thickBot="1" x14ac:dyDescent="0.3">
      <c r="A29" s="44" t="s">
        <v>1083</v>
      </c>
      <c r="B29" s="107" t="s">
        <v>1084</v>
      </c>
      <c r="C29" s="78" t="s">
        <v>817</v>
      </c>
      <c r="D29" s="108">
        <v>2486</v>
      </c>
      <c r="E29" s="108">
        <v>4263</v>
      </c>
      <c r="F29" s="108">
        <v>398</v>
      </c>
      <c r="G29" s="108">
        <v>7147</v>
      </c>
      <c r="H29" s="125">
        <f t="shared" si="0"/>
        <v>0.81695695037791649</v>
      </c>
      <c r="I29" s="125">
        <f t="shared" si="1"/>
        <v>0.13079198159710811</v>
      </c>
      <c r="J29" s="125">
        <f t="shared" si="2"/>
        <v>2.3486690765691751</v>
      </c>
      <c r="K29" s="125">
        <f t="shared" si="3"/>
        <v>3.6992753623188408</v>
      </c>
      <c r="L29" s="126">
        <v>0</v>
      </c>
      <c r="M29" s="108">
        <v>398</v>
      </c>
      <c r="N29" s="108">
        <v>6749</v>
      </c>
      <c r="O29" s="108">
        <v>7147</v>
      </c>
      <c r="P29" s="108">
        <f t="shared" si="8"/>
        <v>2.3486690765691751</v>
      </c>
      <c r="Q29" s="108">
        <v>40259</v>
      </c>
      <c r="R29" s="108">
        <v>19351</v>
      </c>
      <c r="S29" s="125">
        <f t="shared" si="4"/>
        <v>6.3591850147880384</v>
      </c>
      <c r="T29" s="108">
        <v>288</v>
      </c>
      <c r="U29" s="125">
        <f t="shared" si="5"/>
        <v>9.4643443969766677E-2</v>
      </c>
      <c r="V29" s="108">
        <v>531</v>
      </c>
      <c r="W29" s="108">
        <v>852</v>
      </c>
      <c r="X29" s="108">
        <v>7393</v>
      </c>
      <c r="Y29" s="108">
        <v>1200</v>
      </c>
      <c r="Z29" s="125">
        <f t="shared" si="6"/>
        <v>2.4295103516266843</v>
      </c>
      <c r="AA29" s="125">
        <f t="shared" si="7"/>
        <v>3.8266045548654244</v>
      </c>
      <c r="AB29" s="108">
        <v>2219</v>
      </c>
      <c r="AC29" s="78" t="s">
        <v>1643</v>
      </c>
      <c r="AD29" s="126">
        <v>854</v>
      </c>
      <c r="AE29" s="108">
        <v>59610</v>
      </c>
      <c r="AF29" s="108">
        <v>1932</v>
      </c>
      <c r="AG29" s="108">
        <v>3043</v>
      </c>
    </row>
    <row r="30" spans="1:33" ht="15.75" thickBot="1" x14ac:dyDescent="0.3">
      <c r="A30" s="44" t="s">
        <v>1091</v>
      </c>
      <c r="B30" s="107" t="s">
        <v>1092</v>
      </c>
      <c r="C30" s="78" t="s">
        <v>817</v>
      </c>
      <c r="D30" s="108">
        <v>1690</v>
      </c>
      <c r="E30" s="108">
        <v>1299</v>
      </c>
      <c r="F30" s="108">
        <v>0</v>
      </c>
      <c r="G30" s="108">
        <v>2989</v>
      </c>
      <c r="H30" s="125">
        <f t="shared" si="0"/>
        <v>0.82559843673668787</v>
      </c>
      <c r="I30" s="125">
        <f t="shared" si="1"/>
        <v>0</v>
      </c>
      <c r="J30" s="125">
        <f t="shared" si="2"/>
        <v>1.4601856375183195</v>
      </c>
      <c r="K30" s="125">
        <f t="shared" si="3"/>
        <v>10.132203389830508</v>
      </c>
      <c r="L30" s="126">
        <v>0</v>
      </c>
      <c r="M30" s="108">
        <v>0</v>
      </c>
      <c r="N30" s="108">
        <v>2989</v>
      </c>
      <c r="O30" s="108">
        <v>2989</v>
      </c>
      <c r="P30" s="108">
        <f t="shared" si="8"/>
        <v>1.4601856375183195</v>
      </c>
      <c r="Q30" s="108">
        <v>12453</v>
      </c>
      <c r="R30" s="108">
        <v>0</v>
      </c>
      <c r="S30" s="125">
        <f t="shared" si="4"/>
        <v>0</v>
      </c>
      <c r="T30" s="108">
        <v>0</v>
      </c>
      <c r="U30" s="125">
        <f t="shared" si="5"/>
        <v>0</v>
      </c>
      <c r="V30" s="108">
        <v>38</v>
      </c>
      <c r="W30" s="108">
        <v>238</v>
      </c>
      <c r="X30" s="108">
        <v>2275</v>
      </c>
      <c r="Y30" s="78" t="s">
        <v>3453</v>
      </c>
      <c r="Z30" s="125">
        <f t="shared" si="6"/>
        <v>1.1113825109916953</v>
      </c>
      <c r="AA30" s="125">
        <f t="shared" si="7"/>
        <v>7.7118644067796609</v>
      </c>
      <c r="AB30" s="108">
        <v>99</v>
      </c>
      <c r="AC30" s="78" t="s">
        <v>1643</v>
      </c>
      <c r="AD30" s="126">
        <v>1935</v>
      </c>
      <c r="AE30" s="108">
        <v>12453</v>
      </c>
      <c r="AF30" s="108">
        <v>295</v>
      </c>
      <c r="AG30" s="108">
        <v>2047</v>
      </c>
    </row>
    <row r="31" spans="1:33" ht="15.75" thickBot="1" x14ac:dyDescent="0.3">
      <c r="A31" s="44" t="s">
        <v>1099</v>
      </c>
      <c r="B31" s="107" t="s">
        <v>1100</v>
      </c>
      <c r="C31" s="78" t="s">
        <v>817</v>
      </c>
      <c r="D31" s="108">
        <v>5319</v>
      </c>
      <c r="E31" s="108">
        <v>20698</v>
      </c>
      <c r="F31" s="108">
        <v>3697</v>
      </c>
      <c r="G31" s="108">
        <v>29714</v>
      </c>
      <c r="H31" s="125">
        <f t="shared" si="0"/>
        <v>1.4572602739726028</v>
      </c>
      <c r="I31" s="125">
        <f t="shared" si="1"/>
        <v>1.0128767123287672</v>
      </c>
      <c r="J31" s="125">
        <f t="shared" si="2"/>
        <v>8.1408219178082195</v>
      </c>
      <c r="K31" s="125">
        <f t="shared" si="3"/>
        <v>30.166497461928934</v>
      </c>
      <c r="L31" s="127">
        <v>0</v>
      </c>
      <c r="M31" s="108">
        <v>3697</v>
      </c>
      <c r="N31" s="108">
        <v>26017</v>
      </c>
      <c r="O31" s="108">
        <v>29714</v>
      </c>
      <c r="P31" s="108">
        <f t="shared" si="8"/>
        <v>8.1408219178082195</v>
      </c>
      <c r="Q31" s="108">
        <v>31250</v>
      </c>
      <c r="R31" s="108">
        <v>61100</v>
      </c>
      <c r="S31" s="125">
        <f t="shared" si="4"/>
        <v>16.739726027397261</v>
      </c>
      <c r="T31" s="108">
        <v>321</v>
      </c>
      <c r="U31" s="125">
        <f t="shared" si="5"/>
        <v>8.794520547945206E-2</v>
      </c>
      <c r="V31" s="108">
        <v>500</v>
      </c>
      <c r="W31" s="108">
        <v>811</v>
      </c>
      <c r="X31" s="108">
        <v>16000</v>
      </c>
      <c r="Y31" s="108">
        <v>1250</v>
      </c>
      <c r="Z31" s="125">
        <f t="shared" si="6"/>
        <v>4.3835616438356162</v>
      </c>
      <c r="AA31" s="125">
        <f t="shared" si="7"/>
        <v>16.243654822335024</v>
      </c>
      <c r="AB31" s="108">
        <v>1767</v>
      </c>
      <c r="AC31" s="78" t="s">
        <v>1643</v>
      </c>
      <c r="AD31" s="126">
        <v>985</v>
      </c>
      <c r="AE31" s="108">
        <v>92350</v>
      </c>
      <c r="AF31" s="108">
        <v>985</v>
      </c>
      <c r="AG31" s="108">
        <v>3650</v>
      </c>
    </row>
    <row r="32" spans="1:33" ht="15.75" thickBot="1" x14ac:dyDescent="0.3">
      <c r="A32" s="44" t="s">
        <v>1101</v>
      </c>
      <c r="B32" s="107" t="s">
        <v>1102</v>
      </c>
      <c r="C32" s="78" t="s">
        <v>817</v>
      </c>
      <c r="D32" s="108">
        <v>256</v>
      </c>
      <c r="E32" s="108">
        <v>726</v>
      </c>
      <c r="F32" s="108">
        <v>2</v>
      </c>
      <c r="G32" s="108">
        <v>984</v>
      </c>
      <c r="H32" s="125">
        <f t="shared" si="0"/>
        <v>0.14004376367614879</v>
      </c>
      <c r="I32" s="125">
        <f t="shared" si="1"/>
        <v>1.0940919037199124E-3</v>
      </c>
      <c r="J32" s="125">
        <f t="shared" si="2"/>
        <v>0.53829321663019691</v>
      </c>
      <c r="K32" s="125">
        <f t="shared" si="3"/>
        <v>4.9447236180904524</v>
      </c>
      <c r="L32" s="126">
        <v>0</v>
      </c>
      <c r="M32" s="108">
        <v>2</v>
      </c>
      <c r="N32" s="108">
        <v>982</v>
      </c>
      <c r="O32" s="108">
        <v>984</v>
      </c>
      <c r="P32" s="108">
        <f t="shared" si="8"/>
        <v>0.53829321663019691</v>
      </c>
      <c r="Q32" s="108">
        <v>7421</v>
      </c>
      <c r="R32" s="108">
        <v>1</v>
      </c>
      <c r="S32" s="125">
        <f t="shared" si="4"/>
        <v>5.4704595185995622E-4</v>
      </c>
      <c r="T32" s="108">
        <v>227</v>
      </c>
      <c r="U32" s="125">
        <f t="shared" si="5"/>
        <v>0.12417943107221006</v>
      </c>
      <c r="V32" s="108">
        <v>0</v>
      </c>
      <c r="W32" s="108">
        <v>0</v>
      </c>
      <c r="X32" s="108">
        <v>825</v>
      </c>
      <c r="Y32" s="108">
        <v>150</v>
      </c>
      <c r="Z32" s="125">
        <f t="shared" si="6"/>
        <v>0.45131291028446391</v>
      </c>
      <c r="AA32" s="125">
        <f t="shared" si="7"/>
        <v>4.1457286432160805</v>
      </c>
      <c r="AB32" s="108">
        <v>43</v>
      </c>
      <c r="AC32" s="78" t="s">
        <v>1643</v>
      </c>
      <c r="AD32" s="126">
        <v>23</v>
      </c>
      <c r="AE32" s="108">
        <v>7422</v>
      </c>
      <c r="AF32" s="108">
        <v>199</v>
      </c>
      <c r="AG32" s="108">
        <v>1828</v>
      </c>
    </row>
    <row r="33" spans="1:33" ht="15.75" thickBot="1" x14ac:dyDescent="0.3">
      <c r="A33" s="44" t="s">
        <v>1149</v>
      </c>
      <c r="B33" s="107" t="s">
        <v>1150</v>
      </c>
      <c r="C33" s="78" t="s">
        <v>817</v>
      </c>
      <c r="D33" s="108">
        <v>16819</v>
      </c>
      <c r="E33" s="108">
        <v>20509</v>
      </c>
      <c r="F33" s="108">
        <v>2500</v>
      </c>
      <c r="G33" s="108">
        <v>39828</v>
      </c>
      <c r="H33" s="125">
        <f t="shared" si="0"/>
        <v>4.2840040753948037</v>
      </c>
      <c r="I33" s="125">
        <f t="shared" si="1"/>
        <v>0.63678043810494145</v>
      </c>
      <c r="J33" s="125">
        <f t="shared" si="2"/>
        <v>10.144676515537443</v>
      </c>
      <c r="K33" s="125">
        <f t="shared" si="3"/>
        <v>8.7514831905075816</v>
      </c>
      <c r="L33" s="126">
        <v>100</v>
      </c>
      <c r="M33" s="108">
        <v>2600</v>
      </c>
      <c r="N33" s="108">
        <v>37328</v>
      </c>
      <c r="O33" s="108">
        <v>39928</v>
      </c>
      <c r="P33" s="108">
        <f t="shared" si="8"/>
        <v>10.17014773306164</v>
      </c>
      <c r="Q33" s="108">
        <v>31837</v>
      </c>
      <c r="R33" s="108">
        <v>15000</v>
      </c>
      <c r="S33" s="125">
        <f t="shared" si="4"/>
        <v>3.8206826286296485</v>
      </c>
      <c r="T33" s="108">
        <v>6058</v>
      </c>
      <c r="U33" s="125">
        <f t="shared" si="5"/>
        <v>1.5430463576158941</v>
      </c>
      <c r="V33" s="108">
        <v>2013</v>
      </c>
      <c r="W33" s="108">
        <v>2257</v>
      </c>
      <c r="X33" s="108">
        <v>35736</v>
      </c>
      <c r="Y33" s="108">
        <v>7933</v>
      </c>
      <c r="Z33" s="125">
        <f t="shared" si="6"/>
        <v>9.102394294447274</v>
      </c>
      <c r="AA33" s="125">
        <f t="shared" si="7"/>
        <v>7.8523401450230716</v>
      </c>
      <c r="AB33" s="108">
        <v>8966</v>
      </c>
      <c r="AC33" s="78" t="s">
        <v>1643</v>
      </c>
      <c r="AD33" s="126">
        <v>12381</v>
      </c>
      <c r="AE33" s="108">
        <v>46837</v>
      </c>
      <c r="AF33" s="108">
        <v>4551</v>
      </c>
      <c r="AG33" s="108">
        <v>3926</v>
      </c>
    </row>
    <row r="34" spans="1:33" ht="15.75" thickBot="1" x14ac:dyDescent="0.3">
      <c r="A34" s="44" t="s">
        <v>1165</v>
      </c>
      <c r="B34" s="107" t="s">
        <v>1166</v>
      </c>
      <c r="C34" s="78" t="s">
        <v>817</v>
      </c>
      <c r="D34" s="108">
        <v>3778</v>
      </c>
      <c r="E34" s="108">
        <v>9375</v>
      </c>
      <c r="F34" s="108">
        <v>1601</v>
      </c>
      <c r="G34" s="108">
        <v>14754</v>
      </c>
      <c r="H34" s="125">
        <f t="shared" si="0"/>
        <v>1.2435813034891376</v>
      </c>
      <c r="I34" s="125">
        <f t="shared" si="1"/>
        <v>0.52699144173798551</v>
      </c>
      <c r="J34" s="125">
        <f t="shared" si="2"/>
        <v>4.8564845292955896</v>
      </c>
      <c r="K34" s="125">
        <f t="shared" si="3"/>
        <v>4.9526686807653579</v>
      </c>
      <c r="L34" s="126">
        <v>0</v>
      </c>
      <c r="M34" s="108">
        <v>1601</v>
      </c>
      <c r="N34" s="108">
        <v>13153</v>
      </c>
      <c r="O34" s="108">
        <v>14754</v>
      </c>
      <c r="P34" s="108">
        <f t="shared" si="8"/>
        <v>4.8564845292955896</v>
      </c>
      <c r="Q34" s="108">
        <v>36567</v>
      </c>
      <c r="R34" s="108">
        <v>28515</v>
      </c>
      <c r="S34" s="125">
        <f t="shared" si="4"/>
        <v>9.3861092824226464</v>
      </c>
      <c r="T34" s="108">
        <v>3000</v>
      </c>
      <c r="U34" s="125">
        <f t="shared" si="5"/>
        <v>0.9874917709019092</v>
      </c>
      <c r="V34" s="108">
        <v>387</v>
      </c>
      <c r="W34" s="108">
        <v>687</v>
      </c>
      <c r="X34" s="108">
        <v>11300</v>
      </c>
      <c r="Y34" s="108">
        <v>6568</v>
      </c>
      <c r="Z34" s="125">
        <f t="shared" si="6"/>
        <v>3.7195523370638579</v>
      </c>
      <c r="AA34" s="125">
        <f t="shared" si="7"/>
        <v>3.7932192010741859</v>
      </c>
      <c r="AB34" s="108">
        <v>4100</v>
      </c>
      <c r="AC34" s="78" t="s">
        <v>1643</v>
      </c>
      <c r="AD34" s="126">
        <v>3200</v>
      </c>
      <c r="AE34" s="108">
        <v>65082</v>
      </c>
      <c r="AF34" s="108">
        <v>2979</v>
      </c>
      <c r="AG34" s="108">
        <v>3038</v>
      </c>
    </row>
    <row r="35" spans="1:33" ht="15.75" thickBot="1" x14ac:dyDescent="0.3">
      <c r="A35" s="44" t="s">
        <v>1195</v>
      </c>
      <c r="B35" s="107" t="s">
        <v>1196</v>
      </c>
      <c r="C35" s="78" t="s">
        <v>817</v>
      </c>
      <c r="D35" s="108">
        <v>4099</v>
      </c>
      <c r="E35" s="108">
        <v>2300</v>
      </c>
      <c r="F35" s="108">
        <v>867</v>
      </c>
      <c r="G35" s="108">
        <v>7266</v>
      </c>
      <c r="H35" s="125">
        <f t="shared" si="0"/>
        <v>1.0989276139410187</v>
      </c>
      <c r="I35" s="125">
        <f t="shared" si="1"/>
        <v>0.2324396782841823</v>
      </c>
      <c r="J35" s="125">
        <f t="shared" si="2"/>
        <v>1.9479892761394102</v>
      </c>
      <c r="K35" s="125">
        <f t="shared" si="3"/>
        <v>6.0854271356783922</v>
      </c>
      <c r="L35" s="126">
        <v>0</v>
      </c>
      <c r="M35" s="108">
        <v>867</v>
      </c>
      <c r="N35" s="108">
        <v>6399</v>
      </c>
      <c r="O35" s="108">
        <v>7266</v>
      </c>
      <c r="P35" s="108">
        <f t="shared" si="8"/>
        <v>1.9479892761394102</v>
      </c>
      <c r="Q35" s="108">
        <v>15090</v>
      </c>
      <c r="R35" s="108">
        <v>12711</v>
      </c>
      <c r="S35" s="125">
        <f t="shared" si="4"/>
        <v>3.4077747989276141</v>
      </c>
      <c r="T35" s="108">
        <v>98</v>
      </c>
      <c r="U35" s="125">
        <f t="shared" si="5"/>
        <v>2.6273458445040216E-2</v>
      </c>
      <c r="V35" s="108">
        <v>218</v>
      </c>
      <c r="W35" s="108">
        <v>141</v>
      </c>
      <c r="X35" s="108">
        <v>10125</v>
      </c>
      <c r="Y35" s="108">
        <v>1299</v>
      </c>
      <c r="Z35" s="125">
        <f t="shared" si="6"/>
        <v>2.7144772117962468</v>
      </c>
      <c r="AA35" s="125">
        <f t="shared" si="7"/>
        <v>8.4798994974874375</v>
      </c>
      <c r="AB35" s="108">
        <v>1187</v>
      </c>
      <c r="AC35" s="78" t="s">
        <v>1643</v>
      </c>
      <c r="AD35" s="126">
        <v>25</v>
      </c>
      <c r="AE35" s="108">
        <v>27801</v>
      </c>
      <c r="AF35" s="108">
        <v>1194</v>
      </c>
      <c r="AG35" s="108">
        <v>3730</v>
      </c>
    </row>
    <row r="36" spans="1:33" ht="15.75" thickBot="1" x14ac:dyDescent="0.3">
      <c r="A36" s="44" t="s">
        <v>1203</v>
      </c>
      <c r="B36" s="107" t="s">
        <v>1204</v>
      </c>
      <c r="C36" s="78" t="s">
        <v>817</v>
      </c>
      <c r="D36" s="108">
        <v>1395</v>
      </c>
      <c r="E36" s="108">
        <v>1678</v>
      </c>
      <c r="F36" s="108">
        <v>0</v>
      </c>
      <c r="G36" s="108">
        <v>3073</v>
      </c>
      <c r="H36" s="125">
        <f t="shared" si="0"/>
        <v>0.51005484460694694</v>
      </c>
      <c r="I36" s="125">
        <f t="shared" si="1"/>
        <v>0</v>
      </c>
      <c r="J36" s="125">
        <f t="shared" si="2"/>
        <v>1.123583180987203</v>
      </c>
      <c r="K36" s="125">
        <f t="shared" si="3"/>
        <v>4.9325842696629216</v>
      </c>
      <c r="L36" s="126">
        <v>0</v>
      </c>
      <c r="M36" s="108">
        <v>0</v>
      </c>
      <c r="N36" s="108">
        <v>3073</v>
      </c>
      <c r="O36" s="108">
        <v>3073</v>
      </c>
      <c r="P36" s="108">
        <f t="shared" si="8"/>
        <v>1.123583180987203</v>
      </c>
      <c r="Q36" s="108">
        <v>16102</v>
      </c>
      <c r="R36" s="108">
        <v>0</v>
      </c>
      <c r="S36" s="125">
        <f t="shared" si="4"/>
        <v>0</v>
      </c>
      <c r="T36" s="108">
        <v>0</v>
      </c>
      <c r="U36" s="125">
        <f t="shared" si="5"/>
        <v>0</v>
      </c>
      <c r="V36" s="108">
        <v>0</v>
      </c>
      <c r="W36" s="108">
        <v>0</v>
      </c>
      <c r="X36" s="108">
        <v>3596</v>
      </c>
      <c r="Y36" s="108">
        <v>0</v>
      </c>
      <c r="Z36" s="125">
        <f t="shared" si="6"/>
        <v>1.3148080438756855</v>
      </c>
      <c r="AA36" s="125">
        <f t="shared" si="7"/>
        <v>5.7720706260032104</v>
      </c>
      <c r="AB36" s="108">
        <v>359</v>
      </c>
      <c r="AC36" s="78" t="s">
        <v>1643</v>
      </c>
      <c r="AD36" s="126">
        <v>2260</v>
      </c>
      <c r="AE36" s="108">
        <v>16102</v>
      </c>
      <c r="AF36" s="108">
        <v>623</v>
      </c>
      <c r="AG36" s="108">
        <v>2735</v>
      </c>
    </row>
    <row r="37" spans="1:33" ht="15.75" thickBot="1" x14ac:dyDescent="0.3">
      <c r="A37" s="44" t="s">
        <v>1205</v>
      </c>
      <c r="B37" s="107" t="s">
        <v>1206</v>
      </c>
      <c r="C37" s="78" t="s">
        <v>817</v>
      </c>
      <c r="D37" s="108">
        <v>4934</v>
      </c>
      <c r="E37" s="108">
        <v>7842</v>
      </c>
      <c r="F37" s="108">
        <v>4295</v>
      </c>
      <c r="G37" s="108">
        <v>17071</v>
      </c>
      <c r="H37" s="125">
        <f t="shared" si="0"/>
        <v>2.5968421052631578</v>
      </c>
      <c r="I37" s="125">
        <f t="shared" si="1"/>
        <v>2.2605263157894737</v>
      </c>
      <c r="J37" s="125">
        <f t="shared" si="2"/>
        <v>8.9847368421052636</v>
      </c>
      <c r="K37" s="125">
        <f t="shared" si="3"/>
        <v>6.9963114754098363</v>
      </c>
      <c r="L37" s="126">
        <v>0</v>
      </c>
      <c r="M37" s="108">
        <v>4295</v>
      </c>
      <c r="N37" s="108">
        <v>12776</v>
      </c>
      <c r="O37" s="108">
        <v>17071</v>
      </c>
      <c r="P37" s="108">
        <f t="shared" si="8"/>
        <v>8.9847368421052636</v>
      </c>
      <c r="Q37" s="108">
        <v>27695</v>
      </c>
      <c r="R37" s="108">
        <v>12540</v>
      </c>
      <c r="S37" s="125">
        <f t="shared" si="4"/>
        <v>6.6</v>
      </c>
      <c r="T37" s="108">
        <v>230</v>
      </c>
      <c r="U37" s="125">
        <f t="shared" si="5"/>
        <v>0.12105263157894737</v>
      </c>
      <c r="V37" s="108">
        <v>934</v>
      </c>
      <c r="W37" s="108">
        <v>1062</v>
      </c>
      <c r="X37" s="108">
        <v>13553</v>
      </c>
      <c r="Y37" s="108">
        <v>12920</v>
      </c>
      <c r="Z37" s="125">
        <f t="shared" si="6"/>
        <v>7.1331578947368417</v>
      </c>
      <c r="AA37" s="125">
        <f t="shared" si="7"/>
        <v>5.5545081967213115</v>
      </c>
      <c r="AB37" s="108">
        <v>2275</v>
      </c>
      <c r="AC37" s="78" t="s">
        <v>1643</v>
      </c>
      <c r="AD37" s="126">
        <v>2032</v>
      </c>
      <c r="AE37" s="108">
        <v>40235</v>
      </c>
      <c r="AF37" s="108">
        <v>2440</v>
      </c>
      <c r="AG37" s="108">
        <v>1900</v>
      </c>
    </row>
    <row r="38" spans="1:33" ht="15.75" thickBot="1" x14ac:dyDescent="0.3">
      <c r="A38" s="44" t="s">
        <v>1209</v>
      </c>
      <c r="B38" s="107" t="s">
        <v>1210</v>
      </c>
      <c r="C38" s="78" t="s">
        <v>817</v>
      </c>
      <c r="D38" s="108">
        <v>5651</v>
      </c>
      <c r="E38" s="108">
        <v>21290</v>
      </c>
      <c r="F38" s="108">
        <v>2366</v>
      </c>
      <c r="G38" s="108">
        <v>29307</v>
      </c>
      <c r="H38" s="125">
        <f t="shared" si="0"/>
        <v>2.7878638381845091</v>
      </c>
      <c r="I38" s="125">
        <f t="shared" si="1"/>
        <v>1.1672422298963987</v>
      </c>
      <c r="J38" s="125">
        <f t="shared" si="2"/>
        <v>14.4583127775037</v>
      </c>
      <c r="K38" s="125">
        <f t="shared" si="3"/>
        <v>10.366819950477538</v>
      </c>
      <c r="L38" s="126">
        <v>0</v>
      </c>
      <c r="M38" s="108">
        <v>2366</v>
      </c>
      <c r="N38" s="108">
        <v>26941</v>
      </c>
      <c r="O38" s="108">
        <v>29307</v>
      </c>
      <c r="P38" s="108">
        <f t="shared" si="8"/>
        <v>14.4583127775037</v>
      </c>
      <c r="Q38" s="108">
        <v>21110</v>
      </c>
      <c r="R38" s="108">
        <v>33327</v>
      </c>
      <c r="S38" s="125">
        <f t="shared" si="4"/>
        <v>16.441539220522941</v>
      </c>
      <c r="T38" s="108">
        <v>2080</v>
      </c>
      <c r="U38" s="125">
        <f t="shared" si="5"/>
        <v>1.0261470152935372</v>
      </c>
      <c r="V38" s="108">
        <v>830</v>
      </c>
      <c r="W38" s="108">
        <v>1138</v>
      </c>
      <c r="X38" s="108">
        <v>19689</v>
      </c>
      <c r="Y38" s="108">
        <v>15446</v>
      </c>
      <c r="Z38" s="125">
        <f t="shared" si="6"/>
        <v>9.7133695115934877</v>
      </c>
      <c r="AA38" s="125">
        <f t="shared" si="7"/>
        <v>6.9646268128758404</v>
      </c>
      <c r="AB38" s="108">
        <v>2750</v>
      </c>
      <c r="AC38" s="78" t="s">
        <v>1643</v>
      </c>
      <c r="AD38" s="126">
        <v>8224</v>
      </c>
      <c r="AE38" s="108">
        <v>54437</v>
      </c>
      <c r="AF38" s="108">
        <v>2827</v>
      </c>
      <c r="AG38" s="108">
        <v>2027</v>
      </c>
    </row>
    <row r="39" spans="1:33" ht="15.75" thickBot="1" x14ac:dyDescent="0.3">
      <c r="A39" s="44" t="s">
        <v>1219</v>
      </c>
      <c r="B39" s="107" t="s">
        <v>1220</v>
      </c>
      <c r="C39" s="78" t="s">
        <v>817</v>
      </c>
      <c r="D39" s="108">
        <v>6792</v>
      </c>
      <c r="E39" s="108">
        <v>5352</v>
      </c>
      <c r="F39" s="108">
        <v>300</v>
      </c>
      <c r="G39" s="108">
        <v>12444</v>
      </c>
      <c r="H39" s="125">
        <f t="shared" si="0"/>
        <v>2.3957671957671955</v>
      </c>
      <c r="I39" s="125">
        <f t="shared" si="1"/>
        <v>0.10582010582010581</v>
      </c>
      <c r="J39" s="125">
        <f t="shared" si="2"/>
        <v>4.3894179894179892</v>
      </c>
      <c r="K39" s="125">
        <f t="shared" si="3"/>
        <v>14.140909090909091</v>
      </c>
      <c r="L39" s="126">
        <v>0</v>
      </c>
      <c r="M39" s="108">
        <v>300</v>
      </c>
      <c r="N39" s="108">
        <v>12144</v>
      </c>
      <c r="O39" s="108">
        <v>12444</v>
      </c>
      <c r="P39" s="108">
        <f t="shared" si="8"/>
        <v>4.3894179894179892</v>
      </c>
      <c r="Q39" s="108">
        <v>20792</v>
      </c>
      <c r="R39" s="108">
        <v>8475</v>
      </c>
      <c r="S39" s="125">
        <f t="shared" si="4"/>
        <v>2.9894179894179893</v>
      </c>
      <c r="T39" s="108">
        <v>280</v>
      </c>
      <c r="U39" s="125">
        <f t="shared" si="5"/>
        <v>9.8765432098765427E-2</v>
      </c>
      <c r="V39" s="108">
        <v>75</v>
      </c>
      <c r="W39" s="108">
        <v>180</v>
      </c>
      <c r="X39" s="108">
        <v>4384</v>
      </c>
      <c r="Y39" s="108">
        <v>0</v>
      </c>
      <c r="Z39" s="125">
        <f t="shared" si="6"/>
        <v>1.546384479717813</v>
      </c>
      <c r="AA39" s="125">
        <f t="shared" si="7"/>
        <v>4.9818181818181815</v>
      </c>
      <c r="AB39" s="108">
        <v>1400</v>
      </c>
      <c r="AC39" s="78" t="s">
        <v>1643</v>
      </c>
      <c r="AD39" s="126">
        <v>500</v>
      </c>
      <c r="AE39" s="108">
        <v>29267</v>
      </c>
      <c r="AF39" s="108">
        <v>880</v>
      </c>
      <c r="AG39" s="108">
        <v>2835</v>
      </c>
    </row>
    <row r="40" spans="1:33" ht="15.75" thickBot="1" x14ac:dyDescent="0.3">
      <c r="A40" s="44" t="s">
        <v>1225</v>
      </c>
      <c r="B40" s="107" t="s">
        <v>1226</v>
      </c>
      <c r="C40" s="78" t="s">
        <v>817</v>
      </c>
      <c r="D40" s="108">
        <v>2936</v>
      </c>
      <c r="E40" s="108">
        <v>10188</v>
      </c>
      <c r="F40" s="108">
        <v>13453</v>
      </c>
      <c r="G40" s="108">
        <v>26577</v>
      </c>
      <c r="H40" s="125">
        <f t="shared" si="0"/>
        <v>1.2377740303541316</v>
      </c>
      <c r="I40" s="125">
        <f t="shared" si="1"/>
        <v>5.671585160202361</v>
      </c>
      <c r="J40" s="125">
        <f t="shared" si="2"/>
        <v>11.204468802698145</v>
      </c>
      <c r="K40" s="125">
        <f t="shared" si="3"/>
        <v>21.059429477020601</v>
      </c>
      <c r="L40" s="126">
        <v>0</v>
      </c>
      <c r="M40" s="108">
        <v>13453</v>
      </c>
      <c r="N40" s="108">
        <v>13124</v>
      </c>
      <c r="O40" s="108">
        <v>26577</v>
      </c>
      <c r="P40" s="108">
        <f t="shared" si="8"/>
        <v>11.204468802698145</v>
      </c>
      <c r="Q40" s="108">
        <v>20552</v>
      </c>
      <c r="R40" s="108">
        <v>12506</v>
      </c>
      <c r="S40" s="125">
        <f t="shared" si="4"/>
        <v>5.2723440134907253</v>
      </c>
      <c r="T40" s="108">
        <v>441</v>
      </c>
      <c r="U40" s="125">
        <f t="shared" si="5"/>
        <v>0.18591905564924116</v>
      </c>
      <c r="V40" s="108">
        <v>254</v>
      </c>
      <c r="W40" s="108">
        <v>336</v>
      </c>
      <c r="X40" s="108">
        <v>10551</v>
      </c>
      <c r="Y40" s="108">
        <v>2543</v>
      </c>
      <c r="Z40" s="125">
        <f t="shared" si="6"/>
        <v>4.4481450252951094</v>
      </c>
      <c r="AA40" s="125">
        <f t="shared" si="7"/>
        <v>8.3605388272583205</v>
      </c>
      <c r="AB40" s="108">
        <v>897</v>
      </c>
      <c r="AC40" s="78" t="s">
        <v>1643</v>
      </c>
      <c r="AD40" s="126">
        <v>2543</v>
      </c>
      <c r="AE40" s="108">
        <v>33058</v>
      </c>
      <c r="AF40" s="108">
        <v>1262</v>
      </c>
      <c r="AG40" s="108">
        <v>2372</v>
      </c>
    </row>
    <row r="41" spans="1:33" ht="15.75" thickBot="1" x14ac:dyDescent="0.3">
      <c r="A41" s="44" t="s">
        <v>1237</v>
      </c>
      <c r="B41" s="107" t="s">
        <v>1238</v>
      </c>
      <c r="C41" s="78" t="s">
        <v>817</v>
      </c>
      <c r="D41" s="108">
        <v>1274</v>
      </c>
      <c r="E41" s="108">
        <v>3993</v>
      </c>
      <c r="F41" s="108">
        <v>0</v>
      </c>
      <c r="G41" s="108">
        <v>5267</v>
      </c>
      <c r="H41" s="125">
        <f t="shared" si="0"/>
        <v>0.34742296154895008</v>
      </c>
      <c r="I41" s="125">
        <f t="shared" si="1"/>
        <v>0</v>
      </c>
      <c r="J41" s="125">
        <f t="shared" si="2"/>
        <v>1.4363239705481319</v>
      </c>
      <c r="K41" s="125">
        <f t="shared" si="3"/>
        <v>9.5416666666666661</v>
      </c>
      <c r="L41" s="126">
        <v>107</v>
      </c>
      <c r="M41" s="108">
        <v>107</v>
      </c>
      <c r="N41" s="108">
        <v>5267</v>
      </c>
      <c r="O41" s="108">
        <v>5374</v>
      </c>
      <c r="P41" s="108">
        <f t="shared" si="8"/>
        <v>1.4655031360785382</v>
      </c>
      <c r="Q41" s="108">
        <v>17422</v>
      </c>
      <c r="R41" s="108">
        <v>0</v>
      </c>
      <c r="S41" s="125">
        <f t="shared" si="4"/>
        <v>0</v>
      </c>
      <c r="T41" s="108">
        <v>502</v>
      </c>
      <c r="U41" s="125">
        <f t="shared" si="5"/>
        <v>0.13689664575947641</v>
      </c>
      <c r="V41" s="108">
        <v>767</v>
      </c>
      <c r="W41" s="108">
        <v>1039</v>
      </c>
      <c r="X41" s="108">
        <v>3511</v>
      </c>
      <c r="Y41" s="108">
        <v>3172</v>
      </c>
      <c r="Z41" s="125">
        <f t="shared" si="6"/>
        <v>0.95745841287155709</v>
      </c>
      <c r="AA41" s="125">
        <f t="shared" si="7"/>
        <v>6.3605072463768115</v>
      </c>
      <c r="AB41" s="108">
        <v>440</v>
      </c>
      <c r="AC41" s="78" t="s">
        <v>1643</v>
      </c>
      <c r="AD41" s="126">
        <v>1300</v>
      </c>
      <c r="AE41" s="108">
        <v>17422</v>
      </c>
      <c r="AF41" s="108">
        <v>552</v>
      </c>
      <c r="AG41" s="108">
        <v>3667</v>
      </c>
    </row>
    <row r="42" spans="1:33" ht="15.75" thickBot="1" x14ac:dyDescent="0.3">
      <c r="A42" s="44" t="s">
        <v>1243</v>
      </c>
      <c r="B42" s="107" t="s">
        <v>1244</v>
      </c>
      <c r="C42" s="78" t="s">
        <v>817</v>
      </c>
      <c r="D42" s="108">
        <v>730</v>
      </c>
      <c r="E42" s="108">
        <v>2661</v>
      </c>
      <c r="F42" s="108">
        <v>458</v>
      </c>
      <c r="G42" s="108">
        <v>3849</v>
      </c>
      <c r="H42" s="125">
        <f t="shared" si="0"/>
        <v>1.4837398373983739</v>
      </c>
      <c r="I42" s="125">
        <f t="shared" si="1"/>
        <v>0.93089430894308944</v>
      </c>
      <c r="J42" s="125">
        <f t="shared" si="2"/>
        <v>7.8231707317073171</v>
      </c>
      <c r="K42" s="125">
        <f t="shared" si="3"/>
        <v>3.0402843601895735</v>
      </c>
      <c r="L42" s="127">
        <v>0</v>
      </c>
      <c r="M42" s="108">
        <v>458</v>
      </c>
      <c r="N42" s="108">
        <v>3391</v>
      </c>
      <c r="O42" s="108">
        <v>3849</v>
      </c>
      <c r="P42" s="108">
        <f t="shared" si="8"/>
        <v>7.8231707317073171</v>
      </c>
      <c r="Q42" s="108">
        <v>15518</v>
      </c>
      <c r="R42" s="108">
        <v>12043</v>
      </c>
      <c r="S42" s="125">
        <f t="shared" si="4"/>
        <v>24.477642276422763</v>
      </c>
      <c r="T42" s="108">
        <v>897</v>
      </c>
      <c r="U42" s="125">
        <f t="shared" si="5"/>
        <v>1.8231707317073171</v>
      </c>
      <c r="V42" s="108">
        <v>2</v>
      </c>
      <c r="W42" s="108">
        <v>0</v>
      </c>
      <c r="X42" s="108">
        <v>20596</v>
      </c>
      <c r="Y42" s="108">
        <v>3598</v>
      </c>
      <c r="Z42" s="125">
        <f t="shared" si="6"/>
        <v>41.861788617886177</v>
      </c>
      <c r="AA42" s="125">
        <f t="shared" si="7"/>
        <v>16.268562401263821</v>
      </c>
      <c r="AB42" s="108">
        <v>1120</v>
      </c>
      <c r="AC42" s="78" t="s">
        <v>1643</v>
      </c>
      <c r="AD42" s="126">
        <v>3186</v>
      </c>
      <c r="AE42" s="108">
        <v>27561</v>
      </c>
      <c r="AF42" s="108">
        <v>1266</v>
      </c>
      <c r="AG42" s="108">
        <v>492</v>
      </c>
    </row>
    <row r="43" spans="1:33" ht="15.75" thickBot="1" x14ac:dyDescent="0.3">
      <c r="A43" s="44" t="s">
        <v>1259</v>
      </c>
      <c r="B43" s="107" t="s">
        <v>1260</v>
      </c>
      <c r="C43" s="78" t="s">
        <v>817</v>
      </c>
      <c r="D43" s="108">
        <v>2305</v>
      </c>
      <c r="E43" s="108">
        <v>5155</v>
      </c>
      <c r="F43" s="108">
        <v>0</v>
      </c>
      <c r="G43" s="108">
        <v>7460</v>
      </c>
      <c r="H43" s="125">
        <f t="shared" si="0"/>
        <v>0.7399678972712681</v>
      </c>
      <c r="I43" s="125">
        <f t="shared" si="1"/>
        <v>0</v>
      </c>
      <c r="J43" s="125">
        <f t="shared" si="2"/>
        <v>2.3948635634028892</v>
      </c>
      <c r="K43" s="125">
        <f t="shared" si="3"/>
        <v>3.5089369708372531</v>
      </c>
      <c r="L43" s="126">
        <v>0</v>
      </c>
      <c r="M43" s="108">
        <v>0</v>
      </c>
      <c r="N43" s="108">
        <v>7460</v>
      </c>
      <c r="O43" s="108">
        <v>7460</v>
      </c>
      <c r="P43" s="108">
        <f t="shared" si="8"/>
        <v>2.3948635634028892</v>
      </c>
      <c r="Q43" s="108">
        <v>9448</v>
      </c>
      <c r="R43" s="108">
        <v>0</v>
      </c>
      <c r="S43" s="125">
        <f t="shared" si="4"/>
        <v>0</v>
      </c>
      <c r="T43" s="108">
        <v>0</v>
      </c>
      <c r="U43" s="125">
        <f t="shared" si="5"/>
        <v>0</v>
      </c>
      <c r="V43" s="108">
        <v>48</v>
      </c>
      <c r="W43" s="108">
        <v>816</v>
      </c>
      <c r="X43" s="108">
        <v>5104</v>
      </c>
      <c r="Y43" s="108">
        <v>0</v>
      </c>
      <c r="Z43" s="125">
        <f t="shared" si="6"/>
        <v>1.6385232744783307</v>
      </c>
      <c r="AA43" s="125">
        <f t="shared" si="7"/>
        <v>2.4007525870178741</v>
      </c>
      <c r="AB43" s="108">
        <v>297</v>
      </c>
      <c r="AC43" s="78" t="s">
        <v>1643</v>
      </c>
      <c r="AD43" s="126">
        <v>137</v>
      </c>
      <c r="AE43" s="108">
        <v>9448</v>
      </c>
      <c r="AF43" s="108">
        <v>2126</v>
      </c>
      <c r="AG43" s="108">
        <v>3115</v>
      </c>
    </row>
    <row r="44" spans="1:33" ht="15.75" thickBot="1" x14ac:dyDescent="0.3">
      <c r="A44" s="44" t="s">
        <v>1275</v>
      </c>
      <c r="B44" s="107" t="s">
        <v>1276</v>
      </c>
      <c r="C44" s="78" t="s">
        <v>817</v>
      </c>
      <c r="D44" s="108">
        <v>1270</v>
      </c>
      <c r="E44" s="108">
        <v>2632</v>
      </c>
      <c r="F44" s="108">
        <v>510</v>
      </c>
      <c r="G44" s="108">
        <v>4412</v>
      </c>
      <c r="H44" s="125">
        <f t="shared" si="0"/>
        <v>0.52049180327868849</v>
      </c>
      <c r="I44" s="125">
        <f t="shared" si="1"/>
        <v>0.20901639344262296</v>
      </c>
      <c r="J44" s="125">
        <f t="shared" si="2"/>
        <v>1.8081967213114754</v>
      </c>
      <c r="K44" s="125">
        <f t="shared" si="3"/>
        <v>13.369696969696969</v>
      </c>
      <c r="L44" s="126">
        <v>0</v>
      </c>
      <c r="M44" s="108">
        <v>510</v>
      </c>
      <c r="N44" s="108">
        <v>3902</v>
      </c>
      <c r="O44" s="108">
        <v>4412</v>
      </c>
      <c r="P44" s="108">
        <f t="shared" si="8"/>
        <v>1.8081967213114754</v>
      </c>
      <c r="Q44" s="108">
        <v>17392</v>
      </c>
      <c r="R44" s="108">
        <v>11644</v>
      </c>
      <c r="S44" s="125">
        <f t="shared" si="4"/>
        <v>4.7721311475409838</v>
      </c>
      <c r="T44" s="108">
        <v>589</v>
      </c>
      <c r="U44" s="125">
        <f t="shared" si="5"/>
        <v>0.24139344262295082</v>
      </c>
      <c r="V44" s="108">
        <v>10</v>
      </c>
      <c r="W44" s="108">
        <v>4</v>
      </c>
      <c r="X44" s="108">
        <v>7830</v>
      </c>
      <c r="Y44" s="108">
        <v>187</v>
      </c>
      <c r="Z44" s="125">
        <f t="shared" si="6"/>
        <v>3.209016393442623</v>
      </c>
      <c r="AA44" s="125">
        <f t="shared" si="7"/>
        <v>23.727272727272727</v>
      </c>
      <c r="AB44" s="108">
        <v>950</v>
      </c>
      <c r="AC44" s="78" t="s">
        <v>1643</v>
      </c>
      <c r="AD44" s="126">
        <v>658</v>
      </c>
      <c r="AE44" s="108">
        <v>29036</v>
      </c>
      <c r="AF44" s="108">
        <v>330</v>
      </c>
      <c r="AG44" s="108">
        <v>2440</v>
      </c>
    </row>
    <row r="45" spans="1:33" ht="15.75" thickBot="1" x14ac:dyDescent="0.3">
      <c r="A45" s="44" t="s">
        <v>1283</v>
      </c>
      <c r="B45" s="107" t="s">
        <v>1284</v>
      </c>
      <c r="C45" s="78" t="s">
        <v>817</v>
      </c>
      <c r="D45" s="108">
        <v>5572</v>
      </c>
      <c r="E45" s="108">
        <v>9906</v>
      </c>
      <c r="F45" s="108">
        <v>0</v>
      </c>
      <c r="G45" s="108">
        <v>15478</v>
      </c>
      <c r="H45" s="125">
        <f t="shared" si="0"/>
        <v>1.6230702009903875</v>
      </c>
      <c r="I45" s="125">
        <f t="shared" si="1"/>
        <v>0</v>
      </c>
      <c r="J45" s="125">
        <f t="shared" si="2"/>
        <v>4.5085930672880865</v>
      </c>
      <c r="K45" s="125">
        <f t="shared" si="3"/>
        <v>8.9675550405561992</v>
      </c>
      <c r="L45" s="126">
        <v>0</v>
      </c>
      <c r="M45" s="108">
        <v>0</v>
      </c>
      <c r="N45" s="108">
        <v>15478</v>
      </c>
      <c r="O45" s="108">
        <v>15478</v>
      </c>
      <c r="P45" s="108">
        <f t="shared" si="8"/>
        <v>4.5085930672880865</v>
      </c>
      <c r="Q45" s="108">
        <v>18100</v>
      </c>
      <c r="R45" s="108">
        <v>0</v>
      </c>
      <c r="S45" s="125">
        <f t="shared" si="4"/>
        <v>0</v>
      </c>
      <c r="T45" s="108">
        <v>1040</v>
      </c>
      <c r="U45" s="125">
        <f t="shared" si="5"/>
        <v>0.3029420332071075</v>
      </c>
      <c r="V45" s="108">
        <v>1582</v>
      </c>
      <c r="W45" s="108">
        <v>1601</v>
      </c>
      <c r="X45" s="108">
        <v>15458</v>
      </c>
      <c r="Y45" s="108">
        <v>2080</v>
      </c>
      <c r="Z45" s="125">
        <f t="shared" si="6"/>
        <v>4.5027672589571806</v>
      </c>
      <c r="AA45" s="125">
        <f t="shared" si="7"/>
        <v>8.9559675550405569</v>
      </c>
      <c r="AB45" s="108">
        <v>708</v>
      </c>
      <c r="AC45" s="78" t="s">
        <v>1643</v>
      </c>
      <c r="AD45" s="126">
        <v>1825</v>
      </c>
      <c r="AE45" s="108">
        <v>18100</v>
      </c>
      <c r="AF45" s="108">
        <v>1726</v>
      </c>
      <c r="AG45" s="108">
        <v>3433</v>
      </c>
    </row>
    <row r="46" spans="1:33" ht="15.75" thickBot="1" x14ac:dyDescent="0.3">
      <c r="A46" s="44" t="s">
        <v>1303</v>
      </c>
      <c r="B46" s="107" t="s">
        <v>1304</v>
      </c>
      <c r="C46" s="78" t="s">
        <v>817</v>
      </c>
      <c r="D46" s="108">
        <v>2065</v>
      </c>
      <c r="E46" s="108">
        <v>6153</v>
      </c>
      <c r="F46" s="108">
        <v>0</v>
      </c>
      <c r="G46" s="108">
        <v>8218</v>
      </c>
      <c r="H46" s="125">
        <f t="shared" si="0"/>
        <v>1.1174242424242424</v>
      </c>
      <c r="I46" s="125">
        <f t="shared" si="1"/>
        <v>0</v>
      </c>
      <c r="J46" s="125">
        <f t="shared" si="2"/>
        <v>4.4469696969696972</v>
      </c>
      <c r="K46" s="125">
        <f t="shared" si="3"/>
        <v>3.8223255813953489</v>
      </c>
      <c r="L46" s="127">
        <v>0</v>
      </c>
      <c r="M46" s="108">
        <v>0</v>
      </c>
      <c r="N46" s="108">
        <v>8218</v>
      </c>
      <c r="O46" s="108">
        <v>8218</v>
      </c>
      <c r="P46" s="108">
        <f t="shared" si="8"/>
        <v>4.4469696969696972</v>
      </c>
      <c r="Q46" s="108">
        <v>13926</v>
      </c>
      <c r="R46" s="108">
        <v>0</v>
      </c>
      <c r="S46" s="125">
        <f t="shared" si="4"/>
        <v>0</v>
      </c>
      <c r="T46" s="108">
        <v>119</v>
      </c>
      <c r="U46" s="125">
        <f t="shared" si="5"/>
        <v>6.4393939393939392E-2</v>
      </c>
      <c r="V46" s="108">
        <v>309</v>
      </c>
      <c r="W46" s="108">
        <v>642</v>
      </c>
      <c r="X46" s="108">
        <v>4380</v>
      </c>
      <c r="Y46" s="108">
        <v>5385</v>
      </c>
      <c r="Z46" s="125">
        <f t="shared" si="6"/>
        <v>2.3701298701298703</v>
      </c>
      <c r="AA46" s="125">
        <f t="shared" si="7"/>
        <v>2.0372093023255813</v>
      </c>
      <c r="AB46" s="108">
        <v>786</v>
      </c>
      <c r="AC46" s="78" t="s">
        <v>1643</v>
      </c>
      <c r="AD46" s="126">
        <v>358</v>
      </c>
      <c r="AE46" s="108">
        <v>13926</v>
      </c>
      <c r="AF46" s="108">
        <v>2150</v>
      </c>
      <c r="AG46" s="108">
        <v>1848</v>
      </c>
    </row>
    <row r="47" spans="1:33" ht="15.75" thickBot="1" x14ac:dyDescent="0.3">
      <c r="A47" s="44" t="s">
        <v>1319</v>
      </c>
      <c r="B47" s="107" t="s">
        <v>1320</v>
      </c>
      <c r="C47" s="78" t="s">
        <v>817</v>
      </c>
      <c r="D47" s="108">
        <v>13137</v>
      </c>
      <c r="E47" s="108">
        <v>16080</v>
      </c>
      <c r="F47" s="108">
        <v>2883</v>
      </c>
      <c r="G47" s="108">
        <v>32100</v>
      </c>
      <c r="H47" s="125">
        <f t="shared" si="0"/>
        <v>3.6041152263374485</v>
      </c>
      <c r="I47" s="125">
        <f t="shared" si="1"/>
        <v>0.79094650205761319</v>
      </c>
      <c r="J47" s="125">
        <f t="shared" si="2"/>
        <v>8.8065843621399171</v>
      </c>
      <c r="K47" s="125">
        <f t="shared" si="3"/>
        <v>4.4245348035837351</v>
      </c>
      <c r="L47" s="126">
        <v>267196</v>
      </c>
      <c r="M47" s="108">
        <v>270079</v>
      </c>
      <c r="N47" s="108">
        <v>29217</v>
      </c>
      <c r="O47" s="108">
        <v>299296</v>
      </c>
      <c r="P47" s="108">
        <f t="shared" si="8"/>
        <v>82.111385459533608</v>
      </c>
      <c r="Q47" s="108">
        <v>39475</v>
      </c>
      <c r="R47" s="108">
        <v>14813</v>
      </c>
      <c r="S47" s="125">
        <f t="shared" si="4"/>
        <v>4.0639231824417008</v>
      </c>
      <c r="T47" s="108">
        <v>18720</v>
      </c>
      <c r="U47" s="125">
        <f t="shared" si="5"/>
        <v>5.1358024691358022</v>
      </c>
      <c r="V47" s="108">
        <v>3017</v>
      </c>
      <c r="W47" s="108">
        <v>3547</v>
      </c>
      <c r="X47" s="108">
        <v>31200</v>
      </c>
      <c r="Y47" s="108">
        <v>9125</v>
      </c>
      <c r="Z47" s="125">
        <f t="shared" si="6"/>
        <v>8.5596707818930042</v>
      </c>
      <c r="AA47" s="125">
        <f t="shared" si="7"/>
        <v>4.3004824259131631</v>
      </c>
      <c r="AB47" s="108">
        <v>3103</v>
      </c>
      <c r="AC47" s="78" t="s">
        <v>1643</v>
      </c>
      <c r="AD47" s="126">
        <v>9125</v>
      </c>
      <c r="AE47" s="108">
        <v>54288</v>
      </c>
      <c r="AF47" s="108">
        <v>7255</v>
      </c>
      <c r="AG47" s="108">
        <v>3645</v>
      </c>
    </row>
    <row r="48" spans="1:33" ht="15.75" thickBot="1" x14ac:dyDescent="0.3">
      <c r="A48" s="44" t="s">
        <v>1333</v>
      </c>
      <c r="B48" s="107" t="s">
        <v>1334</v>
      </c>
      <c r="C48" s="78" t="s">
        <v>817</v>
      </c>
      <c r="D48" s="108">
        <v>3788</v>
      </c>
      <c r="E48" s="108">
        <v>10672</v>
      </c>
      <c r="F48" s="108">
        <v>1839</v>
      </c>
      <c r="G48" s="108">
        <v>16299</v>
      </c>
      <c r="H48" s="125">
        <f t="shared" si="0"/>
        <v>1.0296276162000544</v>
      </c>
      <c r="I48" s="125">
        <f t="shared" si="1"/>
        <v>0.49986409350366945</v>
      </c>
      <c r="J48" s="125">
        <f t="shared" si="2"/>
        <v>4.4302799673824405</v>
      </c>
      <c r="K48" s="125">
        <f t="shared" si="3"/>
        <v>13.777683854606931</v>
      </c>
      <c r="L48" s="126">
        <v>15</v>
      </c>
      <c r="M48" s="108">
        <v>1854</v>
      </c>
      <c r="N48" s="108">
        <v>14460</v>
      </c>
      <c r="O48" s="108">
        <v>16314</v>
      </c>
      <c r="P48" s="108">
        <f t="shared" si="8"/>
        <v>4.4343571622723568</v>
      </c>
      <c r="Q48" s="108">
        <v>32240</v>
      </c>
      <c r="R48" s="108">
        <v>12396</v>
      </c>
      <c r="S48" s="125">
        <f t="shared" si="4"/>
        <v>3.369393857026366</v>
      </c>
      <c r="T48" s="108">
        <v>2964</v>
      </c>
      <c r="U48" s="125">
        <f t="shared" si="5"/>
        <v>0.80565371024734977</v>
      </c>
      <c r="V48" s="108">
        <v>860</v>
      </c>
      <c r="W48" s="108">
        <v>1262</v>
      </c>
      <c r="X48" s="108">
        <v>13572</v>
      </c>
      <c r="Y48" s="108">
        <v>5619</v>
      </c>
      <c r="Z48" s="125">
        <f t="shared" si="6"/>
        <v>3.6890459363957597</v>
      </c>
      <c r="AA48" s="125">
        <f t="shared" si="7"/>
        <v>11.472527472527473</v>
      </c>
      <c r="AB48" s="108">
        <v>4071</v>
      </c>
      <c r="AC48" s="78" t="s">
        <v>1643</v>
      </c>
      <c r="AD48" s="126">
        <v>1315</v>
      </c>
      <c r="AE48" s="108">
        <v>44636</v>
      </c>
      <c r="AF48" s="108">
        <v>1183</v>
      </c>
      <c r="AG48" s="108">
        <v>3679</v>
      </c>
    </row>
    <row r="49" spans="1:33" ht="15.75" thickBot="1" x14ac:dyDescent="0.3">
      <c r="A49" s="44" t="s">
        <v>1337</v>
      </c>
      <c r="B49" s="107" t="s">
        <v>1338</v>
      </c>
      <c r="C49" s="78" t="s">
        <v>817</v>
      </c>
      <c r="D49" s="108">
        <v>3274</v>
      </c>
      <c r="E49" s="108">
        <v>770</v>
      </c>
      <c r="F49" s="108">
        <v>0</v>
      </c>
      <c r="G49" s="108">
        <v>4044</v>
      </c>
      <c r="H49" s="125">
        <f t="shared" si="0"/>
        <v>1.7890710382513662</v>
      </c>
      <c r="I49" s="125">
        <f t="shared" si="1"/>
        <v>0</v>
      </c>
      <c r="J49" s="125">
        <f t="shared" si="2"/>
        <v>2.2098360655737705</v>
      </c>
      <c r="K49" s="125">
        <f t="shared" si="3"/>
        <v>5.9911111111111115</v>
      </c>
      <c r="L49" s="126">
        <v>0</v>
      </c>
      <c r="M49" s="108">
        <v>0</v>
      </c>
      <c r="N49" s="108">
        <v>4044</v>
      </c>
      <c r="O49" s="108">
        <v>4044</v>
      </c>
      <c r="P49" s="108">
        <f t="shared" si="8"/>
        <v>2.2098360655737705</v>
      </c>
      <c r="Q49" s="108">
        <v>9030</v>
      </c>
      <c r="R49" s="108">
        <v>0</v>
      </c>
      <c r="S49" s="125">
        <f t="shared" si="4"/>
        <v>0</v>
      </c>
      <c r="T49" s="108">
        <v>75</v>
      </c>
      <c r="U49" s="125">
        <f t="shared" si="5"/>
        <v>4.0983606557377046E-2</v>
      </c>
      <c r="V49" s="108">
        <v>0</v>
      </c>
      <c r="W49" s="108">
        <v>0</v>
      </c>
      <c r="X49" s="108">
        <v>1450</v>
      </c>
      <c r="Y49" s="108">
        <v>0</v>
      </c>
      <c r="Z49" s="125">
        <f t="shared" si="6"/>
        <v>0.79234972677595628</v>
      </c>
      <c r="AA49" s="125">
        <f t="shared" si="7"/>
        <v>2.1481481481481484</v>
      </c>
      <c r="AB49" s="108">
        <v>33</v>
      </c>
      <c r="AC49" s="78" t="s">
        <v>1643</v>
      </c>
      <c r="AD49" s="126" t="s">
        <v>3453</v>
      </c>
      <c r="AE49" s="108">
        <v>9030</v>
      </c>
      <c r="AF49" s="108">
        <v>675</v>
      </c>
      <c r="AG49" s="108">
        <v>1830</v>
      </c>
    </row>
    <row r="50" spans="1:33" ht="15.75" thickBot="1" x14ac:dyDescent="0.3">
      <c r="A50" s="44" t="s">
        <v>1359</v>
      </c>
      <c r="B50" s="107" t="s">
        <v>1360</v>
      </c>
      <c r="C50" s="78" t="s">
        <v>817</v>
      </c>
      <c r="D50" s="108">
        <v>5255</v>
      </c>
      <c r="E50" s="108">
        <v>11637</v>
      </c>
      <c r="F50" s="108">
        <v>11734</v>
      </c>
      <c r="G50" s="108">
        <v>28626</v>
      </c>
      <c r="H50" s="125">
        <f t="shared" si="0"/>
        <v>2.710159876224858</v>
      </c>
      <c r="I50" s="125">
        <f t="shared" si="1"/>
        <v>6.0515729757607017</v>
      </c>
      <c r="J50" s="125">
        <f t="shared" si="2"/>
        <v>14.76328004125838</v>
      </c>
      <c r="K50" s="125">
        <f t="shared" si="3"/>
        <v>14.392156862745098</v>
      </c>
      <c r="L50" s="127">
        <v>0</v>
      </c>
      <c r="M50" s="108">
        <v>11734</v>
      </c>
      <c r="N50" s="108">
        <v>16892</v>
      </c>
      <c r="O50" s="108">
        <v>28626</v>
      </c>
      <c r="P50" s="108">
        <f t="shared" si="8"/>
        <v>14.76328004125838</v>
      </c>
      <c r="Q50" s="108">
        <v>17249</v>
      </c>
      <c r="R50" s="108">
        <v>39243</v>
      </c>
      <c r="S50" s="125">
        <f t="shared" si="4"/>
        <v>20.238782877772046</v>
      </c>
      <c r="T50" s="108">
        <v>321</v>
      </c>
      <c r="U50" s="125">
        <f t="shared" si="5"/>
        <v>0.16554925219185146</v>
      </c>
      <c r="V50" s="108">
        <v>1502</v>
      </c>
      <c r="W50" s="108">
        <v>1717</v>
      </c>
      <c r="X50" s="108">
        <v>20781</v>
      </c>
      <c r="Y50" s="108">
        <v>16039</v>
      </c>
      <c r="Z50" s="125">
        <f t="shared" si="6"/>
        <v>10.717380092831357</v>
      </c>
      <c r="AA50" s="125">
        <f t="shared" si="7"/>
        <v>10.447963800904978</v>
      </c>
      <c r="AB50" s="108">
        <v>2305</v>
      </c>
      <c r="AC50" s="78" t="s">
        <v>1643</v>
      </c>
      <c r="AD50" s="126">
        <v>5985</v>
      </c>
      <c r="AE50" s="108">
        <v>56492</v>
      </c>
      <c r="AF50" s="108">
        <v>1989</v>
      </c>
      <c r="AG50" s="108">
        <v>1939</v>
      </c>
    </row>
    <row r="51" spans="1:33" ht="15.75" thickBot="1" x14ac:dyDescent="0.3">
      <c r="A51" s="44" t="s">
        <v>1397</v>
      </c>
      <c r="B51" s="107" t="s">
        <v>1398</v>
      </c>
      <c r="C51" s="78" t="s">
        <v>817</v>
      </c>
      <c r="D51" s="108">
        <v>4812</v>
      </c>
      <c r="E51" s="108">
        <v>8263</v>
      </c>
      <c r="F51" s="108">
        <v>1777</v>
      </c>
      <c r="G51" s="108">
        <v>14852</v>
      </c>
      <c r="H51" s="125">
        <f t="shared" si="0"/>
        <v>1.2869751270393153</v>
      </c>
      <c r="I51" s="125">
        <f t="shared" si="1"/>
        <v>0.47526076491040387</v>
      </c>
      <c r="J51" s="125">
        <f t="shared" si="2"/>
        <v>3.9721850762235893</v>
      </c>
      <c r="K51" s="125">
        <f t="shared" si="3"/>
        <v>15.248459958932239</v>
      </c>
      <c r="L51" s="126">
        <v>319</v>
      </c>
      <c r="M51" s="108">
        <v>2096</v>
      </c>
      <c r="N51" s="108">
        <v>13075</v>
      </c>
      <c r="O51" s="108">
        <v>15171</v>
      </c>
      <c r="P51" s="108">
        <f t="shared" si="8"/>
        <v>4.0575020058839266</v>
      </c>
      <c r="Q51" s="108">
        <v>11424</v>
      </c>
      <c r="R51" s="108">
        <v>12990</v>
      </c>
      <c r="S51" s="125">
        <f t="shared" si="4"/>
        <v>3.4741909601497727</v>
      </c>
      <c r="T51" s="108">
        <v>1816</v>
      </c>
      <c r="U51" s="125">
        <f t="shared" si="5"/>
        <v>0.48569136132655788</v>
      </c>
      <c r="V51" s="108">
        <v>2524</v>
      </c>
      <c r="W51" s="108">
        <v>3014</v>
      </c>
      <c r="X51" s="108">
        <v>7768</v>
      </c>
      <c r="Y51" s="108">
        <v>4986</v>
      </c>
      <c r="Z51" s="125">
        <f t="shared" si="6"/>
        <v>2.077560845145761</v>
      </c>
      <c r="AA51" s="125">
        <f t="shared" si="7"/>
        <v>7.9753593429158114</v>
      </c>
      <c r="AB51" s="108">
        <v>671</v>
      </c>
      <c r="AC51" s="78" t="s">
        <v>1643</v>
      </c>
      <c r="AD51" s="126">
        <v>2177</v>
      </c>
      <c r="AE51" s="108">
        <v>24414</v>
      </c>
      <c r="AF51" s="108">
        <v>974</v>
      </c>
      <c r="AG51" s="108">
        <v>3739</v>
      </c>
    </row>
    <row r="52" spans="1:33" ht="15.75" thickBot="1" x14ac:dyDescent="0.3">
      <c r="A52" s="44" t="s">
        <v>1407</v>
      </c>
      <c r="B52" s="107" t="s">
        <v>1408</v>
      </c>
      <c r="C52" s="78" t="s">
        <v>817</v>
      </c>
      <c r="D52" s="108">
        <v>1657</v>
      </c>
      <c r="E52" s="108">
        <v>916</v>
      </c>
      <c r="F52" s="108">
        <v>0</v>
      </c>
      <c r="G52" s="108">
        <v>2573</v>
      </c>
      <c r="H52" s="125">
        <f t="shared" si="0"/>
        <v>1.0988063660477454</v>
      </c>
      <c r="I52" s="125">
        <f t="shared" si="1"/>
        <v>0</v>
      </c>
      <c r="J52" s="125">
        <f t="shared" si="2"/>
        <v>1.7062334217506632</v>
      </c>
      <c r="K52" s="125">
        <f t="shared" si="3"/>
        <v>13.060913705583756</v>
      </c>
      <c r="L52" s="126">
        <v>0</v>
      </c>
      <c r="M52" s="108">
        <v>0</v>
      </c>
      <c r="N52" s="108">
        <v>2573</v>
      </c>
      <c r="O52" s="108">
        <v>2573</v>
      </c>
      <c r="P52" s="108">
        <f t="shared" si="8"/>
        <v>1.7062334217506632</v>
      </c>
      <c r="Q52" s="108">
        <v>14307</v>
      </c>
      <c r="R52" s="108">
        <v>0</v>
      </c>
      <c r="S52" s="125">
        <f t="shared" si="4"/>
        <v>0</v>
      </c>
      <c r="T52" s="108">
        <v>4</v>
      </c>
      <c r="U52" s="125">
        <f t="shared" si="5"/>
        <v>2.6525198938992041E-3</v>
      </c>
      <c r="V52" s="108">
        <v>0</v>
      </c>
      <c r="W52" s="108">
        <v>0</v>
      </c>
      <c r="X52" s="108">
        <v>4042</v>
      </c>
      <c r="Y52" s="108">
        <v>0</v>
      </c>
      <c r="Z52" s="125">
        <f t="shared" si="6"/>
        <v>2.680371352785146</v>
      </c>
      <c r="AA52" s="125">
        <f t="shared" si="7"/>
        <v>20.517766497461928</v>
      </c>
      <c r="AB52" s="108">
        <v>351</v>
      </c>
      <c r="AC52" s="78" t="s">
        <v>1643</v>
      </c>
      <c r="AD52" s="126">
        <v>109</v>
      </c>
      <c r="AE52" s="108">
        <v>14307</v>
      </c>
      <c r="AF52" s="108">
        <v>197</v>
      </c>
      <c r="AG52" s="108">
        <v>1508</v>
      </c>
    </row>
    <row r="53" spans="1:33" ht="15.75" thickBot="1" x14ac:dyDescent="0.3">
      <c r="A53" s="44" t="s">
        <v>1409</v>
      </c>
      <c r="B53" s="107" t="s">
        <v>1410</v>
      </c>
      <c r="C53" s="78" t="s">
        <v>817</v>
      </c>
      <c r="D53" s="108">
        <v>1645</v>
      </c>
      <c r="E53" s="108">
        <v>12080</v>
      </c>
      <c r="F53" s="108">
        <v>21</v>
      </c>
      <c r="G53" s="108">
        <v>13746</v>
      </c>
      <c r="H53" s="125">
        <f t="shared" si="0"/>
        <v>0.44090056285178236</v>
      </c>
      <c r="I53" s="125">
        <f t="shared" si="1"/>
        <v>5.6285178236397749E-3</v>
      </c>
      <c r="J53" s="125">
        <f t="shared" si="2"/>
        <v>3.6842669525596357</v>
      </c>
      <c r="K53" s="125">
        <f t="shared" si="3"/>
        <v>4.5441322314049586</v>
      </c>
      <c r="L53" s="126">
        <v>0</v>
      </c>
      <c r="M53" s="108">
        <v>21</v>
      </c>
      <c r="N53" s="108">
        <v>13725</v>
      </c>
      <c r="O53" s="108">
        <v>13746</v>
      </c>
      <c r="P53" s="108">
        <f t="shared" si="8"/>
        <v>3.6842669525596357</v>
      </c>
      <c r="Q53" s="108">
        <v>16992</v>
      </c>
      <c r="R53" s="108">
        <v>8450</v>
      </c>
      <c r="S53" s="125">
        <f t="shared" si="4"/>
        <v>2.264808362369338</v>
      </c>
      <c r="T53" s="108">
        <v>750</v>
      </c>
      <c r="U53" s="125">
        <f t="shared" si="5"/>
        <v>0.20101849370142053</v>
      </c>
      <c r="V53" s="108">
        <v>921</v>
      </c>
      <c r="W53" s="108">
        <v>888</v>
      </c>
      <c r="X53" s="108">
        <v>11523</v>
      </c>
      <c r="Y53" s="108">
        <v>2761</v>
      </c>
      <c r="Z53" s="125">
        <f t="shared" si="6"/>
        <v>3.088448137228625</v>
      </c>
      <c r="AA53" s="125">
        <f t="shared" si="7"/>
        <v>3.8092561983471076</v>
      </c>
      <c r="AB53" s="108">
        <v>2003</v>
      </c>
      <c r="AC53" s="78" t="s">
        <v>1643</v>
      </c>
      <c r="AD53" s="126">
        <v>875</v>
      </c>
      <c r="AE53" s="108">
        <v>25442</v>
      </c>
      <c r="AF53" s="108">
        <v>3025</v>
      </c>
      <c r="AG53" s="108">
        <v>3731</v>
      </c>
    </row>
    <row r="54" spans="1:33" ht="15.75" thickBot="1" x14ac:dyDescent="0.3">
      <c r="A54" s="44" t="s">
        <v>1413</v>
      </c>
      <c r="B54" s="107" t="s">
        <v>1414</v>
      </c>
      <c r="C54" s="78" t="s">
        <v>817</v>
      </c>
      <c r="D54" s="108">
        <v>1975</v>
      </c>
      <c r="E54" s="108">
        <v>6739</v>
      </c>
      <c r="F54" s="108">
        <v>207</v>
      </c>
      <c r="G54" s="108">
        <v>8921</v>
      </c>
      <c r="H54" s="125">
        <f t="shared" si="0"/>
        <v>0.53756124115405557</v>
      </c>
      <c r="I54" s="125">
        <f t="shared" si="1"/>
        <v>5.6341861731083291E-2</v>
      </c>
      <c r="J54" s="125">
        <f t="shared" si="2"/>
        <v>2.4281437125748502</v>
      </c>
      <c r="K54" s="125">
        <f t="shared" si="3"/>
        <v>3.1061977715877438</v>
      </c>
      <c r="L54" s="126">
        <v>0</v>
      </c>
      <c r="M54" s="108">
        <v>207</v>
      </c>
      <c r="N54" s="108">
        <v>8714</v>
      </c>
      <c r="O54" s="108">
        <v>8921</v>
      </c>
      <c r="P54" s="108">
        <f t="shared" si="8"/>
        <v>2.4281437125748502</v>
      </c>
      <c r="Q54" s="108">
        <v>19397</v>
      </c>
      <c r="R54" s="108">
        <v>8450</v>
      </c>
      <c r="S54" s="125">
        <f t="shared" si="4"/>
        <v>2.2999455634186172</v>
      </c>
      <c r="T54" s="108">
        <v>480</v>
      </c>
      <c r="U54" s="125">
        <f t="shared" si="5"/>
        <v>0.130647795318454</v>
      </c>
      <c r="V54" s="108">
        <v>338</v>
      </c>
      <c r="W54" s="108">
        <v>598</v>
      </c>
      <c r="X54" s="108">
        <v>16105</v>
      </c>
      <c r="Y54" s="108">
        <v>564</v>
      </c>
      <c r="Z54" s="125">
        <f t="shared" si="6"/>
        <v>4.3835057158410455</v>
      </c>
      <c r="AA54" s="125">
        <f t="shared" si="7"/>
        <v>5.6075905292479105</v>
      </c>
      <c r="AB54" s="108">
        <v>1964</v>
      </c>
      <c r="AC54" s="78" t="s">
        <v>1643</v>
      </c>
      <c r="AD54" s="126">
        <v>564</v>
      </c>
      <c r="AE54" s="108">
        <v>27847</v>
      </c>
      <c r="AF54" s="108">
        <v>2872</v>
      </c>
      <c r="AG54" s="108">
        <v>3674</v>
      </c>
    </row>
    <row r="55" spans="1:33" ht="15.75" thickBot="1" x14ac:dyDescent="0.3">
      <c r="A55" s="44" t="s">
        <v>1415</v>
      </c>
      <c r="B55" s="107" t="s">
        <v>1416</v>
      </c>
      <c r="C55" s="78" t="s">
        <v>817</v>
      </c>
      <c r="D55" s="108">
        <v>672</v>
      </c>
      <c r="E55" s="108">
        <v>1414</v>
      </c>
      <c r="F55" s="108">
        <v>308</v>
      </c>
      <c r="G55" s="108">
        <v>2394</v>
      </c>
      <c r="H55" s="125">
        <f t="shared" si="0"/>
        <v>0.76190476190476186</v>
      </c>
      <c r="I55" s="125">
        <f t="shared" si="1"/>
        <v>0.34920634920634919</v>
      </c>
      <c r="J55" s="125">
        <f t="shared" si="2"/>
        <v>2.7142857142857144</v>
      </c>
      <c r="K55" s="125">
        <f t="shared" si="3"/>
        <v>6.316622691292876</v>
      </c>
      <c r="L55" s="127">
        <v>0</v>
      </c>
      <c r="M55" s="108">
        <v>308</v>
      </c>
      <c r="N55" s="108">
        <v>2086</v>
      </c>
      <c r="O55" s="108">
        <v>2394</v>
      </c>
      <c r="P55" s="108">
        <f t="shared" si="8"/>
        <v>2.7142857142857144</v>
      </c>
      <c r="Q55" s="108">
        <v>13572</v>
      </c>
      <c r="R55" s="108">
        <v>12043</v>
      </c>
      <c r="S55" s="125">
        <f t="shared" si="4"/>
        <v>13.654195011337869</v>
      </c>
      <c r="T55" s="108">
        <v>402</v>
      </c>
      <c r="U55" s="125">
        <f t="shared" si="5"/>
        <v>0.45578231292517007</v>
      </c>
      <c r="V55" s="108">
        <v>0</v>
      </c>
      <c r="W55" s="108">
        <v>0</v>
      </c>
      <c r="X55" s="108">
        <v>4141</v>
      </c>
      <c r="Y55" s="108">
        <v>648</v>
      </c>
      <c r="Z55" s="125">
        <f t="shared" si="6"/>
        <v>4.6950113378684808</v>
      </c>
      <c r="AA55" s="125">
        <f t="shared" si="7"/>
        <v>10.926121372031663</v>
      </c>
      <c r="AB55" s="108">
        <v>2261</v>
      </c>
      <c r="AC55" s="78" t="s">
        <v>1643</v>
      </c>
      <c r="AD55" s="126">
        <v>152</v>
      </c>
      <c r="AE55" s="108">
        <v>25615</v>
      </c>
      <c r="AF55" s="108">
        <v>379</v>
      </c>
      <c r="AG55" s="108">
        <v>882</v>
      </c>
    </row>
    <row r="56" spans="1:33" ht="15.75" thickBot="1" x14ac:dyDescent="0.3">
      <c r="A56" s="44" t="s">
        <v>1459</v>
      </c>
      <c r="B56" s="107" t="s">
        <v>1460</v>
      </c>
      <c r="C56" s="78" t="s">
        <v>817</v>
      </c>
      <c r="D56" s="108">
        <v>10506</v>
      </c>
      <c r="E56" s="108">
        <v>7900</v>
      </c>
      <c r="F56" s="108">
        <v>1389</v>
      </c>
      <c r="G56" s="108">
        <v>19795</v>
      </c>
      <c r="H56" s="125">
        <f t="shared" si="0"/>
        <v>2.7830463576158939</v>
      </c>
      <c r="I56" s="125">
        <f t="shared" si="1"/>
        <v>0.36794701986754969</v>
      </c>
      <c r="J56" s="125">
        <f t="shared" si="2"/>
        <v>5.2437086092715228</v>
      </c>
      <c r="K56" s="125">
        <f t="shared" si="3"/>
        <v>14.608856088560886</v>
      </c>
      <c r="L56" s="126">
        <v>528</v>
      </c>
      <c r="M56" s="108">
        <v>1917</v>
      </c>
      <c r="N56" s="108">
        <v>18406</v>
      </c>
      <c r="O56" s="108">
        <v>20323</v>
      </c>
      <c r="P56" s="108">
        <f t="shared" si="8"/>
        <v>5.3835761589403974</v>
      </c>
      <c r="Q56" s="108">
        <v>29939</v>
      </c>
      <c r="R56" s="108">
        <v>23686</v>
      </c>
      <c r="S56" s="125">
        <f t="shared" si="4"/>
        <v>6.274437086092715</v>
      </c>
      <c r="T56" s="108">
        <v>965</v>
      </c>
      <c r="U56" s="125">
        <f t="shared" si="5"/>
        <v>0.25562913907284768</v>
      </c>
      <c r="V56" s="108">
        <v>1514</v>
      </c>
      <c r="W56" s="108">
        <v>2452</v>
      </c>
      <c r="X56" s="108">
        <v>12456</v>
      </c>
      <c r="Y56" s="108">
        <v>6740</v>
      </c>
      <c r="Z56" s="125">
        <f t="shared" si="6"/>
        <v>3.2996026490066224</v>
      </c>
      <c r="AA56" s="125">
        <f t="shared" si="7"/>
        <v>9.1926199261992618</v>
      </c>
      <c r="AB56" s="108">
        <v>862</v>
      </c>
      <c r="AC56" s="78" t="s">
        <v>1643</v>
      </c>
      <c r="AD56" s="126">
        <v>811</v>
      </c>
      <c r="AE56" s="108">
        <v>53625</v>
      </c>
      <c r="AF56" s="108">
        <v>1355</v>
      </c>
      <c r="AG56" s="108">
        <v>3775</v>
      </c>
    </row>
    <row r="57" spans="1:33" ht="15.75" thickBot="1" x14ac:dyDescent="0.3">
      <c r="A57" s="44" t="s">
        <v>1465</v>
      </c>
      <c r="B57" s="107" t="s">
        <v>1466</v>
      </c>
      <c r="C57" s="78" t="s">
        <v>817</v>
      </c>
      <c r="D57" s="108">
        <v>1570</v>
      </c>
      <c r="E57" s="108">
        <v>7768</v>
      </c>
      <c r="F57" s="108">
        <v>142</v>
      </c>
      <c r="G57" s="108">
        <v>9480</v>
      </c>
      <c r="H57" s="125">
        <f t="shared" si="0"/>
        <v>0.50031867431485022</v>
      </c>
      <c r="I57" s="125">
        <f t="shared" si="1"/>
        <v>4.5251752708731677E-2</v>
      </c>
      <c r="J57" s="125">
        <f t="shared" si="2"/>
        <v>3.0210325047801145</v>
      </c>
      <c r="K57" s="125">
        <f t="shared" si="3"/>
        <v>8.5098743267504489</v>
      </c>
      <c r="L57" s="126">
        <v>30</v>
      </c>
      <c r="M57" s="108">
        <v>172</v>
      </c>
      <c r="N57" s="108">
        <v>9338</v>
      </c>
      <c r="O57" s="108">
        <v>9510</v>
      </c>
      <c r="P57" s="108">
        <f t="shared" si="8"/>
        <v>3.0305927342256216</v>
      </c>
      <c r="Q57" s="108">
        <v>10429</v>
      </c>
      <c r="R57" s="108">
        <v>8450</v>
      </c>
      <c r="S57" s="125">
        <f t="shared" si="4"/>
        <v>2.692797960484385</v>
      </c>
      <c r="T57" s="108">
        <v>3700</v>
      </c>
      <c r="U57" s="125">
        <f t="shared" si="5"/>
        <v>1.1790949649458253</v>
      </c>
      <c r="V57" s="108">
        <v>95</v>
      </c>
      <c r="W57" s="108">
        <v>243</v>
      </c>
      <c r="X57" s="108">
        <v>5397</v>
      </c>
      <c r="Y57" s="108">
        <v>6247</v>
      </c>
      <c r="Z57" s="125">
        <f t="shared" si="6"/>
        <v>1.719885277246654</v>
      </c>
      <c r="AA57" s="125">
        <f t="shared" si="7"/>
        <v>4.8447037701974862</v>
      </c>
      <c r="AB57" s="108">
        <v>1197</v>
      </c>
      <c r="AC57" s="78" t="s">
        <v>1643</v>
      </c>
      <c r="AD57" s="126">
        <v>3152</v>
      </c>
      <c r="AE57" s="108">
        <v>18879</v>
      </c>
      <c r="AF57" s="108">
        <v>1114</v>
      </c>
      <c r="AG57" s="108">
        <v>3138</v>
      </c>
    </row>
    <row r="58" spans="1:33" ht="15.75" thickBot="1" x14ac:dyDescent="0.3">
      <c r="A58" s="44" t="s">
        <v>1476</v>
      </c>
      <c r="B58" s="107" t="s">
        <v>1477</v>
      </c>
      <c r="C58" s="78" t="s">
        <v>817</v>
      </c>
      <c r="D58" s="108">
        <v>4251</v>
      </c>
      <c r="E58" s="108">
        <v>13873</v>
      </c>
      <c r="F58" s="108">
        <v>794</v>
      </c>
      <c r="G58" s="108">
        <v>18918</v>
      </c>
      <c r="H58" s="125">
        <f t="shared" si="0"/>
        <v>1.2400816802800467</v>
      </c>
      <c r="I58" s="125">
        <f t="shared" si="1"/>
        <v>0.23162193698949826</v>
      </c>
      <c r="J58" s="125">
        <f t="shared" si="2"/>
        <v>5.5186697782963829</v>
      </c>
      <c r="K58" s="125">
        <f t="shared" si="3"/>
        <v>12.380890052356021</v>
      </c>
      <c r="L58" s="126">
        <v>157</v>
      </c>
      <c r="M58" s="108">
        <v>951</v>
      </c>
      <c r="N58" s="108">
        <v>18124</v>
      </c>
      <c r="O58" s="108">
        <v>19075</v>
      </c>
      <c r="P58" s="108">
        <f t="shared" si="8"/>
        <v>5.5644690781796964</v>
      </c>
      <c r="Q58" s="108">
        <v>12577</v>
      </c>
      <c r="R58" s="108">
        <v>9065</v>
      </c>
      <c r="S58" s="125">
        <f t="shared" si="4"/>
        <v>2.644399066511085</v>
      </c>
      <c r="T58" s="108">
        <v>1460</v>
      </c>
      <c r="U58" s="125">
        <f t="shared" si="5"/>
        <v>0.42590431738623102</v>
      </c>
      <c r="V58" s="108">
        <v>421</v>
      </c>
      <c r="W58" s="108">
        <v>544</v>
      </c>
      <c r="X58" s="108">
        <v>12540</v>
      </c>
      <c r="Y58" s="108">
        <v>3822</v>
      </c>
      <c r="Z58" s="125">
        <f t="shared" si="6"/>
        <v>3.6581096849474912</v>
      </c>
      <c r="AA58" s="125">
        <f t="shared" si="7"/>
        <v>8.2068062827225123</v>
      </c>
      <c r="AB58" s="108">
        <v>1820</v>
      </c>
      <c r="AC58" s="78" t="s">
        <v>1643</v>
      </c>
      <c r="AD58" s="126">
        <v>1038</v>
      </c>
      <c r="AE58" s="108">
        <v>21642</v>
      </c>
      <c r="AF58" s="108">
        <v>1528</v>
      </c>
      <c r="AG58" s="108">
        <v>3428</v>
      </c>
    </row>
    <row r="59" spans="1:33" ht="15.75" thickBot="1" x14ac:dyDescent="0.3">
      <c r="A59" s="44" t="s">
        <v>1478</v>
      </c>
      <c r="B59" s="107" t="s">
        <v>1479</v>
      </c>
      <c r="C59" s="78" t="s">
        <v>817</v>
      </c>
      <c r="D59" s="108">
        <v>2498</v>
      </c>
      <c r="E59" s="108">
        <v>4932</v>
      </c>
      <c r="F59" s="108">
        <v>0</v>
      </c>
      <c r="G59" s="108">
        <v>7430</v>
      </c>
      <c r="H59" s="125">
        <f t="shared" si="0"/>
        <v>1.2929606625258798</v>
      </c>
      <c r="I59" s="125">
        <f t="shared" si="1"/>
        <v>0</v>
      </c>
      <c r="J59" s="125">
        <f t="shared" si="2"/>
        <v>3.8457556935817805</v>
      </c>
      <c r="K59" s="125">
        <f t="shared" si="3"/>
        <v>10.479548660084626</v>
      </c>
      <c r="L59" s="126">
        <v>0</v>
      </c>
      <c r="M59" s="108">
        <v>0</v>
      </c>
      <c r="N59" s="108">
        <v>7430</v>
      </c>
      <c r="O59" s="108">
        <v>7430</v>
      </c>
      <c r="P59" s="108">
        <f t="shared" si="8"/>
        <v>3.8457556935817805</v>
      </c>
      <c r="Q59" s="108">
        <v>14901</v>
      </c>
      <c r="R59" s="108">
        <v>0</v>
      </c>
      <c r="S59" s="125">
        <f t="shared" si="4"/>
        <v>0</v>
      </c>
      <c r="T59" s="108">
        <v>135</v>
      </c>
      <c r="U59" s="125">
        <f t="shared" si="5"/>
        <v>6.9875776397515521E-2</v>
      </c>
      <c r="V59" s="108">
        <v>288</v>
      </c>
      <c r="W59" s="108">
        <v>480</v>
      </c>
      <c r="X59" s="108">
        <v>2587</v>
      </c>
      <c r="Y59" s="108">
        <v>2367</v>
      </c>
      <c r="Z59" s="125">
        <f t="shared" si="6"/>
        <v>1.3390269151138716</v>
      </c>
      <c r="AA59" s="125">
        <f t="shared" si="7"/>
        <v>3.6488011283497883</v>
      </c>
      <c r="AB59" s="108">
        <v>283</v>
      </c>
      <c r="AC59" s="78" t="s">
        <v>1643</v>
      </c>
      <c r="AD59" s="126">
        <v>529</v>
      </c>
      <c r="AE59" s="108">
        <v>14901</v>
      </c>
      <c r="AF59" s="108">
        <v>709</v>
      </c>
      <c r="AG59" s="108">
        <v>1932</v>
      </c>
    </row>
    <row r="60" spans="1:33" ht="15.75" thickBot="1" x14ac:dyDescent="0.3">
      <c r="A60" s="44" t="s">
        <v>1500</v>
      </c>
      <c r="B60" s="107" t="s">
        <v>1501</v>
      </c>
      <c r="C60" s="78" t="s">
        <v>817</v>
      </c>
      <c r="D60" s="108">
        <v>3612</v>
      </c>
      <c r="E60" s="108">
        <v>7528</v>
      </c>
      <c r="F60" s="108">
        <v>454</v>
      </c>
      <c r="G60" s="108">
        <v>11594</v>
      </c>
      <c r="H60" s="125">
        <f t="shared" si="0"/>
        <v>1.5131964809384164</v>
      </c>
      <c r="I60" s="125">
        <f t="shared" si="1"/>
        <v>0.19019689987431923</v>
      </c>
      <c r="J60" s="125">
        <f t="shared" si="2"/>
        <v>4.8571428571428568</v>
      </c>
      <c r="K60" s="125">
        <f t="shared" si="3"/>
        <v>9.5581203627370162</v>
      </c>
      <c r="L60" s="126">
        <v>0</v>
      </c>
      <c r="M60" s="108">
        <v>454</v>
      </c>
      <c r="N60" s="108">
        <v>11140</v>
      </c>
      <c r="O60" s="108">
        <v>11594</v>
      </c>
      <c r="P60" s="108">
        <f t="shared" si="8"/>
        <v>4.8571428571428568</v>
      </c>
      <c r="Q60" s="108">
        <v>23056</v>
      </c>
      <c r="R60" s="108">
        <v>30912</v>
      </c>
      <c r="S60" s="125">
        <f t="shared" si="4"/>
        <v>12.950146627565982</v>
      </c>
      <c r="T60" s="108">
        <v>1170</v>
      </c>
      <c r="U60" s="125">
        <f t="shared" si="5"/>
        <v>0.49015500628403852</v>
      </c>
      <c r="V60" s="108">
        <v>859</v>
      </c>
      <c r="W60" s="108">
        <v>1339</v>
      </c>
      <c r="X60" s="108">
        <v>9840</v>
      </c>
      <c r="Y60" s="108">
        <v>2252</v>
      </c>
      <c r="Z60" s="125">
        <f t="shared" si="6"/>
        <v>4.1223292836196066</v>
      </c>
      <c r="AA60" s="125">
        <f t="shared" si="7"/>
        <v>8.1121187139323983</v>
      </c>
      <c r="AB60" s="108">
        <v>511</v>
      </c>
      <c r="AC60" s="78" t="s">
        <v>1643</v>
      </c>
      <c r="AD60" s="126">
        <v>120</v>
      </c>
      <c r="AE60" s="108">
        <v>53968</v>
      </c>
      <c r="AF60" s="108">
        <v>1213</v>
      </c>
      <c r="AG60" s="108">
        <v>2387</v>
      </c>
    </row>
    <row r="61" spans="1:33" ht="15.75" thickBot="1" x14ac:dyDescent="0.3">
      <c r="A61" s="44" t="s">
        <v>1518</v>
      </c>
      <c r="B61" s="107" t="s">
        <v>1519</v>
      </c>
      <c r="C61" s="78" t="s">
        <v>817</v>
      </c>
      <c r="D61" s="108">
        <v>771</v>
      </c>
      <c r="E61" s="108">
        <v>3402</v>
      </c>
      <c r="F61" s="108">
        <v>665</v>
      </c>
      <c r="G61" s="108">
        <v>4838</v>
      </c>
      <c r="H61" s="125">
        <f t="shared" si="0"/>
        <v>0.41163908168713292</v>
      </c>
      <c r="I61" s="125">
        <f t="shared" si="1"/>
        <v>0.35504538174052325</v>
      </c>
      <c r="J61" s="125">
        <f t="shared" si="2"/>
        <v>2.5830218900160169</v>
      </c>
      <c r="K61" s="125">
        <f t="shared" si="3"/>
        <v>3.8427323272438443</v>
      </c>
      <c r="L61" s="126">
        <v>450</v>
      </c>
      <c r="M61" s="108">
        <v>1115</v>
      </c>
      <c r="N61" s="108">
        <v>4173</v>
      </c>
      <c r="O61" s="108">
        <v>5288</v>
      </c>
      <c r="P61" s="108">
        <f t="shared" si="8"/>
        <v>2.8232781633742658</v>
      </c>
      <c r="Q61" s="108">
        <v>18676</v>
      </c>
      <c r="R61" s="108">
        <v>25171</v>
      </c>
      <c r="S61" s="125">
        <f t="shared" si="4"/>
        <v>13.438868126001069</v>
      </c>
      <c r="T61" s="108">
        <v>480</v>
      </c>
      <c r="U61" s="125">
        <f t="shared" si="5"/>
        <v>0.25627335824879871</v>
      </c>
      <c r="V61" s="108">
        <v>981</v>
      </c>
      <c r="W61" s="108">
        <v>842</v>
      </c>
      <c r="X61" s="108">
        <v>7622</v>
      </c>
      <c r="Y61" s="108">
        <v>4230</v>
      </c>
      <c r="Z61" s="125">
        <f t="shared" si="6"/>
        <v>4.0694073678590499</v>
      </c>
      <c r="AA61" s="125">
        <f t="shared" si="7"/>
        <v>6.0540111199364572</v>
      </c>
      <c r="AB61" s="108">
        <v>682</v>
      </c>
      <c r="AC61" s="78" t="s">
        <v>1643</v>
      </c>
      <c r="AD61" s="126">
        <v>1700</v>
      </c>
      <c r="AE61" s="108">
        <v>43847</v>
      </c>
      <c r="AF61" s="108">
        <v>1259</v>
      </c>
      <c r="AG61" s="108">
        <v>1873</v>
      </c>
    </row>
    <row r="62" spans="1:33" ht="15.75" thickBot="1" x14ac:dyDescent="0.3">
      <c r="A62" s="44" t="s">
        <v>1536</v>
      </c>
      <c r="B62" s="107" t="s">
        <v>1537</v>
      </c>
      <c r="C62" s="78" t="s">
        <v>817</v>
      </c>
      <c r="D62" s="108">
        <v>5120</v>
      </c>
      <c r="E62" s="108">
        <v>9000</v>
      </c>
      <c r="F62" s="108">
        <v>1827</v>
      </c>
      <c r="G62" s="108">
        <v>15947</v>
      </c>
      <c r="H62" s="125">
        <f t="shared" si="0"/>
        <v>3.0992736077481839</v>
      </c>
      <c r="I62" s="125">
        <f t="shared" si="1"/>
        <v>1.1059322033898304</v>
      </c>
      <c r="J62" s="125">
        <f t="shared" si="2"/>
        <v>9.65314769975787</v>
      </c>
      <c r="K62" s="125">
        <f t="shared" si="3"/>
        <v>18.543023255813953</v>
      </c>
      <c r="L62" s="126">
        <v>0</v>
      </c>
      <c r="M62" s="108">
        <v>1827</v>
      </c>
      <c r="N62" s="108">
        <v>14120</v>
      </c>
      <c r="O62" s="108">
        <v>15947</v>
      </c>
      <c r="P62" s="108">
        <f t="shared" si="8"/>
        <v>9.65314769975787</v>
      </c>
      <c r="Q62" s="108">
        <v>10422</v>
      </c>
      <c r="R62" s="108">
        <v>28646</v>
      </c>
      <c r="S62" s="125">
        <f t="shared" si="4"/>
        <v>17.340193704600484</v>
      </c>
      <c r="T62" s="108">
        <v>265</v>
      </c>
      <c r="U62" s="125">
        <f t="shared" si="5"/>
        <v>0.16041162227602906</v>
      </c>
      <c r="V62" s="108">
        <v>0</v>
      </c>
      <c r="W62" s="108">
        <v>20</v>
      </c>
      <c r="X62" s="108">
        <v>4475</v>
      </c>
      <c r="Y62" s="108">
        <v>250</v>
      </c>
      <c r="Z62" s="125">
        <f t="shared" si="6"/>
        <v>2.7088377723970942</v>
      </c>
      <c r="AA62" s="125">
        <f t="shared" si="7"/>
        <v>5.2034883720930232</v>
      </c>
      <c r="AB62" s="108">
        <v>1600</v>
      </c>
      <c r="AC62" s="78" t="s">
        <v>1643</v>
      </c>
      <c r="AD62" s="126">
        <v>1300</v>
      </c>
      <c r="AE62" s="108">
        <v>39068</v>
      </c>
      <c r="AF62" s="108">
        <v>860</v>
      </c>
      <c r="AG62" s="108">
        <v>1652</v>
      </c>
    </row>
    <row r="63" spans="1:33" ht="15.75" thickBot="1" x14ac:dyDescent="0.3">
      <c r="A63" s="44" t="s">
        <v>1548</v>
      </c>
      <c r="B63" s="107" t="s">
        <v>1549</v>
      </c>
      <c r="C63" s="78" t="s">
        <v>817</v>
      </c>
      <c r="D63" s="108">
        <v>4368</v>
      </c>
      <c r="E63" s="108">
        <v>5741</v>
      </c>
      <c r="F63" s="108">
        <v>2012</v>
      </c>
      <c r="G63" s="108">
        <v>12121</v>
      </c>
      <c r="H63" s="125">
        <f t="shared" si="0"/>
        <v>1.1214377406931963</v>
      </c>
      <c r="I63" s="125">
        <f t="shared" si="1"/>
        <v>0.51655969191270856</v>
      </c>
      <c r="J63" s="125">
        <f t="shared" si="2"/>
        <v>3.1119383825417199</v>
      </c>
      <c r="K63" s="125">
        <f t="shared" si="3"/>
        <v>5.071548117154812</v>
      </c>
      <c r="L63" s="126">
        <v>0</v>
      </c>
      <c r="M63" s="108">
        <v>2012</v>
      </c>
      <c r="N63" s="108">
        <v>10109</v>
      </c>
      <c r="O63" s="108">
        <v>12121</v>
      </c>
      <c r="P63" s="108">
        <f t="shared" si="8"/>
        <v>3.1119383825417199</v>
      </c>
      <c r="Q63" s="108">
        <v>22005</v>
      </c>
      <c r="R63" s="108">
        <v>21875</v>
      </c>
      <c r="S63" s="125">
        <f t="shared" si="4"/>
        <v>5.6161745827984593</v>
      </c>
      <c r="T63" s="108">
        <v>925</v>
      </c>
      <c r="U63" s="125">
        <f t="shared" si="5"/>
        <v>0.23748395378690629</v>
      </c>
      <c r="V63" s="108">
        <v>642</v>
      </c>
      <c r="W63" s="108">
        <v>860</v>
      </c>
      <c r="X63" s="108">
        <v>10622</v>
      </c>
      <c r="Y63" s="108">
        <v>2190</v>
      </c>
      <c r="Z63" s="125">
        <f t="shared" si="6"/>
        <v>2.7270860077021823</v>
      </c>
      <c r="AA63" s="125">
        <f t="shared" si="7"/>
        <v>4.4443514644351465</v>
      </c>
      <c r="AB63" s="108">
        <v>1753</v>
      </c>
      <c r="AC63" s="78" t="s">
        <v>1643</v>
      </c>
      <c r="AD63" s="126">
        <v>5944</v>
      </c>
      <c r="AE63" s="108">
        <v>43880</v>
      </c>
      <c r="AF63" s="108">
        <v>2390</v>
      </c>
      <c r="AG63" s="108">
        <v>3895</v>
      </c>
    </row>
    <row r="64" spans="1:33" ht="15.75" thickBot="1" x14ac:dyDescent="0.3">
      <c r="A64" s="44" t="s">
        <v>1554</v>
      </c>
      <c r="B64" s="107" t="s">
        <v>1555</v>
      </c>
      <c r="C64" s="78" t="s">
        <v>817</v>
      </c>
      <c r="D64" s="108">
        <v>1540</v>
      </c>
      <c r="E64" s="108">
        <v>7463</v>
      </c>
      <c r="F64" s="108">
        <v>708</v>
      </c>
      <c r="G64" s="108">
        <v>9711</v>
      </c>
      <c r="H64" s="125">
        <f t="shared" si="0"/>
        <v>0.7142857142857143</v>
      </c>
      <c r="I64" s="125">
        <f t="shared" si="1"/>
        <v>0.32838589981447125</v>
      </c>
      <c r="J64" s="125">
        <f t="shared" si="2"/>
        <v>4.50417439703154</v>
      </c>
      <c r="K64" s="125">
        <f t="shared" si="3"/>
        <v>13.992795389048991</v>
      </c>
      <c r="L64" s="126">
        <v>0</v>
      </c>
      <c r="M64" s="108">
        <v>708</v>
      </c>
      <c r="N64" s="108">
        <v>9003</v>
      </c>
      <c r="O64" s="108">
        <v>9711</v>
      </c>
      <c r="P64" s="108">
        <f t="shared" si="8"/>
        <v>4.50417439703154</v>
      </c>
      <c r="Q64" s="108">
        <v>16106</v>
      </c>
      <c r="R64" s="108">
        <v>12179</v>
      </c>
      <c r="S64" s="125">
        <f t="shared" si="4"/>
        <v>5.6488868274582558</v>
      </c>
      <c r="T64" s="108">
        <v>98</v>
      </c>
      <c r="U64" s="125">
        <f t="shared" si="5"/>
        <v>4.5454545454545456E-2</v>
      </c>
      <c r="V64" s="108">
        <v>509</v>
      </c>
      <c r="W64" s="108">
        <v>559</v>
      </c>
      <c r="X64" s="108">
        <v>7596</v>
      </c>
      <c r="Y64" s="108">
        <v>2489</v>
      </c>
      <c r="Z64" s="125">
        <f t="shared" si="6"/>
        <v>3.5231910946196661</v>
      </c>
      <c r="AA64" s="125">
        <f t="shared" si="7"/>
        <v>10.945244956772335</v>
      </c>
      <c r="AB64" s="108">
        <v>1450</v>
      </c>
      <c r="AC64" s="78" t="s">
        <v>1643</v>
      </c>
      <c r="AD64" s="126">
        <v>2362</v>
      </c>
      <c r="AE64" s="108">
        <v>28285</v>
      </c>
      <c r="AF64" s="108">
        <v>694</v>
      </c>
      <c r="AG64" s="108">
        <v>2156</v>
      </c>
    </row>
    <row r="65" spans="1:33" ht="15.75" thickBot="1" x14ac:dyDescent="0.3">
      <c r="A65" s="44" t="s">
        <v>1556</v>
      </c>
      <c r="B65" s="107" t="s">
        <v>1557</v>
      </c>
      <c r="C65" s="78" t="s">
        <v>817</v>
      </c>
      <c r="D65" s="108">
        <v>3267</v>
      </c>
      <c r="E65" s="108">
        <v>5517</v>
      </c>
      <c r="F65" s="108">
        <v>522</v>
      </c>
      <c r="G65" s="108">
        <v>9306</v>
      </c>
      <c r="H65" s="125">
        <f t="shared" si="0"/>
        <v>1.32</v>
      </c>
      <c r="I65" s="125">
        <f t="shared" si="1"/>
        <v>0.21090909090909091</v>
      </c>
      <c r="J65" s="125">
        <f t="shared" si="2"/>
        <v>3.76</v>
      </c>
      <c r="K65" s="125">
        <f t="shared" si="3"/>
        <v>12.358565737051793</v>
      </c>
      <c r="L65" s="126">
        <v>0</v>
      </c>
      <c r="M65" s="108">
        <v>522</v>
      </c>
      <c r="N65" s="108">
        <v>8784</v>
      </c>
      <c r="O65" s="108">
        <v>9306</v>
      </c>
      <c r="P65" s="108">
        <f t="shared" si="8"/>
        <v>3.76</v>
      </c>
      <c r="Q65" s="108">
        <v>10340</v>
      </c>
      <c r="R65" s="108">
        <v>19550</v>
      </c>
      <c r="S65" s="125">
        <f t="shared" si="4"/>
        <v>7.8989898989898988</v>
      </c>
      <c r="T65" s="108">
        <v>5751</v>
      </c>
      <c r="U65" s="125">
        <f t="shared" si="5"/>
        <v>2.3236363636363637</v>
      </c>
      <c r="V65" s="108">
        <v>609</v>
      </c>
      <c r="W65" s="108">
        <v>896</v>
      </c>
      <c r="X65" s="108">
        <v>8604</v>
      </c>
      <c r="Y65" s="108">
        <v>1743</v>
      </c>
      <c r="Z65" s="125">
        <f t="shared" si="6"/>
        <v>3.4763636363636365</v>
      </c>
      <c r="AA65" s="125">
        <f t="shared" si="7"/>
        <v>11.426294820717132</v>
      </c>
      <c r="AB65" s="108">
        <v>1378</v>
      </c>
      <c r="AC65" s="78" t="s">
        <v>1643</v>
      </c>
      <c r="AD65" s="126">
        <v>9029</v>
      </c>
      <c r="AE65" s="108">
        <v>29890</v>
      </c>
      <c r="AF65" s="108">
        <v>753</v>
      </c>
      <c r="AG65" s="108">
        <v>2475</v>
      </c>
    </row>
    <row r="66" spans="1:33" ht="15.75" thickBot="1" x14ac:dyDescent="0.3">
      <c r="A66" s="44" t="s">
        <v>1558</v>
      </c>
      <c r="B66" s="107" t="s">
        <v>1559</v>
      </c>
      <c r="C66" s="78" t="s">
        <v>817</v>
      </c>
      <c r="D66" s="108">
        <v>2089</v>
      </c>
      <c r="E66" s="108">
        <v>59</v>
      </c>
      <c r="F66" s="108">
        <v>0</v>
      </c>
      <c r="G66" s="108">
        <v>2148</v>
      </c>
      <c r="H66" s="125">
        <f t="shared" si="0"/>
        <v>1.0614837398373984</v>
      </c>
      <c r="I66" s="125">
        <f t="shared" si="1"/>
        <v>0</v>
      </c>
      <c r="J66" s="125">
        <f t="shared" si="2"/>
        <v>1.0914634146341464</v>
      </c>
      <c r="K66" s="125">
        <f t="shared" si="3"/>
        <v>4.0992366412213741</v>
      </c>
      <c r="L66" s="126">
        <v>0</v>
      </c>
      <c r="M66" s="108">
        <v>0</v>
      </c>
      <c r="N66" s="108">
        <v>2148</v>
      </c>
      <c r="O66" s="108">
        <v>2148</v>
      </c>
      <c r="P66" s="108">
        <f t="shared" si="8"/>
        <v>1.0914634146341464</v>
      </c>
      <c r="Q66" s="108">
        <v>12218</v>
      </c>
      <c r="R66" s="108">
        <v>0</v>
      </c>
      <c r="S66" s="125">
        <f t="shared" si="4"/>
        <v>0</v>
      </c>
      <c r="T66" s="108">
        <v>10</v>
      </c>
      <c r="U66" s="125">
        <f t="shared" si="5"/>
        <v>5.08130081300813E-3</v>
      </c>
      <c r="V66" s="108">
        <v>52</v>
      </c>
      <c r="W66" s="108">
        <v>36</v>
      </c>
      <c r="X66" s="108">
        <v>1236</v>
      </c>
      <c r="Y66" s="108">
        <v>0</v>
      </c>
      <c r="Z66" s="125">
        <f t="shared" si="6"/>
        <v>0.62804878048780488</v>
      </c>
      <c r="AA66" s="125">
        <f t="shared" si="7"/>
        <v>2.3587786259541983</v>
      </c>
      <c r="AB66" s="108">
        <v>58</v>
      </c>
      <c r="AC66" s="78" t="s">
        <v>1643</v>
      </c>
      <c r="AD66" s="126" t="s">
        <v>3453</v>
      </c>
      <c r="AE66" s="108">
        <v>12218</v>
      </c>
      <c r="AF66" s="108">
        <v>524</v>
      </c>
      <c r="AG66" s="108">
        <v>1968</v>
      </c>
    </row>
    <row r="67" spans="1:33" ht="15.75" thickBot="1" x14ac:dyDescent="0.3">
      <c r="A67" s="44" t="s">
        <v>1568</v>
      </c>
      <c r="B67" s="107" t="s">
        <v>1569</v>
      </c>
      <c r="C67" s="78" t="s">
        <v>817</v>
      </c>
      <c r="D67" s="108">
        <v>1654</v>
      </c>
      <c r="E67" s="108">
        <v>9635</v>
      </c>
      <c r="F67" s="108">
        <v>106</v>
      </c>
      <c r="G67" s="108">
        <v>11395</v>
      </c>
      <c r="H67" s="125">
        <f t="shared" si="0"/>
        <v>0.7511353315168029</v>
      </c>
      <c r="I67" s="125">
        <f t="shared" si="1"/>
        <v>4.8138056312443236E-2</v>
      </c>
      <c r="J67" s="125">
        <f t="shared" si="2"/>
        <v>5.1748410535876479</v>
      </c>
      <c r="K67" s="125">
        <f t="shared" si="3"/>
        <v>18.588907014681894</v>
      </c>
      <c r="L67" s="126">
        <v>0</v>
      </c>
      <c r="M67" s="108">
        <v>106</v>
      </c>
      <c r="N67" s="108">
        <v>11289</v>
      </c>
      <c r="O67" s="108">
        <v>11395</v>
      </c>
      <c r="P67" s="108">
        <f t="shared" si="8"/>
        <v>5.1748410535876479</v>
      </c>
      <c r="Q67" s="108">
        <v>12112</v>
      </c>
      <c r="R67" s="108">
        <v>11895</v>
      </c>
      <c r="S67" s="125">
        <f t="shared" si="4"/>
        <v>5.4019073569482288</v>
      </c>
      <c r="T67" s="108">
        <v>35</v>
      </c>
      <c r="U67" s="125">
        <f t="shared" si="5"/>
        <v>1.5894641235240689E-2</v>
      </c>
      <c r="V67" s="108">
        <v>26</v>
      </c>
      <c r="W67" s="108">
        <v>156</v>
      </c>
      <c r="X67" s="108">
        <v>4524</v>
      </c>
      <c r="Y67" s="108">
        <v>0</v>
      </c>
      <c r="Z67" s="125">
        <f t="shared" si="6"/>
        <v>2.0544959128065394</v>
      </c>
      <c r="AA67" s="125">
        <f t="shared" si="7"/>
        <v>7.3800978792822187</v>
      </c>
      <c r="AB67" s="108">
        <v>615</v>
      </c>
      <c r="AC67" s="78" t="s">
        <v>1643</v>
      </c>
      <c r="AD67" s="126" t="s">
        <v>3453</v>
      </c>
      <c r="AE67" s="108">
        <v>24007</v>
      </c>
      <c r="AF67" s="108">
        <v>613</v>
      </c>
      <c r="AG67" s="108">
        <v>2202</v>
      </c>
    </row>
    <row r="68" spans="1:33" ht="15.75" thickBot="1" x14ac:dyDescent="0.3">
      <c r="A68" s="44" t="s">
        <v>1580</v>
      </c>
      <c r="B68" s="107" t="s">
        <v>1581</v>
      </c>
      <c r="C68" s="78" t="s">
        <v>817</v>
      </c>
      <c r="D68" s="108">
        <v>521</v>
      </c>
      <c r="E68" s="108">
        <v>2760</v>
      </c>
      <c r="F68" s="108">
        <v>0</v>
      </c>
      <c r="G68" s="108">
        <v>3281</v>
      </c>
      <c r="H68" s="125">
        <f t="shared" ref="H68:H131" si="9">D68/AG68</f>
        <v>0.17885341572262273</v>
      </c>
      <c r="I68" s="125">
        <f t="shared" ref="I68:I131" si="10">F68/AG68</f>
        <v>0</v>
      </c>
      <c r="J68" s="125">
        <f t="shared" ref="J68:J131" si="11">G68/AG68</f>
        <v>1.1263302437349811</v>
      </c>
      <c r="K68" s="125">
        <f t="shared" ref="K68:K131" si="12">G68/AF68</f>
        <v>1.3240516545601291</v>
      </c>
      <c r="L68" s="126">
        <v>0</v>
      </c>
      <c r="M68" s="108">
        <v>0</v>
      </c>
      <c r="N68" s="108">
        <v>3281</v>
      </c>
      <c r="O68" s="108">
        <v>3281</v>
      </c>
      <c r="P68" s="108">
        <f t="shared" si="8"/>
        <v>1.1263302437349811</v>
      </c>
      <c r="Q68" s="108">
        <v>21051</v>
      </c>
      <c r="R68" s="108">
        <v>0</v>
      </c>
      <c r="S68" s="125">
        <f t="shared" ref="S68:S131" si="13">R68/AG68</f>
        <v>0</v>
      </c>
      <c r="T68" s="108">
        <v>320</v>
      </c>
      <c r="U68" s="125">
        <f t="shared" ref="U68:U131" si="14">T68/AG68</f>
        <v>0.10985238585650532</v>
      </c>
      <c r="V68" s="108">
        <v>0</v>
      </c>
      <c r="W68" s="108">
        <v>0</v>
      </c>
      <c r="X68" s="108">
        <v>4848</v>
      </c>
      <c r="Y68" s="78" t="s">
        <v>3453</v>
      </c>
      <c r="Z68" s="125">
        <f t="shared" ref="Z68:Z131" si="15">X68/AG68</f>
        <v>1.6642636457260556</v>
      </c>
      <c r="AA68" s="125">
        <f t="shared" ref="AA68:AA131" si="16">X68/AF68</f>
        <v>1.9564164648910412</v>
      </c>
      <c r="AB68" s="108">
        <v>493</v>
      </c>
      <c r="AC68" s="78" t="s">
        <v>1643</v>
      </c>
      <c r="AD68" s="126">
        <v>299</v>
      </c>
      <c r="AE68" s="108">
        <v>21051</v>
      </c>
      <c r="AF68" s="108">
        <v>2478</v>
      </c>
      <c r="AG68" s="108">
        <v>2913</v>
      </c>
    </row>
    <row r="69" spans="1:33" ht="15.75" thickBot="1" x14ac:dyDescent="0.3">
      <c r="A69" s="44" t="s">
        <v>1592</v>
      </c>
      <c r="B69" s="107" t="s">
        <v>1593</v>
      </c>
      <c r="C69" s="78" t="s">
        <v>817</v>
      </c>
      <c r="D69" s="108">
        <v>1632</v>
      </c>
      <c r="E69" s="108">
        <v>9276</v>
      </c>
      <c r="F69" s="108">
        <v>1520</v>
      </c>
      <c r="G69" s="108">
        <v>12428</v>
      </c>
      <c r="H69" s="125">
        <f t="shared" si="9"/>
        <v>2.8382608695652172</v>
      </c>
      <c r="I69" s="125">
        <f t="shared" si="10"/>
        <v>2.6434782608695651</v>
      </c>
      <c r="J69" s="125">
        <f t="shared" si="11"/>
        <v>21.613913043478259</v>
      </c>
      <c r="K69" s="125">
        <f t="shared" si="12"/>
        <v>16.119325551232166</v>
      </c>
      <c r="L69" s="126">
        <v>4167</v>
      </c>
      <c r="M69" s="108">
        <v>5687</v>
      </c>
      <c r="N69" s="108">
        <v>10908</v>
      </c>
      <c r="O69" s="108">
        <v>16595</v>
      </c>
      <c r="P69" s="108">
        <f t="shared" ref="P69:P132" si="17">O69/AG69</f>
        <v>28.860869565217392</v>
      </c>
      <c r="Q69" s="108">
        <v>15773</v>
      </c>
      <c r="R69" s="108">
        <v>12707</v>
      </c>
      <c r="S69" s="125">
        <f t="shared" si="13"/>
        <v>22.099130434782609</v>
      </c>
      <c r="T69" s="108">
        <v>15</v>
      </c>
      <c r="U69" s="125">
        <f t="shared" si="14"/>
        <v>2.6086956521739129E-2</v>
      </c>
      <c r="V69" s="108">
        <v>6</v>
      </c>
      <c r="W69" s="108">
        <v>33</v>
      </c>
      <c r="X69" s="108">
        <v>4936</v>
      </c>
      <c r="Y69" s="108">
        <v>250</v>
      </c>
      <c r="Z69" s="125">
        <f t="shared" si="15"/>
        <v>8.5843478260869563</v>
      </c>
      <c r="AA69" s="125">
        <f t="shared" si="16"/>
        <v>6.4020752269779511</v>
      </c>
      <c r="AB69" s="108">
        <v>470</v>
      </c>
      <c r="AC69" s="78" t="s">
        <v>1643</v>
      </c>
      <c r="AD69" s="126">
        <v>183</v>
      </c>
      <c r="AE69" s="108">
        <v>28480</v>
      </c>
      <c r="AF69" s="108">
        <v>771</v>
      </c>
      <c r="AG69" s="108">
        <v>575</v>
      </c>
    </row>
    <row r="70" spans="1:33" ht="15.75" thickBot="1" x14ac:dyDescent="0.3">
      <c r="A70" s="44" t="s">
        <v>1600</v>
      </c>
      <c r="B70" s="107" t="s">
        <v>1601</v>
      </c>
      <c r="C70" s="78" t="s">
        <v>817</v>
      </c>
      <c r="D70" s="108">
        <v>2665</v>
      </c>
      <c r="E70" s="108">
        <v>5066</v>
      </c>
      <c r="F70" s="108">
        <v>0</v>
      </c>
      <c r="G70" s="108">
        <v>7731</v>
      </c>
      <c r="H70" s="125">
        <f t="shared" si="9"/>
        <v>0.97333820306793284</v>
      </c>
      <c r="I70" s="125">
        <f t="shared" si="10"/>
        <v>0</v>
      </c>
      <c r="J70" s="125">
        <f t="shared" si="11"/>
        <v>2.8235938641344047</v>
      </c>
      <c r="K70" s="125">
        <f t="shared" si="12"/>
        <v>23.570121951219512</v>
      </c>
      <c r="L70" s="126">
        <v>0</v>
      </c>
      <c r="M70" s="108">
        <v>0</v>
      </c>
      <c r="N70" s="108">
        <v>7731</v>
      </c>
      <c r="O70" s="108">
        <v>7731</v>
      </c>
      <c r="P70" s="108">
        <f t="shared" si="17"/>
        <v>2.8235938641344047</v>
      </c>
      <c r="Q70" s="108">
        <v>34392</v>
      </c>
      <c r="R70" s="108">
        <v>0</v>
      </c>
      <c r="S70" s="125">
        <f t="shared" si="13"/>
        <v>0</v>
      </c>
      <c r="T70" s="108">
        <v>1458</v>
      </c>
      <c r="U70" s="125">
        <f t="shared" si="14"/>
        <v>0.53250547845142437</v>
      </c>
      <c r="V70" s="108">
        <v>4</v>
      </c>
      <c r="W70" s="108">
        <v>90</v>
      </c>
      <c r="X70" s="108">
        <v>8991</v>
      </c>
      <c r="Y70" s="108">
        <v>0</v>
      </c>
      <c r="Z70" s="125">
        <f t="shared" si="15"/>
        <v>3.2837837837837838</v>
      </c>
      <c r="AA70" s="125">
        <f t="shared" si="16"/>
        <v>27.411585365853657</v>
      </c>
      <c r="AB70" s="108">
        <v>1206</v>
      </c>
      <c r="AC70" s="78" t="s">
        <v>1644</v>
      </c>
      <c r="AD70" s="126">
        <v>0</v>
      </c>
      <c r="AE70" s="108">
        <v>34392</v>
      </c>
      <c r="AF70" s="108">
        <v>328</v>
      </c>
      <c r="AG70" s="108">
        <v>2738</v>
      </c>
    </row>
    <row r="71" spans="1:33" ht="15.75" thickBot="1" x14ac:dyDescent="0.3">
      <c r="A71" s="44" t="s">
        <v>796</v>
      </c>
      <c r="B71" s="107" t="s">
        <v>797</v>
      </c>
      <c r="C71" s="78" t="s">
        <v>798</v>
      </c>
      <c r="D71" s="108">
        <v>7484</v>
      </c>
      <c r="E71" s="108">
        <v>20342</v>
      </c>
      <c r="F71" s="108">
        <v>3615</v>
      </c>
      <c r="G71" s="108">
        <v>31441</v>
      </c>
      <c r="H71" s="125">
        <f t="shared" si="9"/>
        <v>1.1783971028184539</v>
      </c>
      <c r="I71" s="125">
        <f t="shared" si="10"/>
        <v>0.56920170051960317</v>
      </c>
      <c r="J71" s="125">
        <f t="shared" si="11"/>
        <v>4.9505589670917969</v>
      </c>
      <c r="K71" s="125">
        <f t="shared" si="12"/>
        <v>16.547894736842107</v>
      </c>
      <c r="L71" s="126">
        <v>2219</v>
      </c>
      <c r="M71" s="108">
        <v>5834</v>
      </c>
      <c r="N71" s="108">
        <v>27826</v>
      </c>
      <c r="O71" s="108">
        <v>33660</v>
      </c>
      <c r="P71" s="108">
        <f t="shared" si="17"/>
        <v>5.2999527633443551</v>
      </c>
      <c r="Q71" s="108">
        <v>26348</v>
      </c>
      <c r="R71" s="108">
        <v>21300</v>
      </c>
      <c r="S71" s="125">
        <f t="shared" si="13"/>
        <v>3.3538025507794047</v>
      </c>
      <c r="T71" s="108">
        <v>2100</v>
      </c>
      <c r="U71" s="125">
        <f t="shared" si="14"/>
        <v>0.33065658951346244</v>
      </c>
      <c r="V71" s="108">
        <v>10000</v>
      </c>
      <c r="W71" s="108">
        <v>5000</v>
      </c>
      <c r="X71" s="108">
        <v>21000</v>
      </c>
      <c r="Y71" s="108">
        <v>11100</v>
      </c>
      <c r="Z71" s="125">
        <f t="shared" si="15"/>
        <v>3.3065658951346246</v>
      </c>
      <c r="AA71" s="125">
        <f t="shared" si="16"/>
        <v>11.052631578947368</v>
      </c>
      <c r="AB71" s="108">
        <v>600</v>
      </c>
      <c r="AC71" s="78" t="s">
        <v>1643</v>
      </c>
      <c r="AD71" s="126">
        <v>1152</v>
      </c>
      <c r="AE71" s="108">
        <v>47648</v>
      </c>
      <c r="AF71" s="108">
        <v>1900</v>
      </c>
      <c r="AG71" s="108">
        <v>6351</v>
      </c>
    </row>
    <row r="72" spans="1:33" ht="15.75" thickBot="1" x14ac:dyDescent="0.3">
      <c r="A72" s="44" t="s">
        <v>827</v>
      </c>
      <c r="B72" s="107" t="s">
        <v>828</v>
      </c>
      <c r="C72" s="78" t="s">
        <v>798</v>
      </c>
      <c r="D72" s="108">
        <v>12481</v>
      </c>
      <c r="E72" s="108">
        <v>15269</v>
      </c>
      <c r="F72" s="108">
        <v>3433</v>
      </c>
      <c r="G72" s="108">
        <v>31183</v>
      </c>
      <c r="H72" s="125">
        <f t="shared" si="9"/>
        <v>1.8959440984353637</v>
      </c>
      <c r="I72" s="125">
        <f t="shared" si="10"/>
        <v>0.52149475922831534</v>
      </c>
      <c r="J72" s="125">
        <f t="shared" si="11"/>
        <v>4.7368980707883948</v>
      </c>
      <c r="K72" s="125">
        <f t="shared" si="12"/>
        <v>10.485205110961667</v>
      </c>
      <c r="L72" s="126">
        <v>0</v>
      </c>
      <c r="M72" s="108">
        <v>3433</v>
      </c>
      <c r="N72" s="108">
        <v>27750</v>
      </c>
      <c r="O72" s="108">
        <v>31183</v>
      </c>
      <c r="P72" s="108">
        <f t="shared" si="17"/>
        <v>4.7368980707883948</v>
      </c>
      <c r="Q72" s="108">
        <v>35086</v>
      </c>
      <c r="R72" s="108">
        <v>18313</v>
      </c>
      <c r="S72" s="125">
        <f t="shared" si="13"/>
        <v>2.7818623727783685</v>
      </c>
      <c r="T72" s="108">
        <v>1800</v>
      </c>
      <c r="U72" s="125">
        <f t="shared" si="14"/>
        <v>0.27343156615524838</v>
      </c>
      <c r="V72" s="108">
        <v>2479</v>
      </c>
      <c r="W72" s="108">
        <v>3152</v>
      </c>
      <c r="X72" s="108">
        <v>28600</v>
      </c>
      <c r="Y72" s="108">
        <v>31786</v>
      </c>
      <c r="Z72" s="125">
        <f t="shared" si="15"/>
        <v>4.344523773355613</v>
      </c>
      <c r="AA72" s="125">
        <f t="shared" si="16"/>
        <v>9.6166778749159381</v>
      </c>
      <c r="AB72" s="108">
        <v>3410</v>
      </c>
      <c r="AC72" s="78" t="s">
        <v>1643</v>
      </c>
      <c r="AD72" s="126">
        <v>5500</v>
      </c>
      <c r="AE72" s="108">
        <v>53399</v>
      </c>
      <c r="AF72" s="108">
        <v>2974</v>
      </c>
      <c r="AG72" s="108">
        <v>6583</v>
      </c>
    </row>
    <row r="73" spans="1:33" ht="15.75" thickBot="1" x14ac:dyDescent="0.3">
      <c r="A73" s="44" t="s">
        <v>838</v>
      </c>
      <c r="B73" s="107" t="s">
        <v>839</v>
      </c>
      <c r="C73" s="78" t="s">
        <v>798</v>
      </c>
      <c r="D73" s="108">
        <v>12089</v>
      </c>
      <c r="E73" s="108">
        <v>21603</v>
      </c>
      <c r="F73" s="108">
        <v>1168</v>
      </c>
      <c r="G73" s="108">
        <v>34860</v>
      </c>
      <c r="H73" s="125">
        <f t="shared" si="9"/>
        <v>2.2474437627811863</v>
      </c>
      <c r="I73" s="125">
        <f t="shared" si="10"/>
        <v>0.2171407324781558</v>
      </c>
      <c r="J73" s="125">
        <f t="shared" si="11"/>
        <v>6.4807585052983825</v>
      </c>
      <c r="K73" s="125">
        <f t="shared" si="12"/>
        <v>16.320224719101123</v>
      </c>
      <c r="L73" s="126">
        <v>0</v>
      </c>
      <c r="M73" s="108">
        <v>1168</v>
      </c>
      <c r="N73" s="108">
        <v>33692</v>
      </c>
      <c r="O73" s="108">
        <v>34860</v>
      </c>
      <c r="P73" s="108">
        <f t="shared" si="17"/>
        <v>6.4807585052983825</v>
      </c>
      <c r="Q73" s="108">
        <v>29117</v>
      </c>
      <c r="R73" s="108">
        <v>9954</v>
      </c>
      <c r="S73" s="125">
        <f t="shared" si="13"/>
        <v>1.8505298382598996</v>
      </c>
      <c r="T73" s="108">
        <v>2214</v>
      </c>
      <c r="U73" s="125">
        <f t="shared" si="14"/>
        <v>0.41160066926938094</v>
      </c>
      <c r="V73" s="108">
        <v>3014</v>
      </c>
      <c r="W73" s="108">
        <v>3925</v>
      </c>
      <c r="X73" s="108">
        <v>21158</v>
      </c>
      <c r="Y73" s="108">
        <v>12870</v>
      </c>
      <c r="Z73" s="125">
        <f t="shared" si="15"/>
        <v>3.9334448782301541</v>
      </c>
      <c r="AA73" s="125">
        <f t="shared" si="16"/>
        <v>9.9054307116104869</v>
      </c>
      <c r="AB73" s="108">
        <v>539</v>
      </c>
      <c r="AC73" s="78" t="s">
        <v>1643</v>
      </c>
      <c r="AD73" s="126">
        <v>6558</v>
      </c>
      <c r="AE73" s="108">
        <v>39071</v>
      </c>
      <c r="AF73" s="108">
        <v>2136</v>
      </c>
      <c r="AG73" s="108">
        <v>5379</v>
      </c>
    </row>
    <row r="74" spans="1:33" ht="15.75" thickBot="1" x14ac:dyDescent="0.3">
      <c r="A74" s="44" t="s">
        <v>842</v>
      </c>
      <c r="B74" s="107" t="s">
        <v>843</v>
      </c>
      <c r="C74" s="78" t="s">
        <v>798</v>
      </c>
      <c r="D74" s="108">
        <v>2626</v>
      </c>
      <c r="E74" s="108">
        <v>3312</v>
      </c>
      <c r="F74" s="108">
        <v>518</v>
      </c>
      <c r="G74" s="108">
        <v>6456</v>
      </c>
      <c r="H74" s="125">
        <f t="shared" si="9"/>
        <v>0.61570926143024618</v>
      </c>
      <c r="I74" s="125">
        <f t="shared" si="10"/>
        <v>0.12145369284876906</v>
      </c>
      <c r="J74" s="125">
        <f t="shared" si="11"/>
        <v>1.5137162954279015</v>
      </c>
      <c r="K74" s="125">
        <f t="shared" si="12"/>
        <v>3.9270072992700729</v>
      </c>
      <c r="L74" s="126">
        <v>518</v>
      </c>
      <c r="M74" s="108">
        <v>1036</v>
      </c>
      <c r="N74" s="108">
        <v>5938</v>
      </c>
      <c r="O74" s="108">
        <v>6974</v>
      </c>
      <c r="P74" s="108">
        <f t="shared" si="17"/>
        <v>1.6351699882766706</v>
      </c>
      <c r="Q74" s="108">
        <v>9905</v>
      </c>
      <c r="R74" s="108">
        <v>518</v>
      </c>
      <c r="S74" s="125">
        <f t="shared" si="13"/>
        <v>0.12145369284876906</v>
      </c>
      <c r="T74" s="108">
        <v>4407</v>
      </c>
      <c r="U74" s="125">
        <f t="shared" si="14"/>
        <v>1.0332942555685816</v>
      </c>
      <c r="V74" s="108">
        <v>589</v>
      </c>
      <c r="W74" s="108">
        <v>453</v>
      </c>
      <c r="X74" s="108">
        <v>6204</v>
      </c>
      <c r="Y74" s="78" t="s">
        <v>3453</v>
      </c>
      <c r="Z74" s="125">
        <f t="shared" si="15"/>
        <v>1.4546307151230951</v>
      </c>
      <c r="AA74" s="125">
        <f t="shared" si="16"/>
        <v>3.7737226277372264</v>
      </c>
      <c r="AB74" s="108">
        <v>816</v>
      </c>
      <c r="AC74" s="78" t="s">
        <v>1643</v>
      </c>
      <c r="AD74" s="126">
        <v>5742</v>
      </c>
      <c r="AE74" s="108">
        <v>10423</v>
      </c>
      <c r="AF74" s="108">
        <v>1644</v>
      </c>
      <c r="AG74" s="108">
        <v>4265</v>
      </c>
    </row>
    <row r="75" spans="1:33" ht="15.75" thickBot="1" x14ac:dyDescent="0.3">
      <c r="A75" s="44" t="s">
        <v>853</v>
      </c>
      <c r="B75" s="107" t="s">
        <v>854</v>
      </c>
      <c r="C75" s="78" t="s">
        <v>798</v>
      </c>
      <c r="D75" s="108">
        <v>6374</v>
      </c>
      <c r="E75" s="108">
        <v>21146</v>
      </c>
      <c r="F75" s="108">
        <v>5457</v>
      </c>
      <c r="G75" s="108">
        <v>32977</v>
      </c>
      <c r="H75" s="125">
        <f t="shared" si="9"/>
        <v>0.96269445703066003</v>
      </c>
      <c r="I75" s="125">
        <f t="shared" si="10"/>
        <v>0.82419574082464886</v>
      </c>
      <c r="J75" s="125">
        <f t="shared" si="11"/>
        <v>4.9806675728741885</v>
      </c>
      <c r="K75" s="125">
        <f t="shared" si="12"/>
        <v>5.2992125984251972</v>
      </c>
      <c r="L75" s="126">
        <v>3049</v>
      </c>
      <c r="M75" s="108">
        <v>8506</v>
      </c>
      <c r="N75" s="108">
        <v>27520</v>
      </c>
      <c r="O75" s="108">
        <v>36026</v>
      </c>
      <c r="P75" s="108">
        <f t="shared" si="17"/>
        <v>5.4411720283945026</v>
      </c>
      <c r="Q75" s="108">
        <v>37747</v>
      </c>
      <c r="R75" s="108">
        <v>18262</v>
      </c>
      <c r="S75" s="125">
        <f t="shared" si="13"/>
        <v>2.7581936263404319</v>
      </c>
      <c r="T75" s="108">
        <v>300</v>
      </c>
      <c r="U75" s="125">
        <f t="shared" si="14"/>
        <v>4.5310376076121435E-2</v>
      </c>
      <c r="V75" s="108">
        <v>2016</v>
      </c>
      <c r="W75" s="108">
        <v>2432</v>
      </c>
      <c r="X75" s="108">
        <v>17040</v>
      </c>
      <c r="Y75" s="108">
        <v>32741</v>
      </c>
      <c r="Z75" s="125">
        <f t="shared" si="15"/>
        <v>2.5736293611236971</v>
      </c>
      <c r="AA75" s="125">
        <f t="shared" si="16"/>
        <v>2.7382291499276876</v>
      </c>
      <c r="AB75" s="108">
        <v>4021</v>
      </c>
      <c r="AC75" s="78" t="s">
        <v>1643</v>
      </c>
      <c r="AD75" s="126">
        <v>20188</v>
      </c>
      <c r="AE75" s="108">
        <v>56009</v>
      </c>
      <c r="AF75" s="108">
        <v>6223</v>
      </c>
      <c r="AG75" s="108">
        <v>6621</v>
      </c>
    </row>
    <row r="76" spans="1:33" ht="15.75" thickBot="1" x14ac:dyDescent="0.3">
      <c r="A76" s="44" t="s">
        <v>857</v>
      </c>
      <c r="B76" s="107" t="s">
        <v>858</v>
      </c>
      <c r="C76" s="78" t="s">
        <v>798</v>
      </c>
      <c r="D76" s="108">
        <v>3481</v>
      </c>
      <c r="E76" s="108">
        <v>10698</v>
      </c>
      <c r="F76" s="108">
        <v>1064</v>
      </c>
      <c r="G76" s="108">
        <v>15243</v>
      </c>
      <c r="H76" s="125">
        <f t="shared" si="9"/>
        <v>0.85423312883435587</v>
      </c>
      <c r="I76" s="125">
        <f t="shared" si="10"/>
        <v>0.26110429447852762</v>
      </c>
      <c r="J76" s="125">
        <f t="shared" si="11"/>
        <v>3.7406134969325153</v>
      </c>
      <c r="K76" s="125">
        <f t="shared" si="12"/>
        <v>6.4154040404040407</v>
      </c>
      <c r="L76" s="126">
        <v>0</v>
      </c>
      <c r="M76" s="108">
        <v>1064</v>
      </c>
      <c r="N76" s="108">
        <v>14179</v>
      </c>
      <c r="O76" s="108">
        <v>15243</v>
      </c>
      <c r="P76" s="108">
        <f t="shared" si="17"/>
        <v>3.7406134969325153</v>
      </c>
      <c r="Q76" s="108">
        <v>29598</v>
      </c>
      <c r="R76" s="108">
        <v>37361</v>
      </c>
      <c r="S76" s="125">
        <f t="shared" si="13"/>
        <v>9.1683435582822081</v>
      </c>
      <c r="T76" s="108">
        <v>458</v>
      </c>
      <c r="U76" s="125">
        <f t="shared" si="14"/>
        <v>0.11239263803680982</v>
      </c>
      <c r="V76" s="108">
        <v>1121</v>
      </c>
      <c r="W76" s="108">
        <v>1736</v>
      </c>
      <c r="X76" s="108">
        <v>11561</v>
      </c>
      <c r="Y76" s="78" t="s">
        <v>3453</v>
      </c>
      <c r="Z76" s="125">
        <f t="shared" si="15"/>
        <v>2.8370552147239265</v>
      </c>
      <c r="AA76" s="125">
        <f t="shared" si="16"/>
        <v>4.8657407407407405</v>
      </c>
      <c r="AB76" s="108">
        <v>3667</v>
      </c>
      <c r="AC76" s="78" t="s">
        <v>1643</v>
      </c>
      <c r="AD76" s="126">
        <v>3959</v>
      </c>
      <c r="AE76" s="108">
        <v>66959</v>
      </c>
      <c r="AF76" s="108">
        <v>2376</v>
      </c>
      <c r="AG76" s="108">
        <v>4075</v>
      </c>
    </row>
    <row r="77" spans="1:33" ht="15.75" thickBot="1" x14ac:dyDescent="0.3">
      <c r="A77" s="44" t="s">
        <v>881</v>
      </c>
      <c r="B77" s="107" t="s">
        <v>882</v>
      </c>
      <c r="C77" s="78" t="s">
        <v>798</v>
      </c>
      <c r="D77" s="108">
        <v>4449</v>
      </c>
      <c r="E77" s="108">
        <v>14339</v>
      </c>
      <c r="F77" s="108">
        <v>1481</v>
      </c>
      <c r="G77" s="108">
        <v>20269</v>
      </c>
      <c r="H77" s="125">
        <f t="shared" si="9"/>
        <v>0.82175840413742152</v>
      </c>
      <c r="I77" s="125">
        <f t="shared" si="10"/>
        <v>0.27355005541189509</v>
      </c>
      <c r="J77" s="125">
        <f t="shared" si="11"/>
        <v>3.7438123383819728</v>
      </c>
      <c r="K77" s="125">
        <f t="shared" si="12"/>
        <v>14.28400281888654</v>
      </c>
      <c r="L77" s="127">
        <v>0</v>
      </c>
      <c r="M77" s="108">
        <v>1481</v>
      </c>
      <c r="N77" s="108">
        <v>18788</v>
      </c>
      <c r="O77" s="108">
        <v>20269</v>
      </c>
      <c r="P77" s="108">
        <f t="shared" si="17"/>
        <v>3.7438123383819728</v>
      </c>
      <c r="Q77" s="108">
        <v>13296</v>
      </c>
      <c r="R77" s="108">
        <v>12711</v>
      </c>
      <c r="S77" s="125">
        <f t="shared" si="13"/>
        <v>2.3478019948282229</v>
      </c>
      <c r="T77" s="108">
        <v>2128</v>
      </c>
      <c r="U77" s="125">
        <f t="shared" si="14"/>
        <v>0.39305504248245288</v>
      </c>
      <c r="V77" s="108">
        <v>1155</v>
      </c>
      <c r="W77" s="108">
        <v>1135</v>
      </c>
      <c r="X77" s="108">
        <v>10063</v>
      </c>
      <c r="Y77" s="108">
        <v>6310</v>
      </c>
      <c r="Z77" s="125">
        <f t="shared" si="15"/>
        <v>1.8586996675286296</v>
      </c>
      <c r="AA77" s="125">
        <f t="shared" si="16"/>
        <v>7.0916138125440451</v>
      </c>
      <c r="AB77" s="108">
        <v>1732</v>
      </c>
      <c r="AC77" s="78" t="s">
        <v>1643</v>
      </c>
      <c r="AD77" s="126">
        <v>1635</v>
      </c>
      <c r="AE77" s="108">
        <v>26007</v>
      </c>
      <c r="AF77" s="108">
        <v>1419</v>
      </c>
      <c r="AG77" s="108">
        <v>5414</v>
      </c>
    </row>
    <row r="78" spans="1:33" ht="15.75" thickBot="1" x14ac:dyDescent="0.3">
      <c r="A78" s="44" t="s">
        <v>903</v>
      </c>
      <c r="B78" s="107" t="s">
        <v>904</v>
      </c>
      <c r="C78" s="78" t="s">
        <v>798</v>
      </c>
      <c r="D78" s="108">
        <v>17262</v>
      </c>
      <c r="E78" s="108">
        <v>28611</v>
      </c>
      <c r="F78" s="108">
        <v>9786</v>
      </c>
      <c r="G78" s="108">
        <v>55659</v>
      </c>
      <c r="H78" s="125">
        <f t="shared" si="9"/>
        <v>2.741740787801779</v>
      </c>
      <c r="I78" s="125">
        <f t="shared" si="10"/>
        <v>1.5543202033036849</v>
      </c>
      <c r="J78" s="125">
        <f t="shared" si="11"/>
        <v>8.8403748411689964</v>
      </c>
      <c r="K78" s="125">
        <f t="shared" si="12"/>
        <v>14.874131480491716</v>
      </c>
      <c r="L78" s="126">
        <v>0</v>
      </c>
      <c r="M78" s="108">
        <v>9786</v>
      </c>
      <c r="N78" s="108">
        <v>45873</v>
      </c>
      <c r="O78" s="108">
        <v>55659</v>
      </c>
      <c r="P78" s="108">
        <f t="shared" si="17"/>
        <v>8.8403748411689964</v>
      </c>
      <c r="Q78" s="108">
        <v>31113</v>
      </c>
      <c r="R78" s="108">
        <v>17946</v>
      </c>
      <c r="S78" s="125">
        <f t="shared" si="13"/>
        <v>2.8503811944091488</v>
      </c>
      <c r="T78" s="108">
        <v>3168</v>
      </c>
      <c r="U78" s="125">
        <f t="shared" si="14"/>
        <v>0.50317662007623887</v>
      </c>
      <c r="V78" s="108">
        <v>2696</v>
      </c>
      <c r="W78" s="108">
        <v>3237</v>
      </c>
      <c r="X78" s="108">
        <v>64635</v>
      </c>
      <c r="Y78" s="108">
        <v>16185</v>
      </c>
      <c r="Z78" s="125">
        <f t="shared" si="15"/>
        <v>10.266041931385006</v>
      </c>
      <c r="AA78" s="125">
        <f t="shared" si="16"/>
        <v>17.272848743987172</v>
      </c>
      <c r="AB78" s="108">
        <v>16185</v>
      </c>
      <c r="AC78" s="78" t="s">
        <v>1643</v>
      </c>
      <c r="AD78" s="126">
        <v>13513</v>
      </c>
      <c r="AE78" s="108">
        <v>49059</v>
      </c>
      <c r="AF78" s="108">
        <v>3742</v>
      </c>
      <c r="AG78" s="108">
        <v>6296</v>
      </c>
    </row>
    <row r="79" spans="1:33" ht="15.75" thickBot="1" x14ac:dyDescent="0.3">
      <c r="A79" s="44" t="s">
        <v>909</v>
      </c>
      <c r="B79" s="107" t="s">
        <v>910</v>
      </c>
      <c r="C79" s="78" t="s">
        <v>798</v>
      </c>
      <c r="D79" s="108">
        <v>2750</v>
      </c>
      <c r="E79" s="108">
        <v>4600</v>
      </c>
      <c r="F79" s="108">
        <v>0</v>
      </c>
      <c r="G79" s="108">
        <v>7350</v>
      </c>
      <c r="H79" s="125">
        <f t="shared" si="9"/>
        <v>0.68664169787765295</v>
      </c>
      <c r="I79" s="125">
        <f t="shared" si="10"/>
        <v>0</v>
      </c>
      <c r="J79" s="125">
        <f t="shared" si="11"/>
        <v>1.8352059925093633</v>
      </c>
      <c r="K79" s="125">
        <f t="shared" si="12"/>
        <v>6.901408450704225</v>
      </c>
      <c r="L79" s="127">
        <v>0</v>
      </c>
      <c r="M79" s="108">
        <v>0</v>
      </c>
      <c r="N79" s="108">
        <v>7350</v>
      </c>
      <c r="O79" s="108">
        <v>7350</v>
      </c>
      <c r="P79" s="108">
        <f t="shared" si="17"/>
        <v>1.8352059925093633</v>
      </c>
      <c r="Q79" s="108">
        <v>14876</v>
      </c>
      <c r="R79" s="108">
        <v>0</v>
      </c>
      <c r="S79" s="125">
        <f t="shared" si="13"/>
        <v>0</v>
      </c>
      <c r="T79" s="108">
        <v>250</v>
      </c>
      <c r="U79" s="125">
        <f t="shared" si="14"/>
        <v>6.2421972534332085E-2</v>
      </c>
      <c r="V79" s="108">
        <v>297</v>
      </c>
      <c r="W79" s="108">
        <v>688</v>
      </c>
      <c r="X79" s="108">
        <v>3150</v>
      </c>
      <c r="Y79" s="108">
        <v>12000</v>
      </c>
      <c r="Z79" s="125">
        <f t="shared" si="15"/>
        <v>0.7865168539325843</v>
      </c>
      <c r="AA79" s="125">
        <f t="shared" si="16"/>
        <v>2.9577464788732395</v>
      </c>
      <c r="AB79" s="108">
        <v>1350</v>
      </c>
      <c r="AC79" s="78" t="s">
        <v>1643</v>
      </c>
      <c r="AD79" s="126">
        <v>650</v>
      </c>
      <c r="AE79" s="108">
        <v>14876</v>
      </c>
      <c r="AF79" s="108">
        <v>1065</v>
      </c>
      <c r="AG79" s="108">
        <v>4005</v>
      </c>
    </row>
    <row r="80" spans="1:33" ht="15.75" thickBot="1" x14ac:dyDescent="0.3">
      <c r="A80" s="44" t="s">
        <v>921</v>
      </c>
      <c r="B80" s="107" t="s">
        <v>922</v>
      </c>
      <c r="C80" s="78" t="s">
        <v>798</v>
      </c>
      <c r="D80" s="108">
        <v>6125</v>
      </c>
      <c r="E80" s="108">
        <v>5923</v>
      </c>
      <c r="F80" s="108">
        <v>752</v>
      </c>
      <c r="G80" s="108">
        <v>12800</v>
      </c>
      <c r="H80" s="125">
        <f t="shared" si="9"/>
        <v>1.4614650441422095</v>
      </c>
      <c r="I80" s="125">
        <f t="shared" si="10"/>
        <v>0.17943211643999046</v>
      </c>
      <c r="J80" s="125">
        <f t="shared" si="11"/>
        <v>3.0541636840849438</v>
      </c>
      <c r="K80" s="125">
        <f t="shared" si="12"/>
        <v>23.146473779385172</v>
      </c>
      <c r="L80" s="126">
        <v>186</v>
      </c>
      <c r="M80" s="108">
        <v>938</v>
      </c>
      <c r="N80" s="108">
        <v>12048</v>
      </c>
      <c r="O80" s="108">
        <v>12986</v>
      </c>
      <c r="P80" s="108">
        <f t="shared" si="17"/>
        <v>3.0985445001193033</v>
      </c>
      <c r="Q80" s="108">
        <v>16706</v>
      </c>
      <c r="R80" s="108">
        <v>13955</v>
      </c>
      <c r="S80" s="125">
        <f t="shared" si="13"/>
        <v>3.3297542352660461</v>
      </c>
      <c r="T80" s="108">
        <v>1495</v>
      </c>
      <c r="U80" s="125">
        <f t="shared" si="14"/>
        <v>0.35671677403960866</v>
      </c>
      <c r="V80" s="108">
        <v>1258</v>
      </c>
      <c r="W80" s="108">
        <v>1486</v>
      </c>
      <c r="X80" s="108">
        <v>7952</v>
      </c>
      <c r="Y80" s="108">
        <v>8654</v>
      </c>
      <c r="Z80" s="125">
        <f t="shared" si="15"/>
        <v>1.8973991887377715</v>
      </c>
      <c r="AA80" s="125">
        <f t="shared" si="16"/>
        <v>14.379746835443038</v>
      </c>
      <c r="AB80" s="108">
        <v>1254</v>
      </c>
      <c r="AC80" s="78" t="s">
        <v>1643</v>
      </c>
      <c r="AD80" s="126">
        <v>435</v>
      </c>
      <c r="AE80" s="108">
        <v>30661</v>
      </c>
      <c r="AF80" s="108">
        <v>553</v>
      </c>
      <c r="AG80" s="108">
        <v>4191</v>
      </c>
    </row>
    <row r="81" spans="1:33" ht="15.75" thickBot="1" x14ac:dyDescent="0.3">
      <c r="A81" s="44" t="s">
        <v>963</v>
      </c>
      <c r="B81" s="107" t="s">
        <v>964</v>
      </c>
      <c r="C81" s="78" t="s">
        <v>798</v>
      </c>
      <c r="D81" s="108">
        <v>3519</v>
      </c>
      <c r="E81" s="108">
        <v>9112</v>
      </c>
      <c r="F81" s="108">
        <v>2726</v>
      </c>
      <c r="G81" s="108">
        <v>15357</v>
      </c>
      <c r="H81" s="125">
        <f t="shared" si="9"/>
        <v>0.76135871916919085</v>
      </c>
      <c r="I81" s="125">
        <f t="shared" si="10"/>
        <v>0.58978797057550847</v>
      </c>
      <c r="J81" s="125">
        <f t="shared" si="11"/>
        <v>3.3225876244050196</v>
      </c>
      <c r="K81" s="125">
        <f t="shared" si="12"/>
        <v>14.542613636363637</v>
      </c>
      <c r="L81" s="126">
        <v>0</v>
      </c>
      <c r="M81" s="108">
        <v>2726</v>
      </c>
      <c r="N81" s="108">
        <v>12631</v>
      </c>
      <c r="O81" s="108">
        <v>15357</v>
      </c>
      <c r="P81" s="108">
        <f t="shared" si="17"/>
        <v>3.3225876244050196</v>
      </c>
      <c r="Q81" s="108">
        <v>29674</v>
      </c>
      <c r="R81" s="108">
        <v>13103</v>
      </c>
      <c r="S81" s="125">
        <f t="shared" si="13"/>
        <v>2.8349199480744267</v>
      </c>
      <c r="T81" s="108">
        <v>342</v>
      </c>
      <c r="U81" s="125">
        <f t="shared" si="14"/>
        <v>7.3993942016443104E-2</v>
      </c>
      <c r="V81" s="108">
        <v>2759</v>
      </c>
      <c r="W81" s="108">
        <v>1578</v>
      </c>
      <c r="X81" s="108">
        <v>20977</v>
      </c>
      <c r="Y81" s="108">
        <v>19682</v>
      </c>
      <c r="Z81" s="125">
        <f t="shared" si="15"/>
        <v>4.5385114668974467</v>
      </c>
      <c r="AA81" s="125">
        <f t="shared" si="16"/>
        <v>19.864583333333332</v>
      </c>
      <c r="AB81" s="108">
        <v>1931</v>
      </c>
      <c r="AC81" s="78" t="s">
        <v>1643</v>
      </c>
      <c r="AD81" s="126">
        <v>557</v>
      </c>
      <c r="AE81" s="108">
        <v>42777</v>
      </c>
      <c r="AF81" s="108">
        <v>1056</v>
      </c>
      <c r="AG81" s="108">
        <v>4622</v>
      </c>
    </row>
    <row r="82" spans="1:33" ht="15.75" thickBot="1" x14ac:dyDescent="0.3">
      <c r="A82" s="44" t="s">
        <v>977</v>
      </c>
      <c r="B82" s="107" t="s">
        <v>978</v>
      </c>
      <c r="C82" s="78" t="s">
        <v>798</v>
      </c>
      <c r="D82" s="108">
        <v>8414</v>
      </c>
      <c r="E82" s="108">
        <v>10283</v>
      </c>
      <c r="F82" s="108">
        <v>1289</v>
      </c>
      <c r="G82" s="108">
        <v>19986</v>
      </c>
      <c r="H82" s="125">
        <f t="shared" si="9"/>
        <v>1.6875250701965503</v>
      </c>
      <c r="I82" s="125">
        <f t="shared" si="10"/>
        <v>0.25852386682711592</v>
      </c>
      <c r="J82" s="125">
        <f t="shared" si="11"/>
        <v>4.008423586040915</v>
      </c>
      <c r="K82" s="125">
        <f t="shared" si="12"/>
        <v>7.3074954296160879</v>
      </c>
      <c r="L82" s="126">
        <v>5038</v>
      </c>
      <c r="M82" s="108">
        <v>6327</v>
      </c>
      <c r="N82" s="108">
        <v>18697</v>
      </c>
      <c r="O82" s="108">
        <v>25024</v>
      </c>
      <c r="P82" s="108">
        <f t="shared" si="17"/>
        <v>5.018852787805856</v>
      </c>
      <c r="Q82" s="108">
        <v>21821</v>
      </c>
      <c r="R82" s="108">
        <v>18511</v>
      </c>
      <c r="S82" s="125">
        <f t="shared" si="13"/>
        <v>3.7125952667468911</v>
      </c>
      <c r="T82" s="108">
        <v>1000</v>
      </c>
      <c r="U82" s="125">
        <f t="shared" si="14"/>
        <v>0.20056157240272765</v>
      </c>
      <c r="V82" s="108">
        <v>736</v>
      </c>
      <c r="W82" s="108">
        <v>606</v>
      </c>
      <c r="X82" s="108">
        <v>11690</v>
      </c>
      <c r="Y82" s="108">
        <v>4236</v>
      </c>
      <c r="Z82" s="125">
        <f t="shared" si="15"/>
        <v>2.344564781387886</v>
      </c>
      <c r="AA82" s="125">
        <f t="shared" si="16"/>
        <v>4.2742230347349182</v>
      </c>
      <c r="AB82" s="108">
        <v>4531</v>
      </c>
      <c r="AC82" s="78" t="s">
        <v>1643</v>
      </c>
      <c r="AD82" s="126">
        <v>489</v>
      </c>
      <c r="AE82" s="108">
        <v>40332</v>
      </c>
      <c r="AF82" s="108">
        <v>2735</v>
      </c>
      <c r="AG82" s="108">
        <v>4986</v>
      </c>
    </row>
    <row r="83" spans="1:33" ht="15.75" thickBot="1" x14ac:dyDescent="0.3">
      <c r="A83" s="44" t="s">
        <v>999</v>
      </c>
      <c r="B83" s="107" t="s">
        <v>1000</v>
      </c>
      <c r="C83" s="78" t="s">
        <v>798</v>
      </c>
      <c r="D83" s="108">
        <v>3114</v>
      </c>
      <c r="E83" s="108">
        <v>6579</v>
      </c>
      <c r="F83" s="108">
        <v>383</v>
      </c>
      <c r="G83" s="108">
        <v>10076</v>
      </c>
      <c r="H83" s="125">
        <f t="shared" si="9"/>
        <v>0.68985378821444399</v>
      </c>
      <c r="I83" s="125">
        <f t="shared" si="10"/>
        <v>8.4847142224191402E-2</v>
      </c>
      <c r="J83" s="125">
        <f t="shared" si="11"/>
        <v>2.2321665928223307</v>
      </c>
      <c r="K83" s="125">
        <f t="shared" si="12"/>
        <v>10.005958291956306</v>
      </c>
      <c r="L83" s="126">
        <v>254</v>
      </c>
      <c r="M83" s="108">
        <v>637</v>
      </c>
      <c r="N83" s="108">
        <v>9693</v>
      </c>
      <c r="O83" s="108">
        <v>10330</v>
      </c>
      <c r="P83" s="108">
        <f t="shared" si="17"/>
        <v>2.2884359769605673</v>
      </c>
      <c r="Q83" s="108">
        <v>9085</v>
      </c>
      <c r="R83" s="108">
        <v>11895</v>
      </c>
      <c r="S83" s="125">
        <f t="shared" si="13"/>
        <v>2.6351351351351351</v>
      </c>
      <c r="T83" s="108">
        <v>780</v>
      </c>
      <c r="U83" s="125">
        <f t="shared" si="14"/>
        <v>0.17279574656623836</v>
      </c>
      <c r="V83" s="108">
        <v>1649</v>
      </c>
      <c r="W83" s="108">
        <v>1464</v>
      </c>
      <c r="X83" s="108">
        <v>4784</v>
      </c>
      <c r="Y83" s="78" t="s">
        <v>3453</v>
      </c>
      <c r="Z83" s="125">
        <f t="shared" si="15"/>
        <v>1.0598139122729286</v>
      </c>
      <c r="AA83" s="125">
        <f t="shared" si="16"/>
        <v>4.750744786494538</v>
      </c>
      <c r="AB83" s="108">
        <v>780</v>
      </c>
      <c r="AC83" s="78" t="s">
        <v>1643</v>
      </c>
      <c r="AD83" s="126">
        <v>260</v>
      </c>
      <c r="AE83" s="108">
        <v>20980</v>
      </c>
      <c r="AF83" s="108">
        <v>1007</v>
      </c>
      <c r="AG83" s="108">
        <v>4514</v>
      </c>
    </row>
    <row r="84" spans="1:33" ht="15.75" thickBot="1" x14ac:dyDescent="0.3">
      <c r="A84" s="44" t="s">
        <v>1013</v>
      </c>
      <c r="B84" s="107" t="s">
        <v>1014</v>
      </c>
      <c r="C84" s="78" t="s">
        <v>798</v>
      </c>
      <c r="D84" s="108">
        <v>3814</v>
      </c>
      <c r="E84" s="108">
        <v>10845</v>
      </c>
      <c r="F84" s="108">
        <v>2709</v>
      </c>
      <c r="G84" s="108">
        <v>17368</v>
      </c>
      <c r="H84" s="125">
        <f t="shared" si="9"/>
        <v>0.55776542848786193</v>
      </c>
      <c r="I84" s="125">
        <f t="shared" si="10"/>
        <v>0.39616847031295699</v>
      </c>
      <c r="J84" s="125">
        <f t="shared" si="11"/>
        <v>2.5399239543726235</v>
      </c>
      <c r="K84" s="125">
        <f t="shared" si="12"/>
        <v>12.576393917451123</v>
      </c>
      <c r="L84" s="126">
        <v>4</v>
      </c>
      <c r="M84" s="108">
        <v>2713</v>
      </c>
      <c r="N84" s="108">
        <v>14659</v>
      </c>
      <c r="O84" s="108">
        <v>17372</v>
      </c>
      <c r="P84" s="108">
        <f t="shared" si="17"/>
        <v>2.5405089207370577</v>
      </c>
      <c r="Q84" s="108">
        <v>14921</v>
      </c>
      <c r="R84" s="108">
        <v>14405</v>
      </c>
      <c r="S84" s="125">
        <f t="shared" si="13"/>
        <v>2.1066101199181047</v>
      </c>
      <c r="T84" s="108">
        <v>2210</v>
      </c>
      <c r="U84" s="125">
        <f t="shared" si="14"/>
        <v>0.32319391634980987</v>
      </c>
      <c r="V84" s="108">
        <v>552</v>
      </c>
      <c r="W84" s="108">
        <v>1027</v>
      </c>
      <c r="X84" s="108">
        <v>11600</v>
      </c>
      <c r="Y84" s="108">
        <v>7253</v>
      </c>
      <c r="Z84" s="125">
        <f t="shared" si="15"/>
        <v>1.6964024568587306</v>
      </c>
      <c r="AA84" s="125">
        <f t="shared" si="16"/>
        <v>8.3997103548153511</v>
      </c>
      <c r="AB84" s="108">
        <v>1348</v>
      </c>
      <c r="AC84" s="78" t="s">
        <v>1643</v>
      </c>
      <c r="AD84" s="126">
        <v>2505</v>
      </c>
      <c r="AE84" s="108">
        <v>29326</v>
      </c>
      <c r="AF84" s="108">
        <v>1381</v>
      </c>
      <c r="AG84" s="108">
        <v>6838</v>
      </c>
    </row>
    <row r="85" spans="1:33" ht="15.75" thickBot="1" x14ac:dyDescent="0.3">
      <c r="A85" s="44" t="s">
        <v>1019</v>
      </c>
      <c r="B85" s="107" t="s">
        <v>1020</v>
      </c>
      <c r="C85" s="78" t="s">
        <v>798</v>
      </c>
      <c r="D85" s="108">
        <v>1426</v>
      </c>
      <c r="E85" s="108">
        <v>9044</v>
      </c>
      <c r="F85" s="108">
        <v>1859</v>
      </c>
      <c r="G85" s="108">
        <v>12329</v>
      </c>
      <c r="H85" s="125">
        <f t="shared" si="9"/>
        <v>0.29287327993427809</v>
      </c>
      <c r="I85" s="125">
        <f t="shared" si="10"/>
        <v>0.38180324501951118</v>
      </c>
      <c r="J85" s="125">
        <f t="shared" si="11"/>
        <v>2.5321421236393511</v>
      </c>
      <c r="K85" s="125">
        <f t="shared" si="12"/>
        <v>6.4414838035527691</v>
      </c>
      <c r="L85" s="126">
        <v>0</v>
      </c>
      <c r="M85" s="108">
        <v>1859</v>
      </c>
      <c r="N85" s="108">
        <v>10470</v>
      </c>
      <c r="O85" s="108">
        <v>12329</v>
      </c>
      <c r="P85" s="108">
        <f t="shared" si="17"/>
        <v>2.5321421236393511</v>
      </c>
      <c r="Q85" s="108">
        <v>17567</v>
      </c>
      <c r="R85" s="108">
        <v>42000</v>
      </c>
      <c r="S85" s="125">
        <f t="shared" si="13"/>
        <v>8.6260012322858906</v>
      </c>
      <c r="T85" s="108">
        <v>300</v>
      </c>
      <c r="U85" s="125">
        <f t="shared" si="14"/>
        <v>6.1614294516327786E-2</v>
      </c>
      <c r="V85" s="108">
        <v>1158</v>
      </c>
      <c r="W85" s="108">
        <v>1752</v>
      </c>
      <c r="X85" s="108">
        <v>7003</v>
      </c>
      <c r="Y85" s="108">
        <v>950</v>
      </c>
      <c r="Z85" s="125">
        <f t="shared" si="15"/>
        <v>1.4382830149928116</v>
      </c>
      <c r="AA85" s="125">
        <f t="shared" si="16"/>
        <v>3.6588296760710555</v>
      </c>
      <c r="AB85" s="108">
        <v>624</v>
      </c>
      <c r="AC85" s="78" t="s">
        <v>1643</v>
      </c>
      <c r="AD85" s="126">
        <v>365</v>
      </c>
      <c r="AE85" s="108">
        <v>59567</v>
      </c>
      <c r="AF85" s="108">
        <v>1914</v>
      </c>
      <c r="AG85" s="108">
        <v>4869</v>
      </c>
    </row>
    <row r="86" spans="1:33" ht="15.75" thickBot="1" x14ac:dyDescent="0.3">
      <c r="A86" s="44" t="s">
        <v>1021</v>
      </c>
      <c r="B86" s="107" t="s">
        <v>1022</v>
      </c>
      <c r="C86" s="78" t="s">
        <v>798</v>
      </c>
      <c r="D86" s="108">
        <v>4174</v>
      </c>
      <c r="E86" s="108">
        <v>7201</v>
      </c>
      <c r="F86" s="108">
        <v>2597</v>
      </c>
      <c r="G86" s="108">
        <v>13972</v>
      </c>
      <c r="H86" s="125">
        <f t="shared" si="9"/>
        <v>0.87541946308724827</v>
      </c>
      <c r="I86" s="125">
        <f t="shared" si="10"/>
        <v>0.54467281879194629</v>
      </c>
      <c r="J86" s="125">
        <f t="shared" si="11"/>
        <v>2.9303691275167787</v>
      </c>
      <c r="K86" s="125">
        <f t="shared" si="12"/>
        <v>7.7450110864745012</v>
      </c>
      <c r="L86" s="126">
        <v>13</v>
      </c>
      <c r="M86" s="108">
        <v>2610</v>
      </c>
      <c r="N86" s="108">
        <v>11375</v>
      </c>
      <c r="O86" s="108">
        <v>13985</v>
      </c>
      <c r="P86" s="108">
        <f t="shared" si="17"/>
        <v>2.9330956375838926</v>
      </c>
      <c r="Q86" s="108">
        <v>26991</v>
      </c>
      <c r="R86" s="108">
        <v>14813</v>
      </c>
      <c r="S86" s="125">
        <f t="shared" si="13"/>
        <v>3.106753355704698</v>
      </c>
      <c r="T86" s="108">
        <v>1171</v>
      </c>
      <c r="U86" s="125">
        <f t="shared" si="14"/>
        <v>0.24559563758389261</v>
      </c>
      <c r="V86" s="108">
        <v>2659</v>
      </c>
      <c r="W86" s="108">
        <v>1517</v>
      </c>
      <c r="X86" s="108">
        <v>23172</v>
      </c>
      <c r="Y86" s="108">
        <v>12782</v>
      </c>
      <c r="Z86" s="125">
        <f t="shared" si="15"/>
        <v>4.8598993288590604</v>
      </c>
      <c r="AA86" s="125">
        <f t="shared" si="16"/>
        <v>12.84478935698448</v>
      </c>
      <c r="AB86" s="108">
        <v>2103</v>
      </c>
      <c r="AC86" s="78" t="s">
        <v>1643</v>
      </c>
      <c r="AD86" s="126">
        <v>1043</v>
      </c>
      <c r="AE86" s="108">
        <v>41804</v>
      </c>
      <c r="AF86" s="108">
        <v>1804</v>
      </c>
      <c r="AG86" s="108">
        <v>4768</v>
      </c>
    </row>
    <row r="87" spans="1:33" ht="15.75" thickBot="1" x14ac:dyDescent="0.3">
      <c r="A87" s="44" t="s">
        <v>1035</v>
      </c>
      <c r="B87" s="107" t="s">
        <v>1036</v>
      </c>
      <c r="C87" s="78" t="s">
        <v>798</v>
      </c>
      <c r="D87" s="108">
        <v>8890</v>
      </c>
      <c r="E87" s="108">
        <v>25736</v>
      </c>
      <c r="F87" s="108">
        <v>5423</v>
      </c>
      <c r="G87" s="108">
        <v>40049</v>
      </c>
      <c r="H87" s="125">
        <f t="shared" si="9"/>
        <v>1.6365979381443299</v>
      </c>
      <c r="I87" s="125">
        <f t="shared" si="10"/>
        <v>0.99834315169366716</v>
      </c>
      <c r="J87" s="125">
        <f t="shared" si="11"/>
        <v>7.3727908689248896</v>
      </c>
      <c r="K87" s="125">
        <f t="shared" si="12"/>
        <v>11.416476624857468</v>
      </c>
      <c r="L87" s="126">
        <v>0</v>
      </c>
      <c r="M87" s="108">
        <v>5423</v>
      </c>
      <c r="N87" s="108">
        <v>34626</v>
      </c>
      <c r="O87" s="108">
        <v>40049</v>
      </c>
      <c r="P87" s="108">
        <f t="shared" si="17"/>
        <v>7.3727908689248896</v>
      </c>
      <c r="Q87" s="108">
        <v>20046</v>
      </c>
      <c r="R87" s="108">
        <v>28937</v>
      </c>
      <c r="S87" s="125">
        <f t="shared" si="13"/>
        <v>5.3271354933726069</v>
      </c>
      <c r="T87" s="108">
        <v>268</v>
      </c>
      <c r="U87" s="125">
        <f t="shared" si="14"/>
        <v>4.9337260677466861E-2</v>
      </c>
      <c r="V87" s="108">
        <v>3828</v>
      </c>
      <c r="W87" s="108">
        <v>2372</v>
      </c>
      <c r="X87" s="108">
        <v>48703</v>
      </c>
      <c r="Y87" s="108">
        <v>53255</v>
      </c>
      <c r="Z87" s="125">
        <f t="shared" si="15"/>
        <v>8.9659425625920477</v>
      </c>
      <c r="AA87" s="125">
        <f t="shared" si="16"/>
        <v>13.883409350057013</v>
      </c>
      <c r="AB87" s="108">
        <v>4848</v>
      </c>
      <c r="AC87" s="78" t="s">
        <v>1643</v>
      </c>
      <c r="AD87" s="126">
        <v>13338</v>
      </c>
      <c r="AE87" s="108">
        <v>48983</v>
      </c>
      <c r="AF87" s="108">
        <v>3508</v>
      </c>
      <c r="AG87" s="108">
        <v>5432</v>
      </c>
    </row>
    <row r="88" spans="1:33" ht="15.75" thickBot="1" x14ac:dyDescent="0.3">
      <c r="A88" s="44" t="s">
        <v>1065</v>
      </c>
      <c r="B88" s="107" t="s">
        <v>1066</v>
      </c>
      <c r="C88" s="78" t="s">
        <v>798</v>
      </c>
      <c r="D88" s="108">
        <v>8924</v>
      </c>
      <c r="E88" s="108">
        <v>18743</v>
      </c>
      <c r="F88" s="108">
        <v>2880</v>
      </c>
      <c r="G88" s="108">
        <v>30547</v>
      </c>
      <c r="H88" s="125">
        <f t="shared" si="9"/>
        <v>1.4477611940298507</v>
      </c>
      <c r="I88" s="125">
        <f t="shared" si="10"/>
        <v>0.46722907203114861</v>
      </c>
      <c r="J88" s="125">
        <f t="shared" si="11"/>
        <v>4.9557105775470474</v>
      </c>
      <c r="K88" s="125">
        <f t="shared" si="12"/>
        <v>7.9528768549856812</v>
      </c>
      <c r="L88" s="126">
        <v>0</v>
      </c>
      <c r="M88" s="108">
        <v>2880</v>
      </c>
      <c r="N88" s="108">
        <v>27667</v>
      </c>
      <c r="O88" s="108">
        <v>30547</v>
      </c>
      <c r="P88" s="108">
        <f t="shared" si="17"/>
        <v>4.9557105775470474</v>
      </c>
      <c r="Q88" s="108">
        <v>19011</v>
      </c>
      <c r="R88" s="108">
        <v>12043</v>
      </c>
      <c r="S88" s="125">
        <f t="shared" si="13"/>
        <v>1.9537637897469176</v>
      </c>
      <c r="T88" s="108">
        <v>5370</v>
      </c>
      <c r="U88" s="125">
        <f t="shared" si="14"/>
        <v>0.87118754055807912</v>
      </c>
      <c r="V88" s="108">
        <v>4056</v>
      </c>
      <c r="W88" s="108">
        <v>2863</v>
      </c>
      <c r="X88" s="108">
        <v>33279</v>
      </c>
      <c r="Y88" s="108">
        <v>7729</v>
      </c>
      <c r="Z88" s="125">
        <f t="shared" si="15"/>
        <v>5.3989292667099287</v>
      </c>
      <c r="AA88" s="125">
        <f t="shared" si="16"/>
        <v>8.66414996094767</v>
      </c>
      <c r="AB88" s="108">
        <v>4835</v>
      </c>
      <c r="AC88" s="78" t="s">
        <v>1643</v>
      </c>
      <c r="AD88" s="126">
        <v>3531</v>
      </c>
      <c r="AE88" s="108">
        <v>31054</v>
      </c>
      <c r="AF88" s="108">
        <v>3841</v>
      </c>
      <c r="AG88" s="108">
        <v>6164</v>
      </c>
    </row>
    <row r="89" spans="1:33" ht="15.75" thickBot="1" x14ac:dyDescent="0.3">
      <c r="A89" s="44" t="s">
        <v>1075</v>
      </c>
      <c r="B89" s="107" t="s">
        <v>1076</v>
      </c>
      <c r="C89" s="78" t="s">
        <v>798</v>
      </c>
      <c r="D89" s="108">
        <v>6301</v>
      </c>
      <c r="E89" s="108">
        <v>12124</v>
      </c>
      <c r="F89" s="108">
        <v>2062</v>
      </c>
      <c r="G89" s="108">
        <v>20487</v>
      </c>
      <c r="H89" s="125">
        <f t="shared" si="9"/>
        <v>1.1170005318205991</v>
      </c>
      <c r="I89" s="125">
        <f t="shared" si="10"/>
        <v>0.36553802517284167</v>
      </c>
      <c r="J89" s="125">
        <f t="shared" si="11"/>
        <v>3.6318028718312356</v>
      </c>
      <c r="K89" s="125">
        <f t="shared" si="12"/>
        <v>24.244970414201184</v>
      </c>
      <c r="L89" s="126">
        <v>0</v>
      </c>
      <c r="M89" s="108">
        <v>2062</v>
      </c>
      <c r="N89" s="108">
        <v>18425</v>
      </c>
      <c r="O89" s="108">
        <v>20487</v>
      </c>
      <c r="P89" s="108">
        <f t="shared" si="17"/>
        <v>3.6318028718312356</v>
      </c>
      <c r="Q89" s="108">
        <v>20209</v>
      </c>
      <c r="R89" s="108">
        <v>11389</v>
      </c>
      <c r="S89" s="125">
        <f t="shared" si="13"/>
        <v>2.018968268037582</v>
      </c>
      <c r="T89" s="108">
        <v>299</v>
      </c>
      <c r="U89" s="125">
        <f t="shared" si="14"/>
        <v>5.300478638539266E-2</v>
      </c>
      <c r="V89" s="108">
        <v>2292</v>
      </c>
      <c r="W89" s="108">
        <v>1886</v>
      </c>
      <c r="X89" s="108">
        <v>7020</v>
      </c>
      <c r="Y89" s="108">
        <v>4807</v>
      </c>
      <c r="Z89" s="125">
        <f t="shared" si="15"/>
        <v>1.2444602020918276</v>
      </c>
      <c r="AA89" s="125">
        <f t="shared" si="16"/>
        <v>8.3076923076923084</v>
      </c>
      <c r="AB89" s="108">
        <v>468</v>
      </c>
      <c r="AC89" s="78" t="s">
        <v>1643</v>
      </c>
      <c r="AD89" s="126">
        <v>3103</v>
      </c>
      <c r="AE89" s="108">
        <v>31598</v>
      </c>
      <c r="AF89" s="108">
        <v>845</v>
      </c>
      <c r="AG89" s="108">
        <v>5641</v>
      </c>
    </row>
    <row r="90" spans="1:33" ht="15.75" thickBot="1" x14ac:dyDescent="0.3">
      <c r="A90" s="44" t="s">
        <v>1119</v>
      </c>
      <c r="B90" s="107" t="s">
        <v>1120</v>
      </c>
      <c r="C90" s="78" t="s">
        <v>798</v>
      </c>
      <c r="D90" s="108">
        <v>11235</v>
      </c>
      <c r="E90" s="108">
        <v>28129</v>
      </c>
      <c r="F90" s="108">
        <v>2761</v>
      </c>
      <c r="G90" s="108">
        <v>42125</v>
      </c>
      <c r="H90" s="125">
        <f t="shared" si="9"/>
        <v>1.8360843275044942</v>
      </c>
      <c r="I90" s="125">
        <f t="shared" si="10"/>
        <v>0.45121751920248404</v>
      </c>
      <c r="J90" s="125">
        <f t="shared" si="11"/>
        <v>6.8842948194149374</v>
      </c>
      <c r="K90" s="125">
        <f t="shared" si="12"/>
        <v>25.089338892197738</v>
      </c>
      <c r="L90" s="126">
        <v>6852</v>
      </c>
      <c r="M90" s="108">
        <v>9613</v>
      </c>
      <c r="N90" s="108">
        <v>39364</v>
      </c>
      <c r="O90" s="108">
        <v>48977</v>
      </c>
      <c r="P90" s="108">
        <f t="shared" si="17"/>
        <v>8.0040856349076641</v>
      </c>
      <c r="Q90" s="108">
        <v>21699</v>
      </c>
      <c r="R90" s="108">
        <v>20669</v>
      </c>
      <c r="S90" s="125">
        <f t="shared" si="13"/>
        <v>3.3778395162608268</v>
      </c>
      <c r="T90" s="108">
        <v>835</v>
      </c>
      <c r="U90" s="125">
        <f t="shared" si="14"/>
        <v>0.13646020591599933</v>
      </c>
      <c r="V90" s="108">
        <v>1380</v>
      </c>
      <c r="W90" s="108">
        <v>2630</v>
      </c>
      <c r="X90" s="108">
        <v>15889</v>
      </c>
      <c r="Y90" s="108">
        <v>0</v>
      </c>
      <c r="Z90" s="125">
        <f t="shared" si="15"/>
        <v>2.5966661219153457</v>
      </c>
      <c r="AA90" s="125">
        <f t="shared" si="16"/>
        <v>9.4633710541989284</v>
      </c>
      <c r="AB90" s="108">
        <v>3853</v>
      </c>
      <c r="AC90" s="78" t="s">
        <v>1643</v>
      </c>
      <c r="AD90" s="126">
        <v>16495</v>
      </c>
      <c r="AE90" s="108">
        <v>42368</v>
      </c>
      <c r="AF90" s="108">
        <v>1679</v>
      </c>
      <c r="AG90" s="108">
        <v>6119</v>
      </c>
    </row>
    <row r="91" spans="1:33" ht="15.75" thickBot="1" x14ac:dyDescent="0.3">
      <c r="A91" s="44" t="s">
        <v>1129</v>
      </c>
      <c r="B91" s="107" t="s">
        <v>1130</v>
      </c>
      <c r="C91" s="78" t="s">
        <v>798</v>
      </c>
      <c r="D91" s="108">
        <v>17102</v>
      </c>
      <c r="E91" s="108">
        <v>16678</v>
      </c>
      <c r="F91" s="108">
        <v>628</v>
      </c>
      <c r="G91" s="108">
        <v>34408</v>
      </c>
      <c r="H91" s="125">
        <f t="shared" si="9"/>
        <v>2.5982983895472502</v>
      </c>
      <c r="I91" s="125">
        <f t="shared" si="10"/>
        <v>9.5411728957763592E-2</v>
      </c>
      <c r="J91" s="125">
        <f t="shared" si="11"/>
        <v>5.2275903980553027</v>
      </c>
      <c r="K91" s="125">
        <f t="shared" si="12"/>
        <v>10.490243902439024</v>
      </c>
      <c r="L91" s="126">
        <v>28</v>
      </c>
      <c r="M91" s="108">
        <v>656</v>
      </c>
      <c r="N91" s="108">
        <v>33780</v>
      </c>
      <c r="O91" s="108">
        <v>34436</v>
      </c>
      <c r="P91" s="108">
        <f t="shared" si="17"/>
        <v>5.2318444241871775</v>
      </c>
      <c r="Q91" s="108">
        <v>57900</v>
      </c>
      <c r="R91" s="108">
        <v>176</v>
      </c>
      <c r="S91" s="125">
        <f t="shared" si="13"/>
        <v>2.6739592828927378E-2</v>
      </c>
      <c r="T91" s="108">
        <v>1948</v>
      </c>
      <c r="U91" s="125">
        <f t="shared" si="14"/>
        <v>0.29595867517471891</v>
      </c>
      <c r="V91" s="108">
        <v>1379</v>
      </c>
      <c r="W91" s="108">
        <v>2096</v>
      </c>
      <c r="X91" s="108">
        <v>29587</v>
      </c>
      <c r="Y91" s="108">
        <v>15045</v>
      </c>
      <c r="Z91" s="125">
        <f t="shared" si="15"/>
        <v>4.4951382558492856</v>
      </c>
      <c r="AA91" s="125">
        <f t="shared" si="16"/>
        <v>9.0204268292682919</v>
      </c>
      <c r="AB91" s="108">
        <v>11456</v>
      </c>
      <c r="AC91" s="78" t="s">
        <v>1643</v>
      </c>
      <c r="AD91" s="126">
        <v>485</v>
      </c>
      <c r="AE91" s="108">
        <v>58076</v>
      </c>
      <c r="AF91" s="108">
        <v>3280</v>
      </c>
      <c r="AG91" s="108">
        <v>6582</v>
      </c>
    </row>
    <row r="92" spans="1:33" ht="15.75" thickBot="1" x14ac:dyDescent="0.3">
      <c r="A92" s="44" t="s">
        <v>1139</v>
      </c>
      <c r="B92" s="107" t="s">
        <v>1140</v>
      </c>
      <c r="C92" s="78" t="s">
        <v>798</v>
      </c>
      <c r="D92" s="108">
        <v>12606</v>
      </c>
      <c r="E92" s="108">
        <v>22419</v>
      </c>
      <c r="F92" s="108">
        <v>2109</v>
      </c>
      <c r="G92" s="108">
        <v>37134</v>
      </c>
      <c r="H92" s="125">
        <f t="shared" si="9"/>
        <v>2.1247261082083262</v>
      </c>
      <c r="I92" s="125">
        <f t="shared" si="10"/>
        <v>0.35546940839372998</v>
      </c>
      <c r="J92" s="125">
        <f t="shared" si="11"/>
        <v>6.2588909489297153</v>
      </c>
      <c r="K92" s="125">
        <f t="shared" si="12"/>
        <v>30.116788321167885</v>
      </c>
      <c r="L92" s="126">
        <v>951</v>
      </c>
      <c r="M92" s="108">
        <v>3060</v>
      </c>
      <c r="N92" s="108">
        <v>35025</v>
      </c>
      <c r="O92" s="108">
        <v>38085</v>
      </c>
      <c r="P92" s="108">
        <f t="shared" si="17"/>
        <v>6.4191808528569023</v>
      </c>
      <c r="Q92" s="108">
        <v>29614</v>
      </c>
      <c r="R92" s="108">
        <v>10293</v>
      </c>
      <c r="S92" s="125">
        <f t="shared" si="13"/>
        <v>1.7348727456598685</v>
      </c>
      <c r="T92" s="108">
        <v>5111</v>
      </c>
      <c r="U92" s="125">
        <f t="shared" si="14"/>
        <v>0.86145289061183217</v>
      </c>
      <c r="V92" s="108">
        <v>2919</v>
      </c>
      <c r="W92" s="108">
        <v>2188</v>
      </c>
      <c r="X92" s="108">
        <v>22844</v>
      </c>
      <c r="Y92" s="108">
        <v>51765</v>
      </c>
      <c r="Z92" s="125">
        <f t="shared" si="15"/>
        <v>3.8503286701500086</v>
      </c>
      <c r="AA92" s="125">
        <f t="shared" si="16"/>
        <v>18.527169505271694</v>
      </c>
      <c r="AB92" s="108">
        <v>0</v>
      </c>
      <c r="AC92" s="78" t="s">
        <v>1643</v>
      </c>
      <c r="AD92" s="126">
        <v>21005</v>
      </c>
      <c r="AE92" s="108">
        <v>39907</v>
      </c>
      <c r="AF92" s="108">
        <v>1233</v>
      </c>
      <c r="AG92" s="108">
        <v>5933</v>
      </c>
    </row>
    <row r="93" spans="1:33" ht="15.75" thickBot="1" x14ac:dyDescent="0.3">
      <c r="A93" s="44" t="s">
        <v>1147</v>
      </c>
      <c r="B93" s="107" t="s">
        <v>1148</v>
      </c>
      <c r="C93" s="78" t="s">
        <v>798</v>
      </c>
      <c r="D93" s="108">
        <v>3630</v>
      </c>
      <c r="E93" s="108">
        <v>7044</v>
      </c>
      <c r="F93" s="108">
        <v>1531</v>
      </c>
      <c r="G93" s="108">
        <v>12205</v>
      </c>
      <c r="H93" s="125">
        <f t="shared" si="9"/>
        <v>0.8601895734597157</v>
      </c>
      <c r="I93" s="125">
        <f t="shared" si="10"/>
        <v>0.36279620853080569</v>
      </c>
      <c r="J93" s="125">
        <f t="shared" si="11"/>
        <v>2.8921800947867298</v>
      </c>
      <c r="K93" s="125">
        <f t="shared" si="12"/>
        <v>13.621651785714286</v>
      </c>
      <c r="L93" s="126">
        <v>0</v>
      </c>
      <c r="M93" s="108">
        <v>1531</v>
      </c>
      <c r="N93" s="108">
        <v>10674</v>
      </c>
      <c r="O93" s="108">
        <v>12205</v>
      </c>
      <c r="P93" s="108">
        <f t="shared" si="17"/>
        <v>2.8921800947867298</v>
      </c>
      <c r="Q93" s="108">
        <v>16698</v>
      </c>
      <c r="R93" s="108">
        <v>28788</v>
      </c>
      <c r="S93" s="125">
        <f t="shared" si="13"/>
        <v>6.821800947867299</v>
      </c>
      <c r="T93" s="108">
        <v>1950</v>
      </c>
      <c r="U93" s="125">
        <f t="shared" si="14"/>
        <v>0.46208530805687204</v>
      </c>
      <c r="V93" s="108">
        <v>2216</v>
      </c>
      <c r="W93" s="108">
        <v>1164</v>
      </c>
      <c r="X93" s="108">
        <v>16500</v>
      </c>
      <c r="Y93" s="108">
        <v>9703</v>
      </c>
      <c r="Z93" s="125">
        <f t="shared" si="15"/>
        <v>3.9099526066350712</v>
      </c>
      <c r="AA93" s="125">
        <f t="shared" si="16"/>
        <v>18.415178571428573</v>
      </c>
      <c r="AB93" s="108">
        <v>2215</v>
      </c>
      <c r="AC93" s="78" t="s">
        <v>1643</v>
      </c>
      <c r="AD93" s="126">
        <v>374</v>
      </c>
      <c r="AE93" s="108">
        <v>45486</v>
      </c>
      <c r="AF93" s="108">
        <v>896</v>
      </c>
      <c r="AG93" s="108">
        <v>4220</v>
      </c>
    </row>
    <row r="94" spans="1:33" ht="15.75" thickBot="1" x14ac:dyDescent="0.3">
      <c r="A94" s="44" t="s">
        <v>1151</v>
      </c>
      <c r="B94" s="107" t="s">
        <v>1152</v>
      </c>
      <c r="C94" s="78" t="s">
        <v>798</v>
      </c>
      <c r="D94" s="108">
        <v>14282</v>
      </c>
      <c r="E94" s="108">
        <v>16823</v>
      </c>
      <c r="F94" s="108">
        <v>38280</v>
      </c>
      <c r="G94" s="108">
        <v>69385</v>
      </c>
      <c r="H94" s="125">
        <f t="shared" si="9"/>
        <v>3.0980477223427334</v>
      </c>
      <c r="I94" s="125">
        <f t="shared" si="10"/>
        <v>8.3036876355748372</v>
      </c>
      <c r="J94" s="125">
        <f t="shared" si="11"/>
        <v>15.050976138828634</v>
      </c>
      <c r="K94" s="125">
        <f t="shared" si="12"/>
        <v>73.971215351812361</v>
      </c>
      <c r="L94" s="126">
        <v>3820</v>
      </c>
      <c r="M94" s="108">
        <v>42100</v>
      </c>
      <c r="N94" s="108">
        <v>31105</v>
      </c>
      <c r="O94" s="108">
        <v>73205</v>
      </c>
      <c r="P94" s="108">
        <f t="shared" si="17"/>
        <v>15.879609544468547</v>
      </c>
      <c r="Q94" s="108">
        <v>26536</v>
      </c>
      <c r="R94" s="108">
        <v>26278</v>
      </c>
      <c r="S94" s="125">
        <f t="shared" si="13"/>
        <v>5.7002169197396961</v>
      </c>
      <c r="T94" s="108">
        <v>3555</v>
      </c>
      <c r="U94" s="125">
        <f t="shared" si="14"/>
        <v>0.77114967462039041</v>
      </c>
      <c r="V94" s="108">
        <v>1648</v>
      </c>
      <c r="W94" s="108">
        <v>1755</v>
      </c>
      <c r="X94" s="108">
        <v>26211</v>
      </c>
      <c r="Y94" s="108">
        <v>6228</v>
      </c>
      <c r="Z94" s="125">
        <f t="shared" si="15"/>
        <v>5.6856832971800433</v>
      </c>
      <c r="AA94" s="125">
        <f t="shared" si="16"/>
        <v>27.943496801705756</v>
      </c>
      <c r="AB94" s="108">
        <v>5511</v>
      </c>
      <c r="AC94" s="78" t="s">
        <v>1643</v>
      </c>
      <c r="AD94" s="126">
        <v>1264</v>
      </c>
      <c r="AE94" s="108">
        <v>52814</v>
      </c>
      <c r="AF94" s="108">
        <v>938</v>
      </c>
      <c r="AG94" s="108">
        <v>4610</v>
      </c>
    </row>
    <row r="95" spans="1:33" ht="15.75" thickBot="1" x14ac:dyDescent="0.3">
      <c r="A95" s="44" t="s">
        <v>1157</v>
      </c>
      <c r="B95" s="107" t="s">
        <v>1158</v>
      </c>
      <c r="C95" s="78" t="s">
        <v>798</v>
      </c>
      <c r="D95" s="108">
        <v>1003</v>
      </c>
      <c r="E95" s="108">
        <v>6267</v>
      </c>
      <c r="F95" s="108">
        <v>276</v>
      </c>
      <c r="G95" s="108">
        <v>7546</v>
      </c>
      <c r="H95" s="125">
        <f t="shared" si="9"/>
        <v>0.1813415295606581</v>
      </c>
      <c r="I95" s="125">
        <f t="shared" si="10"/>
        <v>4.9900560477309709E-2</v>
      </c>
      <c r="J95" s="125">
        <f t="shared" si="11"/>
        <v>1.3643102513107936</v>
      </c>
      <c r="K95" s="125">
        <f t="shared" si="12"/>
        <v>2.4945454545454546</v>
      </c>
      <c r="L95" s="126">
        <v>0</v>
      </c>
      <c r="M95" s="108">
        <v>276</v>
      </c>
      <c r="N95" s="108">
        <v>7270</v>
      </c>
      <c r="O95" s="108">
        <v>7546</v>
      </c>
      <c r="P95" s="108">
        <f t="shared" si="17"/>
        <v>1.3643102513107936</v>
      </c>
      <c r="Q95" s="108">
        <v>22960</v>
      </c>
      <c r="R95" s="108">
        <v>8437</v>
      </c>
      <c r="S95" s="125">
        <f t="shared" si="13"/>
        <v>1.5254022780690653</v>
      </c>
      <c r="T95" s="108">
        <v>871</v>
      </c>
      <c r="U95" s="125">
        <f t="shared" si="14"/>
        <v>0.15747604411498825</v>
      </c>
      <c r="V95" s="108">
        <v>1418</v>
      </c>
      <c r="W95" s="108">
        <v>1818</v>
      </c>
      <c r="X95" s="108">
        <v>7554</v>
      </c>
      <c r="Y95" s="108">
        <v>1400</v>
      </c>
      <c r="Z95" s="125">
        <f t="shared" si="15"/>
        <v>1.3657566443681071</v>
      </c>
      <c r="AA95" s="125">
        <f t="shared" si="16"/>
        <v>2.4971900826446283</v>
      </c>
      <c r="AB95" s="108">
        <v>928</v>
      </c>
      <c r="AC95" s="78" t="s">
        <v>1643</v>
      </c>
      <c r="AD95" s="126">
        <v>320</v>
      </c>
      <c r="AE95" s="108">
        <v>31397</v>
      </c>
      <c r="AF95" s="108">
        <v>3025</v>
      </c>
      <c r="AG95" s="108">
        <v>5531</v>
      </c>
    </row>
    <row r="96" spans="1:33" ht="15.75" thickBot="1" x14ac:dyDescent="0.3">
      <c r="A96" s="44" t="s">
        <v>1161</v>
      </c>
      <c r="B96" s="107" t="s">
        <v>1162</v>
      </c>
      <c r="C96" s="78" t="s">
        <v>798</v>
      </c>
      <c r="D96" s="108">
        <v>3966</v>
      </c>
      <c r="E96" s="108">
        <v>12305</v>
      </c>
      <c r="F96" s="108">
        <v>722</v>
      </c>
      <c r="G96" s="108">
        <v>16993</v>
      </c>
      <c r="H96" s="125">
        <f t="shared" si="9"/>
        <v>0.77658116310945757</v>
      </c>
      <c r="I96" s="125">
        <f t="shared" si="10"/>
        <v>0.14137458390444488</v>
      </c>
      <c r="J96" s="125">
        <f t="shared" si="11"/>
        <v>3.3273937732523988</v>
      </c>
      <c r="K96" s="125">
        <f t="shared" si="12"/>
        <v>11.719310344827587</v>
      </c>
      <c r="L96" s="126">
        <v>200</v>
      </c>
      <c r="M96" s="108">
        <v>922</v>
      </c>
      <c r="N96" s="108">
        <v>16271</v>
      </c>
      <c r="O96" s="108">
        <v>17193</v>
      </c>
      <c r="P96" s="108">
        <f t="shared" si="17"/>
        <v>3.3665557078519677</v>
      </c>
      <c r="Q96" s="108">
        <v>42102</v>
      </c>
      <c r="R96" s="108">
        <v>16000</v>
      </c>
      <c r="S96" s="125">
        <f t="shared" si="13"/>
        <v>3.1329547679655376</v>
      </c>
      <c r="T96" s="108">
        <v>3739</v>
      </c>
      <c r="U96" s="125">
        <f t="shared" si="14"/>
        <v>0.7321323673389466</v>
      </c>
      <c r="V96" s="108">
        <v>314</v>
      </c>
      <c r="W96" s="108">
        <v>249</v>
      </c>
      <c r="X96" s="108">
        <v>11982</v>
      </c>
      <c r="Y96" s="108">
        <v>6224</v>
      </c>
      <c r="Z96" s="125">
        <f t="shared" si="15"/>
        <v>2.3461915018601918</v>
      </c>
      <c r="AA96" s="125">
        <f t="shared" si="16"/>
        <v>8.2634482758620695</v>
      </c>
      <c r="AB96" s="108">
        <v>3209</v>
      </c>
      <c r="AC96" s="78" t="s">
        <v>1643</v>
      </c>
      <c r="AD96" s="126">
        <v>1091</v>
      </c>
      <c r="AE96" s="108">
        <v>58102</v>
      </c>
      <c r="AF96" s="108">
        <v>1450</v>
      </c>
      <c r="AG96" s="108">
        <v>5107</v>
      </c>
    </row>
    <row r="97" spans="1:33" ht="15.75" thickBot="1" x14ac:dyDescent="0.3">
      <c r="A97" s="44" t="s">
        <v>1167</v>
      </c>
      <c r="B97" s="107" t="s">
        <v>1168</v>
      </c>
      <c r="C97" s="78" t="s">
        <v>798</v>
      </c>
      <c r="D97" s="108">
        <v>21481</v>
      </c>
      <c r="E97" s="108">
        <v>36992</v>
      </c>
      <c r="F97" s="108">
        <v>0</v>
      </c>
      <c r="G97" s="108">
        <v>58473</v>
      </c>
      <c r="H97" s="125">
        <f t="shared" si="9"/>
        <v>3.7138658367911481</v>
      </c>
      <c r="I97" s="125">
        <f t="shared" si="10"/>
        <v>0</v>
      </c>
      <c r="J97" s="125">
        <f t="shared" si="11"/>
        <v>10.109439834024895</v>
      </c>
      <c r="K97" s="125">
        <f t="shared" si="12"/>
        <v>0.9113196078736967</v>
      </c>
      <c r="L97" s="126">
        <v>0</v>
      </c>
      <c r="M97" s="108">
        <v>0</v>
      </c>
      <c r="N97" s="108">
        <v>58473</v>
      </c>
      <c r="O97" s="108">
        <v>58473</v>
      </c>
      <c r="P97" s="108">
        <f t="shared" si="17"/>
        <v>10.109439834024895</v>
      </c>
      <c r="Q97" s="108">
        <v>29275</v>
      </c>
      <c r="R97" s="108">
        <v>0</v>
      </c>
      <c r="S97" s="125">
        <f t="shared" si="13"/>
        <v>0</v>
      </c>
      <c r="T97" s="108">
        <v>4152</v>
      </c>
      <c r="U97" s="125">
        <f t="shared" si="14"/>
        <v>0.71784232365145229</v>
      </c>
      <c r="V97" s="108">
        <v>8935</v>
      </c>
      <c r="W97" s="108">
        <v>21197</v>
      </c>
      <c r="X97" s="108">
        <v>54496</v>
      </c>
      <c r="Y97" s="108">
        <v>0</v>
      </c>
      <c r="Z97" s="125">
        <f t="shared" si="15"/>
        <v>9.4218533886583682</v>
      </c>
      <c r="AA97" s="125">
        <f t="shared" si="16"/>
        <v>0.84933684522232444</v>
      </c>
      <c r="AB97" s="108">
        <v>6062</v>
      </c>
      <c r="AC97" s="78" t="s">
        <v>1643</v>
      </c>
      <c r="AD97" s="126">
        <v>10841</v>
      </c>
      <c r="AE97" s="108">
        <v>29275</v>
      </c>
      <c r="AF97" s="108">
        <v>64163</v>
      </c>
      <c r="AG97" s="108">
        <v>5784</v>
      </c>
    </row>
    <row r="98" spans="1:33" ht="15.75" thickBot="1" x14ac:dyDescent="0.3">
      <c r="A98" s="44" t="s">
        <v>1173</v>
      </c>
      <c r="B98" s="107" t="s">
        <v>1174</v>
      </c>
      <c r="C98" s="78" t="s">
        <v>798</v>
      </c>
      <c r="D98" s="108">
        <v>4722</v>
      </c>
      <c r="E98" s="108">
        <v>15504</v>
      </c>
      <c r="F98" s="108">
        <v>3043</v>
      </c>
      <c r="G98" s="108">
        <v>23269</v>
      </c>
      <c r="H98" s="125">
        <f t="shared" si="9"/>
        <v>0.82653597059338346</v>
      </c>
      <c r="I98" s="125">
        <f t="shared" si="10"/>
        <v>0.53264484509014531</v>
      </c>
      <c r="J98" s="125">
        <f t="shared" si="11"/>
        <v>4.0729914230701905</v>
      </c>
      <c r="K98" s="125">
        <f t="shared" si="12"/>
        <v>10.688562241616903</v>
      </c>
      <c r="L98" s="126">
        <v>0</v>
      </c>
      <c r="M98" s="108">
        <v>3043</v>
      </c>
      <c r="N98" s="108">
        <v>20226</v>
      </c>
      <c r="O98" s="108">
        <v>23269</v>
      </c>
      <c r="P98" s="108">
        <f t="shared" si="17"/>
        <v>4.0729914230701905</v>
      </c>
      <c r="Q98" s="108">
        <v>32457</v>
      </c>
      <c r="R98" s="108">
        <v>12711</v>
      </c>
      <c r="S98" s="125">
        <f t="shared" si="13"/>
        <v>2.2249256082618589</v>
      </c>
      <c r="T98" s="108">
        <v>1020</v>
      </c>
      <c r="U98" s="125">
        <f t="shared" si="14"/>
        <v>0.17854017153859619</v>
      </c>
      <c r="V98" s="108">
        <v>1953</v>
      </c>
      <c r="W98" s="108">
        <v>1349</v>
      </c>
      <c r="X98" s="108">
        <v>17500</v>
      </c>
      <c r="Y98" s="108">
        <v>9664</v>
      </c>
      <c r="Z98" s="125">
        <f t="shared" si="15"/>
        <v>3.0631892175739543</v>
      </c>
      <c r="AA98" s="125">
        <f t="shared" si="16"/>
        <v>8.0385852090032159</v>
      </c>
      <c r="AB98" s="108">
        <v>2213</v>
      </c>
      <c r="AC98" s="78" t="s">
        <v>1643</v>
      </c>
      <c r="AD98" s="126">
        <v>3400</v>
      </c>
      <c r="AE98" s="108">
        <v>45168</v>
      </c>
      <c r="AF98" s="108">
        <v>2177</v>
      </c>
      <c r="AG98" s="108">
        <v>5713</v>
      </c>
    </row>
    <row r="99" spans="1:33" ht="15.75" thickBot="1" x14ac:dyDescent="0.3">
      <c r="A99" s="44" t="s">
        <v>1177</v>
      </c>
      <c r="B99" s="107" t="s">
        <v>1178</v>
      </c>
      <c r="C99" s="78" t="s">
        <v>798</v>
      </c>
      <c r="D99" s="108">
        <v>5422</v>
      </c>
      <c r="E99" s="108">
        <v>6625</v>
      </c>
      <c r="F99" s="108">
        <v>2513</v>
      </c>
      <c r="G99" s="108">
        <v>14560</v>
      </c>
      <c r="H99" s="125">
        <f t="shared" si="9"/>
        <v>0.84153344715194789</v>
      </c>
      <c r="I99" s="125">
        <f t="shared" si="10"/>
        <v>0.39003569765637125</v>
      </c>
      <c r="J99" s="125">
        <f t="shared" si="11"/>
        <v>2.2598168555020952</v>
      </c>
      <c r="K99" s="125">
        <f t="shared" si="12"/>
        <v>4.5685597740822086</v>
      </c>
      <c r="L99" s="126">
        <v>0</v>
      </c>
      <c r="M99" s="108">
        <v>2513</v>
      </c>
      <c r="N99" s="108">
        <v>12047</v>
      </c>
      <c r="O99" s="108">
        <v>14560</v>
      </c>
      <c r="P99" s="108">
        <f t="shared" si="17"/>
        <v>2.2598168555020952</v>
      </c>
      <c r="Q99" s="108">
        <v>17760</v>
      </c>
      <c r="R99" s="108">
        <v>20251</v>
      </c>
      <c r="S99" s="125">
        <f t="shared" si="13"/>
        <v>3.1431010398882506</v>
      </c>
      <c r="T99" s="108">
        <v>1275</v>
      </c>
      <c r="U99" s="125">
        <f t="shared" si="14"/>
        <v>0.19788918205804748</v>
      </c>
      <c r="V99" s="108">
        <v>2051</v>
      </c>
      <c r="W99" s="108">
        <v>3608</v>
      </c>
      <c r="X99" s="108">
        <v>10650</v>
      </c>
      <c r="Y99" s="108">
        <v>9746</v>
      </c>
      <c r="Z99" s="125">
        <f t="shared" si="15"/>
        <v>1.6529566971907497</v>
      </c>
      <c r="AA99" s="125">
        <f t="shared" si="16"/>
        <v>3.3417006589268903</v>
      </c>
      <c r="AB99" s="108">
        <v>620</v>
      </c>
      <c r="AC99" s="78" t="s">
        <v>1643</v>
      </c>
      <c r="AD99" s="126">
        <v>2080</v>
      </c>
      <c r="AE99" s="108">
        <v>38011</v>
      </c>
      <c r="AF99" s="108">
        <v>3187</v>
      </c>
      <c r="AG99" s="108">
        <v>6443</v>
      </c>
    </row>
    <row r="100" spans="1:33" ht="15.75" thickBot="1" x14ac:dyDescent="0.3">
      <c r="A100" s="44" t="s">
        <v>1181</v>
      </c>
      <c r="B100" s="107" t="s">
        <v>1182</v>
      </c>
      <c r="C100" s="78" t="s">
        <v>798</v>
      </c>
      <c r="D100" s="108">
        <v>345</v>
      </c>
      <c r="E100" s="108">
        <v>8880</v>
      </c>
      <c r="F100" s="108">
        <v>309</v>
      </c>
      <c r="G100" s="108">
        <v>9534</v>
      </c>
      <c r="H100" s="125">
        <f t="shared" si="9"/>
        <v>8.455882352941177E-2</v>
      </c>
      <c r="I100" s="125">
        <f t="shared" si="10"/>
        <v>7.5735294117647053E-2</v>
      </c>
      <c r="J100" s="125">
        <f t="shared" si="11"/>
        <v>2.3367647058823531</v>
      </c>
      <c r="K100" s="125">
        <f t="shared" si="12"/>
        <v>8.9019607843137258</v>
      </c>
      <c r="L100" s="126">
        <v>3</v>
      </c>
      <c r="M100" s="108">
        <v>312</v>
      </c>
      <c r="N100" s="108">
        <v>9225</v>
      </c>
      <c r="O100" s="108">
        <v>9537</v>
      </c>
      <c r="P100" s="108">
        <f t="shared" si="17"/>
        <v>2.3374999999999999</v>
      </c>
      <c r="Q100" s="108">
        <v>24180</v>
      </c>
      <c r="R100" s="108">
        <v>26266</v>
      </c>
      <c r="S100" s="125">
        <f t="shared" si="13"/>
        <v>6.4377450980392155</v>
      </c>
      <c r="T100" s="108">
        <v>520</v>
      </c>
      <c r="U100" s="125">
        <f t="shared" si="14"/>
        <v>0.12745098039215685</v>
      </c>
      <c r="V100" s="108">
        <v>501</v>
      </c>
      <c r="W100" s="108">
        <v>792</v>
      </c>
      <c r="X100" s="108">
        <v>9300</v>
      </c>
      <c r="Y100" s="108">
        <v>7071</v>
      </c>
      <c r="Z100" s="125">
        <f t="shared" si="15"/>
        <v>2.2794117647058822</v>
      </c>
      <c r="AA100" s="125">
        <f t="shared" si="16"/>
        <v>8.6834733893557416</v>
      </c>
      <c r="AB100" s="108">
        <v>1185</v>
      </c>
      <c r="AC100" s="78" t="s">
        <v>1643</v>
      </c>
      <c r="AD100" s="126">
        <v>225</v>
      </c>
      <c r="AE100" s="108">
        <v>50446</v>
      </c>
      <c r="AF100" s="108">
        <v>1071</v>
      </c>
      <c r="AG100" s="108">
        <v>4080</v>
      </c>
    </row>
    <row r="101" spans="1:33" ht="15.75" thickBot="1" x14ac:dyDescent="0.3">
      <c r="A101" s="44" t="s">
        <v>1183</v>
      </c>
      <c r="B101" s="107" t="s">
        <v>1184</v>
      </c>
      <c r="C101" s="78" t="s">
        <v>798</v>
      </c>
      <c r="D101" s="108">
        <v>11766</v>
      </c>
      <c r="E101" s="108">
        <v>19686</v>
      </c>
      <c r="F101" s="108">
        <v>2443</v>
      </c>
      <c r="G101" s="108">
        <v>33895</v>
      </c>
      <c r="H101" s="125">
        <f t="shared" si="9"/>
        <v>2.2583493282149711</v>
      </c>
      <c r="I101" s="125">
        <f t="shared" si="10"/>
        <v>0.4689059500959693</v>
      </c>
      <c r="J101" s="125">
        <f t="shared" si="11"/>
        <v>6.5057581573896357</v>
      </c>
      <c r="K101" s="125">
        <f t="shared" si="12"/>
        <v>42.210460772104611</v>
      </c>
      <c r="L101" s="126">
        <v>664</v>
      </c>
      <c r="M101" s="108">
        <v>3107</v>
      </c>
      <c r="N101" s="108">
        <v>31452</v>
      </c>
      <c r="O101" s="108">
        <v>34559</v>
      </c>
      <c r="P101" s="108">
        <f t="shared" si="17"/>
        <v>6.6332053742802302</v>
      </c>
      <c r="Q101" s="108">
        <v>30003</v>
      </c>
      <c r="R101" s="108">
        <v>2269</v>
      </c>
      <c r="S101" s="125">
        <f t="shared" si="13"/>
        <v>0.43550863723608446</v>
      </c>
      <c r="T101" s="108">
        <v>9360</v>
      </c>
      <c r="U101" s="125">
        <f t="shared" si="14"/>
        <v>1.7965451055662187</v>
      </c>
      <c r="V101" s="108">
        <v>1162</v>
      </c>
      <c r="W101" s="108">
        <v>1452</v>
      </c>
      <c r="X101" s="108">
        <v>13724</v>
      </c>
      <c r="Y101" s="108">
        <v>10877</v>
      </c>
      <c r="Z101" s="125">
        <f t="shared" si="15"/>
        <v>2.6341650671785031</v>
      </c>
      <c r="AA101" s="125">
        <f t="shared" si="16"/>
        <v>17.09090909090909</v>
      </c>
      <c r="AB101" s="108">
        <v>2110</v>
      </c>
      <c r="AC101" s="78" t="s">
        <v>1643</v>
      </c>
      <c r="AD101" s="126">
        <v>932</v>
      </c>
      <c r="AE101" s="108">
        <v>32272</v>
      </c>
      <c r="AF101" s="108">
        <v>803</v>
      </c>
      <c r="AG101" s="108">
        <v>5210</v>
      </c>
    </row>
    <row r="102" spans="1:33" ht="15.75" thickBot="1" x14ac:dyDescent="0.3">
      <c r="A102" s="44" t="s">
        <v>1185</v>
      </c>
      <c r="B102" s="107" t="s">
        <v>1186</v>
      </c>
      <c r="C102" s="78" t="s">
        <v>798</v>
      </c>
      <c r="D102" s="108">
        <v>5614</v>
      </c>
      <c r="E102" s="108">
        <v>30048</v>
      </c>
      <c r="F102" s="108">
        <v>3689</v>
      </c>
      <c r="G102" s="108">
        <v>39351</v>
      </c>
      <c r="H102" s="125">
        <f t="shared" si="9"/>
        <v>0.80234386165499505</v>
      </c>
      <c r="I102" s="125">
        <f t="shared" si="10"/>
        <v>0.52722595398027727</v>
      </c>
      <c r="J102" s="125">
        <f t="shared" si="11"/>
        <v>5.6239817064456199</v>
      </c>
      <c r="K102" s="125">
        <f t="shared" si="12"/>
        <v>9.4299065420560755</v>
      </c>
      <c r="L102" s="126">
        <v>3020</v>
      </c>
      <c r="M102" s="108">
        <v>6709</v>
      </c>
      <c r="N102" s="108">
        <v>35662</v>
      </c>
      <c r="O102" s="108">
        <v>42371</v>
      </c>
      <c r="P102" s="108">
        <f t="shared" si="17"/>
        <v>6.0555952551093322</v>
      </c>
      <c r="Q102" s="108">
        <v>35227</v>
      </c>
      <c r="R102" s="108">
        <v>36243</v>
      </c>
      <c r="S102" s="125">
        <f t="shared" si="13"/>
        <v>5.1797913391453481</v>
      </c>
      <c r="T102" s="108">
        <v>3250</v>
      </c>
      <c r="U102" s="125">
        <f t="shared" si="14"/>
        <v>0.46448477919108189</v>
      </c>
      <c r="V102" s="108">
        <v>3307</v>
      </c>
      <c r="W102" s="108">
        <v>3689</v>
      </c>
      <c r="X102" s="108">
        <v>15363</v>
      </c>
      <c r="Y102" s="108">
        <v>2178</v>
      </c>
      <c r="Z102" s="125">
        <f t="shared" si="15"/>
        <v>2.1956552808346435</v>
      </c>
      <c r="AA102" s="125">
        <f t="shared" si="16"/>
        <v>3.6815240833932421</v>
      </c>
      <c r="AB102" s="108">
        <v>3192</v>
      </c>
      <c r="AC102" s="78" t="s">
        <v>1643</v>
      </c>
      <c r="AD102" s="126" t="s">
        <v>3453</v>
      </c>
      <c r="AE102" s="108">
        <v>71470</v>
      </c>
      <c r="AF102" s="108">
        <v>4173</v>
      </c>
      <c r="AG102" s="108">
        <v>6997</v>
      </c>
    </row>
    <row r="103" spans="1:33" ht="15.75" thickBot="1" x14ac:dyDescent="0.3">
      <c r="A103" s="44" t="s">
        <v>1197</v>
      </c>
      <c r="B103" s="107" t="s">
        <v>1198</v>
      </c>
      <c r="C103" s="78" t="s">
        <v>798</v>
      </c>
      <c r="D103" s="108">
        <v>17884</v>
      </c>
      <c r="E103" s="108">
        <v>18650</v>
      </c>
      <c r="F103" s="108">
        <v>3043</v>
      </c>
      <c r="G103" s="108">
        <v>39577</v>
      </c>
      <c r="H103" s="125">
        <f t="shared" si="9"/>
        <v>4.2907869481765832</v>
      </c>
      <c r="I103" s="125">
        <f t="shared" si="10"/>
        <v>0.7300863723608445</v>
      </c>
      <c r="J103" s="125">
        <f t="shared" si="11"/>
        <v>9.4954414587332057</v>
      </c>
      <c r="K103" s="125">
        <f t="shared" si="12"/>
        <v>14.282569469505594</v>
      </c>
      <c r="L103" s="126">
        <v>0</v>
      </c>
      <c r="M103" s="108">
        <v>3043</v>
      </c>
      <c r="N103" s="108">
        <v>36534</v>
      </c>
      <c r="O103" s="108">
        <v>39577</v>
      </c>
      <c r="P103" s="108">
        <f t="shared" si="17"/>
        <v>9.4954414587332057</v>
      </c>
      <c r="Q103" s="108">
        <v>35567</v>
      </c>
      <c r="R103" s="108">
        <v>11073</v>
      </c>
      <c r="S103" s="125">
        <f t="shared" si="13"/>
        <v>2.6566698656429941</v>
      </c>
      <c r="T103" s="108">
        <v>4500</v>
      </c>
      <c r="U103" s="125">
        <f t="shared" si="14"/>
        <v>1.079654510556622</v>
      </c>
      <c r="V103" s="108">
        <v>3991</v>
      </c>
      <c r="W103" s="108">
        <v>1670</v>
      </c>
      <c r="X103" s="108">
        <v>18200</v>
      </c>
      <c r="Y103" s="108">
        <v>14400</v>
      </c>
      <c r="Z103" s="125">
        <f t="shared" si="15"/>
        <v>4.3666026871401149</v>
      </c>
      <c r="AA103" s="125">
        <f t="shared" si="16"/>
        <v>6.5680259833994947</v>
      </c>
      <c r="AB103" s="108">
        <v>5741</v>
      </c>
      <c r="AC103" s="78" t="s">
        <v>1643</v>
      </c>
      <c r="AD103" s="126">
        <v>7259</v>
      </c>
      <c r="AE103" s="108">
        <v>46640</v>
      </c>
      <c r="AF103" s="108">
        <v>2771</v>
      </c>
      <c r="AG103" s="108">
        <v>4168</v>
      </c>
    </row>
    <row r="104" spans="1:33" ht="15.75" thickBot="1" x14ac:dyDescent="0.3">
      <c r="A104" s="44" t="s">
        <v>1211</v>
      </c>
      <c r="B104" s="107" t="s">
        <v>1212</v>
      </c>
      <c r="C104" s="78" t="s">
        <v>798</v>
      </c>
      <c r="D104" s="108">
        <v>26787</v>
      </c>
      <c r="E104" s="108">
        <v>35795</v>
      </c>
      <c r="F104" s="108">
        <v>4320</v>
      </c>
      <c r="G104" s="108">
        <v>66902</v>
      </c>
      <c r="H104" s="125">
        <f t="shared" si="9"/>
        <v>5.4290636400486418</v>
      </c>
      <c r="I104" s="125">
        <f t="shared" si="10"/>
        <v>0.87555735711390348</v>
      </c>
      <c r="J104" s="125">
        <f t="shared" si="11"/>
        <v>13.559383867044994</v>
      </c>
      <c r="K104" s="125">
        <f t="shared" si="12"/>
        <v>41.813749999999999</v>
      </c>
      <c r="L104" s="127">
        <v>0</v>
      </c>
      <c r="M104" s="108">
        <v>4320</v>
      </c>
      <c r="N104" s="108">
        <v>62582</v>
      </c>
      <c r="O104" s="108">
        <v>66902</v>
      </c>
      <c r="P104" s="108">
        <f t="shared" si="17"/>
        <v>13.559383867044994</v>
      </c>
      <c r="Q104" s="108">
        <v>36019</v>
      </c>
      <c r="R104" s="108">
        <v>17178</v>
      </c>
      <c r="S104" s="125">
        <f t="shared" si="13"/>
        <v>3.481556546412647</v>
      </c>
      <c r="T104" s="108">
        <v>1248</v>
      </c>
      <c r="U104" s="125">
        <f t="shared" si="14"/>
        <v>0.2529387920551277</v>
      </c>
      <c r="V104" s="108">
        <v>3991</v>
      </c>
      <c r="W104" s="108">
        <v>3243</v>
      </c>
      <c r="X104" s="108">
        <v>29951</v>
      </c>
      <c r="Y104" s="108">
        <v>21662</v>
      </c>
      <c r="Z104" s="125">
        <f t="shared" si="15"/>
        <v>6.0703283340089174</v>
      </c>
      <c r="AA104" s="125">
        <f t="shared" si="16"/>
        <v>18.719374999999999</v>
      </c>
      <c r="AB104" s="108">
        <v>3985</v>
      </c>
      <c r="AC104" s="78" t="s">
        <v>1643</v>
      </c>
      <c r="AD104" s="126">
        <v>6077</v>
      </c>
      <c r="AE104" s="108">
        <v>53197</v>
      </c>
      <c r="AF104" s="108">
        <v>1600</v>
      </c>
      <c r="AG104" s="108">
        <v>4934</v>
      </c>
    </row>
    <row r="105" spans="1:33" ht="15.75" thickBot="1" x14ac:dyDescent="0.3">
      <c r="A105" s="44" t="s">
        <v>1213</v>
      </c>
      <c r="B105" s="107" t="s">
        <v>1214</v>
      </c>
      <c r="C105" s="78" t="s">
        <v>798</v>
      </c>
      <c r="D105" s="108">
        <v>11160</v>
      </c>
      <c r="E105" s="108">
        <v>18815</v>
      </c>
      <c r="F105" s="108">
        <v>5513</v>
      </c>
      <c r="G105" s="108">
        <v>35488</v>
      </c>
      <c r="H105" s="125">
        <f t="shared" si="9"/>
        <v>1.9054123271299299</v>
      </c>
      <c r="I105" s="125">
        <f t="shared" si="10"/>
        <v>0.9412668601673212</v>
      </c>
      <c r="J105" s="125">
        <f t="shared" si="11"/>
        <v>6.059074611575892</v>
      </c>
      <c r="K105" s="125">
        <f t="shared" si="12"/>
        <v>7.5651247068855252</v>
      </c>
      <c r="L105" s="126">
        <v>1062</v>
      </c>
      <c r="M105" s="108">
        <v>6575</v>
      </c>
      <c r="N105" s="108">
        <v>29975</v>
      </c>
      <c r="O105" s="108">
        <v>36550</v>
      </c>
      <c r="P105" s="108">
        <f t="shared" si="17"/>
        <v>6.2403961072221277</v>
      </c>
      <c r="Q105" s="108">
        <v>30261</v>
      </c>
      <c r="R105" s="108">
        <v>31861</v>
      </c>
      <c r="S105" s="125">
        <f t="shared" si="13"/>
        <v>5.4398156052586648</v>
      </c>
      <c r="T105" s="108">
        <v>3900</v>
      </c>
      <c r="U105" s="125">
        <f t="shared" si="14"/>
        <v>0.66586989926583573</v>
      </c>
      <c r="V105" s="108">
        <v>2618</v>
      </c>
      <c r="W105" s="108">
        <v>3052</v>
      </c>
      <c r="X105" s="108">
        <v>29485</v>
      </c>
      <c r="Y105" s="108">
        <v>7727</v>
      </c>
      <c r="Z105" s="125">
        <f t="shared" si="15"/>
        <v>5.0341471743213253</v>
      </c>
      <c r="AA105" s="125">
        <f t="shared" si="16"/>
        <v>6.2854402046471964</v>
      </c>
      <c r="AB105" s="108">
        <v>2932</v>
      </c>
      <c r="AC105" s="78" t="s">
        <v>1643</v>
      </c>
      <c r="AD105" s="126">
        <v>4994</v>
      </c>
      <c r="AE105" s="108">
        <v>62122</v>
      </c>
      <c r="AF105" s="108">
        <v>4691</v>
      </c>
      <c r="AG105" s="108">
        <v>5857</v>
      </c>
    </row>
    <row r="106" spans="1:33" ht="15.75" thickBot="1" x14ac:dyDescent="0.3">
      <c r="A106" s="44" t="s">
        <v>1233</v>
      </c>
      <c r="B106" s="107" t="s">
        <v>1234</v>
      </c>
      <c r="C106" s="78" t="s">
        <v>798</v>
      </c>
      <c r="D106" s="108">
        <v>1231</v>
      </c>
      <c r="E106" s="108">
        <v>4750</v>
      </c>
      <c r="F106" s="108">
        <v>95</v>
      </c>
      <c r="G106" s="108">
        <v>6076</v>
      </c>
      <c r="H106" s="125">
        <f t="shared" si="9"/>
        <v>0.2972711905336875</v>
      </c>
      <c r="I106" s="125">
        <f t="shared" si="10"/>
        <v>2.2941318522096112E-2</v>
      </c>
      <c r="J106" s="125">
        <f t="shared" si="11"/>
        <v>1.4672784351605892</v>
      </c>
      <c r="K106" s="125">
        <f t="shared" si="12"/>
        <v>3.5699177438307874</v>
      </c>
      <c r="L106" s="127">
        <v>0</v>
      </c>
      <c r="M106" s="108">
        <v>95</v>
      </c>
      <c r="N106" s="108">
        <v>5981</v>
      </c>
      <c r="O106" s="108">
        <v>6076</v>
      </c>
      <c r="P106" s="108">
        <f t="shared" si="17"/>
        <v>1.4672784351605892</v>
      </c>
      <c r="Q106" s="108">
        <v>19271</v>
      </c>
      <c r="R106" s="108">
        <v>42483</v>
      </c>
      <c r="S106" s="125">
        <f t="shared" si="13"/>
        <v>10.25911615551799</v>
      </c>
      <c r="T106" s="108">
        <v>410</v>
      </c>
      <c r="U106" s="125">
        <f t="shared" si="14"/>
        <v>9.9009900990099015E-2</v>
      </c>
      <c r="V106" s="108">
        <v>92</v>
      </c>
      <c r="W106" s="108">
        <v>15</v>
      </c>
      <c r="X106" s="108">
        <v>7644</v>
      </c>
      <c r="Y106" s="108">
        <v>711</v>
      </c>
      <c r="Z106" s="125">
        <f t="shared" si="15"/>
        <v>1.8459309345568704</v>
      </c>
      <c r="AA106" s="125">
        <f t="shared" si="16"/>
        <v>4.4911868390129257</v>
      </c>
      <c r="AB106" s="108">
        <v>1088</v>
      </c>
      <c r="AC106" s="78" t="s">
        <v>1643</v>
      </c>
      <c r="AD106" s="126">
        <v>2318</v>
      </c>
      <c r="AE106" s="108">
        <v>61754</v>
      </c>
      <c r="AF106" s="108">
        <v>1702</v>
      </c>
      <c r="AG106" s="108">
        <v>4141</v>
      </c>
    </row>
    <row r="107" spans="1:33" ht="15.75" thickBot="1" x14ac:dyDescent="0.3">
      <c r="A107" s="44" t="s">
        <v>1239</v>
      </c>
      <c r="B107" s="107" t="s">
        <v>1240</v>
      </c>
      <c r="C107" s="78" t="s">
        <v>798</v>
      </c>
      <c r="D107" s="108">
        <v>2395</v>
      </c>
      <c r="E107" s="108">
        <v>6097</v>
      </c>
      <c r="F107" s="108">
        <v>0</v>
      </c>
      <c r="G107" s="108">
        <v>8492</v>
      </c>
      <c r="H107" s="125">
        <f t="shared" si="9"/>
        <v>0.57064569930903031</v>
      </c>
      <c r="I107" s="125">
        <f t="shared" si="10"/>
        <v>0</v>
      </c>
      <c r="J107" s="125">
        <f t="shared" si="11"/>
        <v>2.0233500119132715</v>
      </c>
      <c r="K107" s="125">
        <f t="shared" si="12"/>
        <v>2.5425149700598801</v>
      </c>
      <c r="L107" s="126">
        <v>0</v>
      </c>
      <c r="M107" s="108">
        <v>0</v>
      </c>
      <c r="N107" s="108">
        <v>8492</v>
      </c>
      <c r="O107" s="108">
        <v>8492</v>
      </c>
      <c r="P107" s="108">
        <f t="shared" si="17"/>
        <v>2.0233500119132715</v>
      </c>
      <c r="Q107" s="108">
        <v>22896</v>
      </c>
      <c r="R107" s="108">
        <v>0</v>
      </c>
      <c r="S107" s="125">
        <f t="shared" si="13"/>
        <v>0</v>
      </c>
      <c r="T107" s="108">
        <v>295</v>
      </c>
      <c r="U107" s="125">
        <f t="shared" si="14"/>
        <v>7.0288301167500594E-2</v>
      </c>
      <c r="V107" s="108">
        <v>56</v>
      </c>
      <c r="W107" s="108">
        <v>433</v>
      </c>
      <c r="X107" s="108">
        <v>12499</v>
      </c>
      <c r="Y107" s="108">
        <v>13301</v>
      </c>
      <c r="Z107" s="125">
        <f t="shared" si="15"/>
        <v>2.9780795806528473</v>
      </c>
      <c r="AA107" s="125">
        <f t="shared" si="16"/>
        <v>3.7422155688622754</v>
      </c>
      <c r="AB107" s="108">
        <v>2900</v>
      </c>
      <c r="AC107" s="78" t="s">
        <v>1643</v>
      </c>
      <c r="AD107" s="126">
        <v>3350</v>
      </c>
      <c r="AE107" s="108">
        <v>22896</v>
      </c>
      <c r="AF107" s="108">
        <v>3340</v>
      </c>
      <c r="AG107" s="108">
        <v>4197</v>
      </c>
    </row>
    <row r="108" spans="1:33" ht="15.75" thickBot="1" x14ac:dyDescent="0.3">
      <c r="A108" s="44" t="s">
        <v>1245</v>
      </c>
      <c r="B108" s="107" t="s">
        <v>1246</v>
      </c>
      <c r="C108" s="78" t="s">
        <v>798</v>
      </c>
      <c r="D108" s="108">
        <v>7144</v>
      </c>
      <c r="E108" s="108">
        <v>20572</v>
      </c>
      <c r="F108" s="108">
        <v>3472</v>
      </c>
      <c r="G108" s="108">
        <v>31188</v>
      </c>
      <c r="H108" s="125">
        <f t="shared" si="9"/>
        <v>1.409629044988161</v>
      </c>
      <c r="I108" s="125">
        <f t="shared" si="10"/>
        <v>0.68508287292817682</v>
      </c>
      <c r="J108" s="125">
        <f t="shared" si="11"/>
        <v>6.1539068666140491</v>
      </c>
      <c r="K108" s="125">
        <f t="shared" si="12"/>
        <v>11.23891891891892</v>
      </c>
      <c r="L108" s="126">
        <v>0</v>
      </c>
      <c r="M108" s="108">
        <v>3472</v>
      </c>
      <c r="N108" s="108">
        <v>27716</v>
      </c>
      <c r="O108" s="108">
        <v>31188</v>
      </c>
      <c r="P108" s="108">
        <f t="shared" si="17"/>
        <v>6.1539068666140491</v>
      </c>
      <c r="Q108" s="108">
        <v>53434</v>
      </c>
      <c r="R108" s="108">
        <v>28968</v>
      </c>
      <c r="S108" s="125">
        <f t="shared" si="13"/>
        <v>5.7158642462509865</v>
      </c>
      <c r="T108" s="108">
        <v>2822</v>
      </c>
      <c r="U108" s="125">
        <f t="shared" si="14"/>
        <v>0.55682715074980271</v>
      </c>
      <c r="V108" s="108">
        <v>6550</v>
      </c>
      <c r="W108" s="108">
        <v>3764</v>
      </c>
      <c r="X108" s="108">
        <v>25344</v>
      </c>
      <c r="Y108" s="108">
        <v>11524</v>
      </c>
      <c r="Z108" s="125">
        <f t="shared" si="15"/>
        <v>5.0007892659826361</v>
      </c>
      <c r="AA108" s="125">
        <f t="shared" si="16"/>
        <v>9.1329729729729738</v>
      </c>
      <c r="AB108" s="108">
        <v>1608</v>
      </c>
      <c r="AC108" s="78" t="s">
        <v>1643</v>
      </c>
      <c r="AD108" s="126">
        <v>2565</v>
      </c>
      <c r="AE108" s="108">
        <v>82402</v>
      </c>
      <c r="AF108" s="108">
        <v>2775</v>
      </c>
      <c r="AG108" s="108">
        <v>5068</v>
      </c>
    </row>
    <row r="109" spans="1:33" ht="15.75" thickBot="1" x14ac:dyDescent="0.3">
      <c r="A109" s="44" t="s">
        <v>1249</v>
      </c>
      <c r="B109" s="107" t="s">
        <v>1250</v>
      </c>
      <c r="C109" s="78" t="s">
        <v>798</v>
      </c>
      <c r="D109" s="108">
        <v>1477</v>
      </c>
      <c r="E109" s="108">
        <v>6137</v>
      </c>
      <c r="F109" s="108">
        <v>16</v>
      </c>
      <c r="G109" s="108">
        <v>7630</v>
      </c>
      <c r="H109" s="125">
        <f t="shared" si="9"/>
        <v>0.29730273752012881</v>
      </c>
      <c r="I109" s="125">
        <f t="shared" si="10"/>
        <v>3.2206119162640902E-3</v>
      </c>
      <c r="J109" s="125">
        <f t="shared" si="11"/>
        <v>1.5358293075684379</v>
      </c>
      <c r="K109" s="125">
        <f t="shared" si="12"/>
        <v>2.4885844748858448</v>
      </c>
      <c r="L109" s="126">
        <v>0</v>
      </c>
      <c r="M109" s="108">
        <v>16</v>
      </c>
      <c r="N109" s="108">
        <v>7614</v>
      </c>
      <c r="O109" s="108">
        <v>7630</v>
      </c>
      <c r="P109" s="108">
        <f t="shared" si="17"/>
        <v>1.5358293075684379</v>
      </c>
      <c r="Q109" s="108">
        <v>15914</v>
      </c>
      <c r="R109" s="108">
        <v>8450</v>
      </c>
      <c r="S109" s="125">
        <f t="shared" si="13"/>
        <v>1.7008856682769726</v>
      </c>
      <c r="T109" s="108">
        <v>1450</v>
      </c>
      <c r="U109" s="125">
        <f t="shared" si="14"/>
        <v>0.29186795491143319</v>
      </c>
      <c r="V109" s="108">
        <v>35</v>
      </c>
      <c r="W109" s="108">
        <v>96</v>
      </c>
      <c r="X109" s="108">
        <v>10028</v>
      </c>
      <c r="Y109" s="78" t="s">
        <v>3453</v>
      </c>
      <c r="Z109" s="125">
        <f t="shared" si="15"/>
        <v>2.0185185185185186</v>
      </c>
      <c r="AA109" s="125">
        <f t="shared" si="16"/>
        <v>3.2707110241356818</v>
      </c>
      <c r="AB109" s="108">
        <v>2258</v>
      </c>
      <c r="AC109" s="78" t="s">
        <v>1643</v>
      </c>
      <c r="AD109" s="126">
        <v>1025</v>
      </c>
      <c r="AE109" s="108">
        <v>24364</v>
      </c>
      <c r="AF109" s="108">
        <v>3066</v>
      </c>
      <c r="AG109" s="108">
        <v>4968</v>
      </c>
    </row>
    <row r="110" spans="1:33" ht="15.75" thickBot="1" x14ac:dyDescent="0.3">
      <c r="A110" s="44" t="s">
        <v>1261</v>
      </c>
      <c r="B110" s="107" t="s">
        <v>1262</v>
      </c>
      <c r="C110" s="78" t="s">
        <v>798</v>
      </c>
      <c r="D110" s="108">
        <v>6317</v>
      </c>
      <c r="E110" s="108">
        <v>8650</v>
      </c>
      <c r="F110" s="108">
        <v>1968</v>
      </c>
      <c r="G110" s="108">
        <v>16935</v>
      </c>
      <c r="H110" s="125">
        <f t="shared" si="9"/>
        <v>1.5403560107290906</v>
      </c>
      <c r="I110" s="125">
        <f t="shared" si="10"/>
        <v>0.47988295537673736</v>
      </c>
      <c r="J110" s="125">
        <f t="shared" si="11"/>
        <v>4.1294806144842724</v>
      </c>
      <c r="K110" s="125">
        <f t="shared" si="12"/>
        <v>6.2283927914674511</v>
      </c>
      <c r="L110" s="126">
        <v>94</v>
      </c>
      <c r="M110" s="108">
        <v>2062</v>
      </c>
      <c r="N110" s="108">
        <v>14967</v>
      </c>
      <c r="O110" s="108">
        <v>17029</v>
      </c>
      <c r="P110" s="108">
        <f t="shared" si="17"/>
        <v>4.152401853206535</v>
      </c>
      <c r="Q110" s="108">
        <v>29032</v>
      </c>
      <c r="R110" s="108">
        <v>15208</v>
      </c>
      <c r="S110" s="125">
        <f t="shared" si="13"/>
        <v>3.7083638137039747</v>
      </c>
      <c r="T110" s="108">
        <v>3210</v>
      </c>
      <c r="U110" s="125">
        <f t="shared" si="14"/>
        <v>0.78273591806876375</v>
      </c>
      <c r="V110" s="108">
        <v>769</v>
      </c>
      <c r="W110" s="108">
        <v>675</v>
      </c>
      <c r="X110" s="108">
        <v>28989</v>
      </c>
      <c r="Y110" s="108">
        <v>6497</v>
      </c>
      <c r="Z110" s="125">
        <f t="shared" si="15"/>
        <v>7.0687637161667887</v>
      </c>
      <c r="AA110" s="125">
        <f t="shared" si="16"/>
        <v>10.661640308937109</v>
      </c>
      <c r="AB110" s="108">
        <v>4101</v>
      </c>
      <c r="AC110" s="78" t="s">
        <v>1643</v>
      </c>
      <c r="AD110" s="126">
        <v>4781</v>
      </c>
      <c r="AE110" s="108">
        <v>44240</v>
      </c>
      <c r="AF110" s="108">
        <v>2719</v>
      </c>
      <c r="AG110" s="108">
        <v>4101</v>
      </c>
    </row>
    <row r="111" spans="1:33" ht="15.75" thickBot="1" x14ac:dyDescent="0.3">
      <c r="A111" s="44" t="s">
        <v>1263</v>
      </c>
      <c r="B111" s="107" t="s">
        <v>1264</v>
      </c>
      <c r="C111" s="78" t="s">
        <v>798</v>
      </c>
      <c r="D111" s="108">
        <v>7791</v>
      </c>
      <c r="E111" s="108">
        <v>22549</v>
      </c>
      <c r="F111" s="108">
        <v>2177</v>
      </c>
      <c r="G111" s="108">
        <v>32517</v>
      </c>
      <c r="H111" s="125">
        <f t="shared" si="9"/>
        <v>1.4865483686319405</v>
      </c>
      <c r="I111" s="125">
        <f t="shared" si="10"/>
        <v>0.41537874451440565</v>
      </c>
      <c r="J111" s="125">
        <f t="shared" si="11"/>
        <v>6.2043503148254153</v>
      </c>
      <c r="K111" s="125">
        <f t="shared" si="12"/>
        <v>11.815770348837209</v>
      </c>
      <c r="L111" s="126">
        <v>0</v>
      </c>
      <c r="M111" s="108">
        <v>2177</v>
      </c>
      <c r="N111" s="108">
        <v>30340</v>
      </c>
      <c r="O111" s="108">
        <v>32517</v>
      </c>
      <c r="P111" s="108">
        <f t="shared" si="17"/>
        <v>6.2043503148254153</v>
      </c>
      <c r="Q111" s="108">
        <v>21832</v>
      </c>
      <c r="R111" s="108">
        <v>12006</v>
      </c>
      <c r="S111" s="125">
        <f t="shared" si="13"/>
        <v>2.2907842014882656</v>
      </c>
      <c r="T111" s="108">
        <v>4680</v>
      </c>
      <c r="U111" s="125">
        <f t="shared" si="14"/>
        <v>0.89295935890097311</v>
      </c>
      <c r="V111" s="108">
        <v>1364</v>
      </c>
      <c r="W111" s="108">
        <v>2040</v>
      </c>
      <c r="X111" s="108">
        <v>25250</v>
      </c>
      <c r="Y111" s="78" t="s">
        <v>3453</v>
      </c>
      <c r="Z111" s="125">
        <f t="shared" si="15"/>
        <v>4.8177828658652926</v>
      </c>
      <c r="AA111" s="125">
        <f t="shared" si="16"/>
        <v>9.1751453488372086</v>
      </c>
      <c r="AB111" s="108">
        <v>5137</v>
      </c>
      <c r="AC111" s="78" t="s">
        <v>1643</v>
      </c>
      <c r="AD111" s="126">
        <v>11064</v>
      </c>
      <c r="AE111" s="108">
        <v>33838</v>
      </c>
      <c r="AF111" s="108">
        <v>2752</v>
      </c>
      <c r="AG111" s="108">
        <v>5241</v>
      </c>
    </row>
    <row r="112" spans="1:33" ht="15.75" thickBot="1" x14ac:dyDescent="0.3">
      <c r="A112" s="44" t="s">
        <v>1271</v>
      </c>
      <c r="B112" s="107" t="s">
        <v>1272</v>
      </c>
      <c r="C112" s="78" t="s">
        <v>798</v>
      </c>
      <c r="D112" s="108">
        <v>15367</v>
      </c>
      <c r="E112" s="108">
        <v>27162</v>
      </c>
      <c r="F112" s="108">
        <v>2308</v>
      </c>
      <c r="G112" s="108">
        <v>44837</v>
      </c>
      <c r="H112" s="125">
        <f t="shared" si="9"/>
        <v>2.9781007751937985</v>
      </c>
      <c r="I112" s="125">
        <f t="shared" si="10"/>
        <v>0.44728682170542633</v>
      </c>
      <c r="J112" s="125">
        <f t="shared" si="11"/>
        <v>8.6893410852713178</v>
      </c>
      <c r="K112" s="125">
        <f t="shared" si="12"/>
        <v>15.025804289544237</v>
      </c>
      <c r="L112" s="126">
        <v>0</v>
      </c>
      <c r="M112" s="108">
        <v>2308</v>
      </c>
      <c r="N112" s="108">
        <v>42529</v>
      </c>
      <c r="O112" s="108">
        <v>44837</v>
      </c>
      <c r="P112" s="108">
        <f t="shared" si="17"/>
        <v>8.6893410852713178</v>
      </c>
      <c r="Q112" s="108">
        <v>27640</v>
      </c>
      <c r="R112" s="108">
        <v>18094</v>
      </c>
      <c r="S112" s="125">
        <f t="shared" si="13"/>
        <v>3.5065891472868218</v>
      </c>
      <c r="T112" s="108">
        <v>2211</v>
      </c>
      <c r="U112" s="125">
        <f t="shared" si="14"/>
        <v>0.42848837209302326</v>
      </c>
      <c r="V112" s="108">
        <v>1351</v>
      </c>
      <c r="W112" s="108">
        <v>1592</v>
      </c>
      <c r="X112" s="108">
        <v>22354</v>
      </c>
      <c r="Y112" s="108">
        <v>63824</v>
      </c>
      <c r="Z112" s="125">
        <f t="shared" si="15"/>
        <v>4.3321705426356587</v>
      </c>
      <c r="AA112" s="125">
        <f t="shared" si="16"/>
        <v>7.4912868632707772</v>
      </c>
      <c r="AB112" s="108">
        <v>2903</v>
      </c>
      <c r="AC112" s="78" t="s">
        <v>1643</v>
      </c>
      <c r="AD112" s="126">
        <v>9760</v>
      </c>
      <c r="AE112" s="108">
        <v>45734</v>
      </c>
      <c r="AF112" s="108">
        <v>2984</v>
      </c>
      <c r="AG112" s="108">
        <v>5160</v>
      </c>
    </row>
    <row r="113" spans="1:33" ht="15.75" thickBot="1" x14ac:dyDescent="0.3">
      <c r="A113" s="44" t="s">
        <v>1273</v>
      </c>
      <c r="B113" s="107" t="s">
        <v>1274</v>
      </c>
      <c r="C113" s="78" t="s">
        <v>798</v>
      </c>
      <c r="D113" s="108">
        <v>14374</v>
      </c>
      <c r="E113" s="108">
        <v>16518</v>
      </c>
      <c r="F113" s="108">
        <v>4459</v>
      </c>
      <c r="G113" s="108">
        <v>35351</v>
      </c>
      <c r="H113" s="125">
        <f t="shared" si="9"/>
        <v>2.460879986303715</v>
      </c>
      <c r="I113" s="125">
        <f t="shared" si="10"/>
        <v>0.76339667865091598</v>
      </c>
      <c r="J113" s="125">
        <f t="shared" si="11"/>
        <v>6.052217086115391</v>
      </c>
      <c r="K113" s="125">
        <f t="shared" si="12"/>
        <v>6.6486740643219857</v>
      </c>
      <c r="L113" s="127">
        <v>0</v>
      </c>
      <c r="M113" s="108">
        <v>4459</v>
      </c>
      <c r="N113" s="108">
        <v>30892</v>
      </c>
      <c r="O113" s="108">
        <v>35351</v>
      </c>
      <c r="P113" s="108">
        <f t="shared" si="17"/>
        <v>6.052217086115391</v>
      </c>
      <c r="Q113" s="108">
        <v>25268</v>
      </c>
      <c r="R113" s="108">
        <v>32382</v>
      </c>
      <c r="S113" s="125">
        <f t="shared" si="13"/>
        <v>5.5439137134052388</v>
      </c>
      <c r="T113" s="108">
        <v>430</v>
      </c>
      <c r="U113" s="125">
        <f t="shared" si="14"/>
        <v>7.3617531244649884E-2</v>
      </c>
      <c r="V113" s="108">
        <v>1744</v>
      </c>
      <c r="W113" s="108">
        <v>1743</v>
      </c>
      <c r="X113" s="108">
        <v>30686</v>
      </c>
      <c r="Y113" s="108">
        <v>9235</v>
      </c>
      <c r="Z113" s="125">
        <f t="shared" si="15"/>
        <v>5.2535524738914567</v>
      </c>
      <c r="AA113" s="125">
        <f t="shared" si="16"/>
        <v>5.7712996050404364</v>
      </c>
      <c r="AB113" s="108">
        <v>1259</v>
      </c>
      <c r="AC113" s="78" t="s">
        <v>1643</v>
      </c>
      <c r="AD113" s="126">
        <v>230</v>
      </c>
      <c r="AE113" s="108">
        <v>57650</v>
      </c>
      <c r="AF113" s="108">
        <v>5317</v>
      </c>
      <c r="AG113" s="108">
        <v>5841</v>
      </c>
    </row>
    <row r="114" spans="1:33" ht="15.75" thickBot="1" x14ac:dyDescent="0.3">
      <c r="A114" s="44" t="s">
        <v>1279</v>
      </c>
      <c r="B114" s="107" t="s">
        <v>1280</v>
      </c>
      <c r="C114" s="78" t="s">
        <v>798</v>
      </c>
      <c r="D114" s="108">
        <v>2440</v>
      </c>
      <c r="E114" s="108">
        <v>7765</v>
      </c>
      <c r="F114" s="108">
        <v>0</v>
      </c>
      <c r="G114" s="108">
        <v>10205</v>
      </c>
      <c r="H114" s="125">
        <f t="shared" si="9"/>
        <v>0.5158562367864693</v>
      </c>
      <c r="I114" s="125">
        <f t="shared" si="10"/>
        <v>0</v>
      </c>
      <c r="J114" s="125">
        <f t="shared" si="11"/>
        <v>2.1575052854122623</v>
      </c>
      <c r="K114" s="125">
        <f t="shared" si="12"/>
        <v>2.8697975253093362</v>
      </c>
      <c r="L114" s="127">
        <v>0</v>
      </c>
      <c r="M114" s="108">
        <v>0</v>
      </c>
      <c r="N114" s="108">
        <v>10205</v>
      </c>
      <c r="O114" s="108">
        <v>10205</v>
      </c>
      <c r="P114" s="108">
        <f t="shared" si="17"/>
        <v>2.1575052854122623</v>
      </c>
      <c r="Q114" s="108">
        <v>35879</v>
      </c>
      <c r="R114" s="108">
        <v>0</v>
      </c>
      <c r="S114" s="125">
        <f t="shared" si="13"/>
        <v>0</v>
      </c>
      <c r="T114" s="108">
        <v>790</v>
      </c>
      <c r="U114" s="125">
        <f t="shared" si="14"/>
        <v>0.16701902748414377</v>
      </c>
      <c r="V114" s="108">
        <v>43</v>
      </c>
      <c r="W114" s="108">
        <v>501</v>
      </c>
      <c r="X114" s="108">
        <v>6489</v>
      </c>
      <c r="Y114" s="78" t="s">
        <v>3453</v>
      </c>
      <c r="Z114" s="125">
        <f t="shared" si="15"/>
        <v>1.3718816067653277</v>
      </c>
      <c r="AA114" s="125">
        <f t="shared" si="16"/>
        <v>1.8248031496062993</v>
      </c>
      <c r="AB114" s="108">
        <v>785</v>
      </c>
      <c r="AC114" s="78" t="s">
        <v>1643</v>
      </c>
      <c r="AD114" s="126" t="s">
        <v>3453</v>
      </c>
      <c r="AE114" s="108">
        <v>35879</v>
      </c>
      <c r="AF114" s="108">
        <v>3556</v>
      </c>
      <c r="AG114" s="108">
        <v>4730</v>
      </c>
    </row>
    <row r="115" spans="1:33" ht="15.75" thickBot="1" x14ac:dyDescent="0.3">
      <c r="A115" s="44" t="s">
        <v>1297</v>
      </c>
      <c r="B115" s="107" t="s">
        <v>1298</v>
      </c>
      <c r="C115" s="78" t="s">
        <v>798</v>
      </c>
      <c r="D115" s="108">
        <v>4133</v>
      </c>
      <c r="E115" s="108">
        <v>12893</v>
      </c>
      <c r="F115" s="108">
        <v>2149</v>
      </c>
      <c r="G115" s="108">
        <v>19175</v>
      </c>
      <c r="H115" s="125">
        <f t="shared" si="9"/>
        <v>0.81486593059936907</v>
      </c>
      <c r="I115" s="125">
        <f t="shared" si="10"/>
        <v>0.42369873817034698</v>
      </c>
      <c r="J115" s="125">
        <f t="shared" si="11"/>
        <v>3.7805599369085172</v>
      </c>
      <c r="K115" s="125">
        <f t="shared" si="12"/>
        <v>6.6326530612244898</v>
      </c>
      <c r="L115" s="126">
        <v>0</v>
      </c>
      <c r="M115" s="108">
        <v>2149</v>
      </c>
      <c r="N115" s="108">
        <v>17026</v>
      </c>
      <c r="O115" s="108">
        <v>19175</v>
      </c>
      <c r="P115" s="108">
        <f t="shared" si="17"/>
        <v>3.7805599369085172</v>
      </c>
      <c r="Q115" s="108">
        <v>27182</v>
      </c>
      <c r="R115" s="108">
        <v>11652</v>
      </c>
      <c r="S115" s="125">
        <f t="shared" si="13"/>
        <v>2.2973186119873819</v>
      </c>
      <c r="T115" s="108">
        <v>531</v>
      </c>
      <c r="U115" s="125">
        <f t="shared" si="14"/>
        <v>0.10469242902208202</v>
      </c>
      <c r="V115" s="108">
        <v>1705</v>
      </c>
      <c r="W115" s="108">
        <v>1961</v>
      </c>
      <c r="X115" s="108">
        <v>11399</v>
      </c>
      <c r="Y115" s="108">
        <v>2120</v>
      </c>
      <c r="Z115" s="125">
        <f t="shared" si="15"/>
        <v>2.2474369085173502</v>
      </c>
      <c r="AA115" s="125">
        <f t="shared" si="16"/>
        <v>3.9429263230716014</v>
      </c>
      <c r="AB115" s="108">
        <v>2557</v>
      </c>
      <c r="AC115" s="78" t="s">
        <v>1643</v>
      </c>
      <c r="AD115" s="126">
        <v>3822</v>
      </c>
      <c r="AE115" s="108">
        <v>38834</v>
      </c>
      <c r="AF115" s="108">
        <v>2891</v>
      </c>
      <c r="AG115" s="108">
        <v>5072</v>
      </c>
    </row>
    <row r="116" spans="1:33" ht="15.75" thickBot="1" x14ac:dyDescent="0.3">
      <c r="A116" s="44" t="s">
        <v>1299</v>
      </c>
      <c r="B116" s="107" t="s">
        <v>1300</v>
      </c>
      <c r="C116" s="78" t="s">
        <v>798</v>
      </c>
      <c r="D116" s="108">
        <v>8990</v>
      </c>
      <c r="E116" s="108">
        <v>27081</v>
      </c>
      <c r="F116" s="108">
        <v>7353</v>
      </c>
      <c r="G116" s="108">
        <v>43424</v>
      </c>
      <c r="H116" s="125">
        <f t="shared" si="9"/>
        <v>1.3551401869158879</v>
      </c>
      <c r="I116" s="125">
        <f t="shared" si="10"/>
        <v>1.1083810672294241</v>
      </c>
      <c r="J116" s="125">
        <f t="shared" si="11"/>
        <v>6.5456738016279772</v>
      </c>
      <c r="K116" s="125">
        <f t="shared" si="12"/>
        <v>5.2160960960960958</v>
      </c>
      <c r="L116" s="126">
        <v>812</v>
      </c>
      <c r="M116" s="108">
        <v>8165</v>
      </c>
      <c r="N116" s="108">
        <v>36071</v>
      </c>
      <c r="O116" s="108">
        <v>44236</v>
      </c>
      <c r="P116" s="108">
        <f t="shared" si="17"/>
        <v>6.668073560446186</v>
      </c>
      <c r="Q116" s="108">
        <v>33341</v>
      </c>
      <c r="R116" s="108">
        <v>8900</v>
      </c>
      <c r="S116" s="125">
        <f t="shared" si="13"/>
        <v>1.3415737111848056</v>
      </c>
      <c r="T116" s="108">
        <v>685</v>
      </c>
      <c r="U116" s="125">
        <f t="shared" si="14"/>
        <v>0.10325595417545975</v>
      </c>
      <c r="V116" s="108">
        <v>1250</v>
      </c>
      <c r="W116" s="108">
        <v>1590</v>
      </c>
      <c r="X116" s="108">
        <v>37872</v>
      </c>
      <c r="Y116" s="108">
        <v>12019</v>
      </c>
      <c r="Z116" s="125">
        <f t="shared" si="15"/>
        <v>5.7087729876394331</v>
      </c>
      <c r="AA116" s="125">
        <f t="shared" si="16"/>
        <v>4.5491891891891889</v>
      </c>
      <c r="AB116" s="108">
        <v>3050</v>
      </c>
      <c r="AC116" s="78" t="s">
        <v>1643</v>
      </c>
      <c r="AD116" s="126">
        <v>880</v>
      </c>
      <c r="AE116" s="108">
        <v>42241</v>
      </c>
      <c r="AF116" s="108">
        <v>8325</v>
      </c>
      <c r="AG116" s="108">
        <v>6634</v>
      </c>
    </row>
    <row r="117" spans="1:33" ht="15.75" thickBot="1" x14ac:dyDescent="0.3">
      <c r="A117" s="44" t="s">
        <v>1311</v>
      </c>
      <c r="B117" s="107" t="s">
        <v>1312</v>
      </c>
      <c r="C117" s="78" t="s">
        <v>798</v>
      </c>
      <c r="D117" s="108">
        <v>13620</v>
      </c>
      <c r="E117" s="108">
        <v>22839</v>
      </c>
      <c r="F117" s="108">
        <v>6392</v>
      </c>
      <c r="G117" s="108">
        <v>42851</v>
      </c>
      <c r="H117" s="125">
        <f t="shared" si="9"/>
        <v>2.5688419464353074</v>
      </c>
      <c r="I117" s="125">
        <f t="shared" si="10"/>
        <v>1.2055827989437948</v>
      </c>
      <c r="J117" s="125">
        <f t="shared" si="11"/>
        <v>8.0820445115050923</v>
      </c>
      <c r="K117" s="125">
        <f t="shared" si="12"/>
        <v>8.1218726307808939</v>
      </c>
      <c r="L117" s="126">
        <v>0</v>
      </c>
      <c r="M117" s="108">
        <v>6392</v>
      </c>
      <c r="N117" s="108">
        <v>36459</v>
      </c>
      <c r="O117" s="108">
        <v>42851</v>
      </c>
      <c r="P117" s="108">
        <f t="shared" si="17"/>
        <v>8.0820445115050923</v>
      </c>
      <c r="Q117" s="108">
        <v>38771</v>
      </c>
      <c r="R117" s="108">
        <v>15922</v>
      </c>
      <c r="S117" s="125">
        <f t="shared" si="13"/>
        <v>3.0030177291588078</v>
      </c>
      <c r="T117" s="108">
        <v>3865</v>
      </c>
      <c r="U117" s="125">
        <f t="shared" si="14"/>
        <v>0.72897019992455681</v>
      </c>
      <c r="V117" s="108">
        <v>1817</v>
      </c>
      <c r="W117" s="108">
        <v>1858</v>
      </c>
      <c r="X117" s="108">
        <v>76580</v>
      </c>
      <c r="Y117" s="108">
        <v>14000</v>
      </c>
      <c r="Z117" s="125">
        <f t="shared" si="15"/>
        <v>14.443606186344775</v>
      </c>
      <c r="AA117" s="125">
        <f t="shared" si="16"/>
        <v>14.514783927217589</v>
      </c>
      <c r="AB117" s="108">
        <v>9250</v>
      </c>
      <c r="AC117" s="78" t="s">
        <v>1643</v>
      </c>
      <c r="AD117" s="126">
        <v>7984</v>
      </c>
      <c r="AE117" s="108">
        <v>54693</v>
      </c>
      <c r="AF117" s="108">
        <v>5276</v>
      </c>
      <c r="AG117" s="108">
        <v>5302</v>
      </c>
    </row>
    <row r="118" spans="1:33" ht="15.75" thickBot="1" x14ac:dyDescent="0.3">
      <c r="A118" s="44" t="s">
        <v>1313</v>
      </c>
      <c r="B118" s="107" t="s">
        <v>1314</v>
      </c>
      <c r="C118" s="78" t="s">
        <v>798</v>
      </c>
      <c r="D118" s="108">
        <v>16524</v>
      </c>
      <c r="E118" s="108">
        <v>19820</v>
      </c>
      <c r="F118" s="108">
        <v>2484</v>
      </c>
      <c r="G118" s="108">
        <v>38828</v>
      </c>
      <c r="H118" s="125">
        <f t="shared" si="9"/>
        <v>2.4179104477611939</v>
      </c>
      <c r="I118" s="125">
        <f t="shared" si="10"/>
        <v>0.36347673397717295</v>
      </c>
      <c r="J118" s="125">
        <f t="shared" si="11"/>
        <v>5.6815920398009947</v>
      </c>
      <c r="K118" s="125">
        <f t="shared" si="12"/>
        <v>22.340621403912543</v>
      </c>
      <c r="L118" s="126">
        <v>0</v>
      </c>
      <c r="M118" s="108">
        <v>2484</v>
      </c>
      <c r="N118" s="108">
        <v>36344</v>
      </c>
      <c r="O118" s="108">
        <v>38828</v>
      </c>
      <c r="P118" s="108">
        <f t="shared" si="17"/>
        <v>5.6815920398009947</v>
      </c>
      <c r="Q118" s="108">
        <v>24831</v>
      </c>
      <c r="R118" s="108">
        <v>16136</v>
      </c>
      <c r="S118" s="125">
        <f t="shared" si="13"/>
        <v>2.3611354989757096</v>
      </c>
      <c r="T118" s="108">
        <v>5540</v>
      </c>
      <c r="U118" s="125">
        <f t="shared" si="14"/>
        <v>0.81065261925665788</v>
      </c>
      <c r="V118" s="108">
        <v>3051</v>
      </c>
      <c r="W118" s="108">
        <v>3201</v>
      </c>
      <c r="X118" s="108">
        <v>44740</v>
      </c>
      <c r="Y118" s="108">
        <v>2400</v>
      </c>
      <c r="Z118" s="125">
        <f t="shared" si="15"/>
        <v>6.546678372841674</v>
      </c>
      <c r="AA118" s="125">
        <f t="shared" si="16"/>
        <v>25.742232451093212</v>
      </c>
      <c r="AB118" s="108">
        <v>4926</v>
      </c>
      <c r="AC118" s="78" t="s">
        <v>1643</v>
      </c>
      <c r="AD118" s="126">
        <v>9300</v>
      </c>
      <c r="AE118" s="108">
        <v>40967</v>
      </c>
      <c r="AF118" s="108">
        <v>1738</v>
      </c>
      <c r="AG118" s="108">
        <v>6834</v>
      </c>
    </row>
    <row r="119" spans="1:33" ht="15.75" thickBot="1" x14ac:dyDescent="0.3">
      <c r="A119" s="44" t="s">
        <v>1317</v>
      </c>
      <c r="B119" s="107" t="s">
        <v>1318</v>
      </c>
      <c r="C119" s="78" t="s">
        <v>798</v>
      </c>
      <c r="D119" s="108">
        <v>2324</v>
      </c>
      <c r="E119" s="108">
        <v>1596</v>
      </c>
      <c r="F119" s="108">
        <v>602</v>
      </c>
      <c r="G119" s="108">
        <v>4522</v>
      </c>
      <c r="H119" s="125">
        <f t="shared" si="9"/>
        <v>0.52002685164466322</v>
      </c>
      <c r="I119" s="125">
        <f t="shared" si="10"/>
        <v>0.13470575072723204</v>
      </c>
      <c r="J119" s="125">
        <f t="shared" si="11"/>
        <v>1.0118594763929292</v>
      </c>
      <c r="K119" s="125">
        <f t="shared" si="12"/>
        <v>8.5969581749049429</v>
      </c>
      <c r="L119" s="126">
        <v>703</v>
      </c>
      <c r="M119" s="108">
        <v>1305</v>
      </c>
      <c r="N119" s="108">
        <v>3920</v>
      </c>
      <c r="O119" s="108">
        <v>5225</v>
      </c>
      <c r="P119" s="108">
        <f t="shared" si="17"/>
        <v>1.1691653613783843</v>
      </c>
      <c r="Q119" s="108">
        <v>10431</v>
      </c>
      <c r="R119" s="108">
        <v>17315</v>
      </c>
      <c r="S119" s="125">
        <f t="shared" si="13"/>
        <v>3.8744685611993734</v>
      </c>
      <c r="T119" s="108">
        <v>670</v>
      </c>
      <c r="U119" s="125">
        <f t="shared" si="14"/>
        <v>0.14992168270306555</v>
      </c>
      <c r="V119" s="108">
        <v>446</v>
      </c>
      <c r="W119" s="108">
        <v>1096</v>
      </c>
      <c r="X119" s="108">
        <v>3504</v>
      </c>
      <c r="Y119" s="108">
        <v>3259</v>
      </c>
      <c r="Z119" s="125">
        <f t="shared" si="15"/>
        <v>0.78406802416648025</v>
      </c>
      <c r="AA119" s="125">
        <f t="shared" si="16"/>
        <v>6.661596958174905</v>
      </c>
      <c r="AB119" s="108">
        <v>470</v>
      </c>
      <c r="AC119" s="78" t="s">
        <v>1643</v>
      </c>
      <c r="AD119" s="126">
        <v>470</v>
      </c>
      <c r="AE119" s="108">
        <v>27746</v>
      </c>
      <c r="AF119" s="108">
        <v>526</v>
      </c>
      <c r="AG119" s="108">
        <v>4469</v>
      </c>
    </row>
    <row r="120" spans="1:33" ht="15.75" thickBot="1" x14ac:dyDescent="0.3">
      <c r="A120" s="44" t="s">
        <v>1325</v>
      </c>
      <c r="B120" s="107" t="s">
        <v>1326</v>
      </c>
      <c r="C120" s="78" t="s">
        <v>798</v>
      </c>
      <c r="D120" s="108">
        <v>20293</v>
      </c>
      <c r="E120" s="108">
        <v>41193</v>
      </c>
      <c r="F120" s="108">
        <v>4188</v>
      </c>
      <c r="G120" s="108">
        <v>65674</v>
      </c>
      <c r="H120" s="125">
        <f t="shared" si="9"/>
        <v>3.2868480725623583</v>
      </c>
      <c r="I120" s="125">
        <f t="shared" si="10"/>
        <v>0.67832847424684162</v>
      </c>
      <c r="J120" s="125">
        <f t="shared" si="11"/>
        <v>10.637188208616781</v>
      </c>
      <c r="K120" s="125">
        <f t="shared" si="12"/>
        <v>26.301161393672405</v>
      </c>
      <c r="L120" s="126">
        <v>0</v>
      </c>
      <c r="M120" s="108">
        <v>4188</v>
      </c>
      <c r="N120" s="108">
        <v>61486</v>
      </c>
      <c r="O120" s="108">
        <v>65674</v>
      </c>
      <c r="P120" s="108">
        <f t="shared" si="17"/>
        <v>10.637188208616781</v>
      </c>
      <c r="Q120" s="108">
        <v>31174</v>
      </c>
      <c r="R120" s="108">
        <v>30</v>
      </c>
      <c r="S120" s="125">
        <f t="shared" si="13"/>
        <v>4.859086491739553E-3</v>
      </c>
      <c r="T120" s="108">
        <v>900</v>
      </c>
      <c r="U120" s="125">
        <f t="shared" si="14"/>
        <v>0.1457725947521866</v>
      </c>
      <c r="V120" s="108">
        <v>1939</v>
      </c>
      <c r="W120" s="108">
        <v>2795</v>
      </c>
      <c r="X120" s="108">
        <v>36448</v>
      </c>
      <c r="Y120" s="108">
        <v>584</v>
      </c>
      <c r="Z120" s="125">
        <f t="shared" si="15"/>
        <v>5.9034661483641075</v>
      </c>
      <c r="AA120" s="125">
        <f t="shared" si="16"/>
        <v>14.596716059271126</v>
      </c>
      <c r="AB120" s="108">
        <v>2689</v>
      </c>
      <c r="AC120" s="78" t="s">
        <v>1643</v>
      </c>
      <c r="AD120" s="126">
        <v>1500</v>
      </c>
      <c r="AE120" s="108">
        <v>31204</v>
      </c>
      <c r="AF120" s="108">
        <v>2497</v>
      </c>
      <c r="AG120" s="108">
        <v>6174</v>
      </c>
    </row>
    <row r="121" spans="1:33" ht="15.75" thickBot="1" x14ac:dyDescent="0.3">
      <c r="A121" s="44" t="s">
        <v>1345</v>
      </c>
      <c r="B121" s="107" t="s">
        <v>1346</v>
      </c>
      <c r="C121" s="78" t="s">
        <v>798</v>
      </c>
      <c r="D121" s="108">
        <v>9241</v>
      </c>
      <c r="E121" s="108">
        <v>21319</v>
      </c>
      <c r="F121" s="108">
        <v>1181</v>
      </c>
      <c r="G121" s="108">
        <v>31741</v>
      </c>
      <c r="H121" s="125">
        <f t="shared" si="9"/>
        <v>1.7419415645617342</v>
      </c>
      <c r="I121" s="125">
        <f t="shared" si="10"/>
        <v>0.22262016965127238</v>
      </c>
      <c r="J121" s="125">
        <f t="shared" si="11"/>
        <v>5.9832233741753065</v>
      </c>
      <c r="K121" s="125">
        <f t="shared" si="12"/>
        <v>7.0394766023508542</v>
      </c>
      <c r="L121" s="126">
        <v>0</v>
      </c>
      <c r="M121" s="108">
        <v>1181</v>
      </c>
      <c r="N121" s="108">
        <v>30560</v>
      </c>
      <c r="O121" s="108">
        <v>31741</v>
      </c>
      <c r="P121" s="108">
        <f t="shared" si="17"/>
        <v>5.9832233741753065</v>
      </c>
      <c r="Q121" s="108">
        <v>20179</v>
      </c>
      <c r="R121" s="108">
        <v>10902</v>
      </c>
      <c r="S121" s="125">
        <f t="shared" si="13"/>
        <v>2.055042412818096</v>
      </c>
      <c r="T121" s="108">
        <v>3289</v>
      </c>
      <c r="U121" s="125">
        <f t="shared" si="14"/>
        <v>0.61998114985862396</v>
      </c>
      <c r="V121" s="108">
        <v>969</v>
      </c>
      <c r="W121" s="108">
        <v>3289</v>
      </c>
      <c r="X121" s="108">
        <v>28340</v>
      </c>
      <c r="Y121" s="108">
        <v>0</v>
      </c>
      <c r="Z121" s="125">
        <f t="shared" si="15"/>
        <v>5.3421300659754944</v>
      </c>
      <c r="AA121" s="125">
        <f t="shared" si="16"/>
        <v>6.2852073630516747</v>
      </c>
      <c r="AB121" s="108">
        <v>2631</v>
      </c>
      <c r="AC121" s="78" t="s">
        <v>1643</v>
      </c>
      <c r="AD121" s="126">
        <v>1621</v>
      </c>
      <c r="AE121" s="108">
        <v>31081</v>
      </c>
      <c r="AF121" s="108">
        <v>4509</v>
      </c>
      <c r="AG121" s="108">
        <v>5305</v>
      </c>
    </row>
    <row r="122" spans="1:33" ht="15.75" thickBot="1" x14ac:dyDescent="0.3">
      <c r="A122" s="44" t="s">
        <v>1351</v>
      </c>
      <c r="B122" s="107" t="s">
        <v>1352</v>
      </c>
      <c r="C122" s="78" t="s">
        <v>798</v>
      </c>
      <c r="D122" s="108">
        <v>10925</v>
      </c>
      <c r="E122" s="108">
        <v>87195</v>
      </c>
      <c r="F122" s="108">
        <v>700</v>
      </c>
      <c r="G122" s="108">
        <v>98820</v>
      </c>
      <c r="H122" s="125">
        <f t="shared" si="9"/>
        <v>1.7229143668191138</v>
      </c>
      <c r="I122" s="125">
        <f t="shared" si="10"/>
        <v>0.11039268254218577</v>
      </c>
      <c r="J122" s="125">
        <f t="shared" si="11"/>
        <v>15.584292698312568</v>
      </c>
      <c r="K122" s="125">
        <f t="shared" si="12"/>
        <v>28.84413309982487</v>
      </c>
      <c r="L122" s="126">
        <v>400</v>
      </c>
      <c r="M122" s="108">
        <v>1100</v>
      </c>
      <c r="N122" s="108">
        <v>98120</v>
      </c>
      <c r="O122" s="108">
        <v>99220</v>
      </c>
      <c r="P122" s="108">
        <f t="shared" si="17"/>
        <v>15.647374231193819</v>
      </c>
      <c r="Q122" s="108">
        <v>35975</v>
      </c>
      <c r="R122" s="108">
        <v>350</v>
      </c>
      <c r="S122" s="125">
        <f t="shared" si="13"/>
        <v>5.5196341271092887E-2</v>
      </c>
      <c r="T122" s="108">
        <v>5145</v>
      </c>
      <c r="U122" s="125">
        <f t="shared" si="14"/>
        <v>0.8113862166850655</v>
      </c>
      <c r="V122" s="108">
        <v>1152</v>
      </c>
      <c r="W122" s="108">
        <v>1460</v>
      </c>
      <c r="X122" s="108">
        <v>58100</v>
      </c>
      <c r="Y122" s="108">
        <v>7816</v>
      </c>
      <c r="Z122" s="125">
        <f t="shared" si="15"/>
        <v>9.16259265100142</v>
      </c>
      <c r="AA122" s="125">
        <f t="shared" si="16"/>
        <v>16.958552247518973</v>
      </c>
      <c r="AB122" s="108">
        <v>15600</v>
      </c>
      <c r="AC122" s="78" t="s">
        <v>1643</v>
      </c>
      <c r="AD122" s="126">
        <v>11025</v>
      </c>
      <c r="AE122" s="108">
        <v>36325</v>
      </c>
      <c r="AF122" s="108">
        <v>3426</v>
      </c>
      <c r="AG122" s="108">
        <v>6341</v>
      </c>
    </row>
    <row r="123" spans="1:33" ht="15.75" thickBot="1" x14ac:dyDescent="0.3">
      <c r="A123" s="44" t="s">
        <v>1357</v>
      </c>
      <c r="B123" s="107" t="s">
        <v>1358</v>
      </c>
      <c r="C123" s="78" t="s">
        <v>798</v>
      </c>
      <c r="D123" s="108">
        <v>12941</v>
      </c>
      <c r="E123" s="108">
        <v>16327</v>
      </c>
      <c r="F123" s="108">
        <v>0</v>
      </c>
      <c r="G123" s="108">
        <v>29268</v>
      </c>
      <c r="H123" s="125">
        <f t="shared" si="9"/>
        <v>2.3819252714890484</v>
      </c>
      <c r="I123" s="125">
        <f t="shared" si="10"/>
        <v>0</v>
      </c>
      <c r="J123" s="125">
        <f t="shared" si="11"/>
        <v>5.387078961899503</v>
      </c>
      <c r="K123" s="125">
        <f t="shared" si="12"/>
        <v>0.44273677522803939</v>
      </c>
      <c r="L123" s="126">
        <v>0</v>
      </c>
      <c r="M123" s="108">
        <v>0</v>
      </c>
      <c r="N123" s="108">
        <v>29268</v>
      </c>
      <c r="O123" s="108">
        <v>29268</v>
      </c>
      <c r="P123" s="108">
        <f t="shared" si="17"/>
        <v>5.387078961899503</v>
      </c>
      <c r="Q123" s="108">
        <v>17349</v>
      </c>
      <c r="R123" s="108">
        <v>0</v>
      </c>
      <c r="S123" s="125">
        <f t="shared" si="13"/>
        <v>0</v>
      </c>
      <c r="T123" s="108">
        <v>2769</v>
      </c>
      <c r="U123" s="125">
        <f t="shared" si="14"/>
        <v>0.50966316951960244</v>
      </c>
      <c r="V123" s="108">
        <v>8797</v>
      </c>
      <c r="W123" s="108">
        <v>5824</v>
      </c>
      <c r="X123" s="108">
        <v>25032</v>
      </c>
      <c r="Y123" s="108">
        <v>1201</v>
      </c>
      <c r="Z123" s="125">
        <f t="shared" si="15"/>
        <v>4.6073992269464386</v>
      </c>
      <c r="AA123" s="125">
        <f t="shared" si="16"/>
        <v>0.37865884096994268</v>
      </c>
      <c r="AB123" s="108">
        <v>528</v>
      </c>
      <c r="AC123" s="78" t="s">
        <v>1643</v>
      </c>
      <c r="AD123" s="126">
        <v>5271</v>
      </c>
      <c r="AE123" s="108">
        <v>17349</v>
      </c>
      <c r="AF123" s="108">
        <v>66107</v>
      </c>
      <c r="AG123" s="108">
        <v>5433</v>
      </c>
    </row>
    <row r="124" spans="1:33" ht="15.75" thickBot="1" x14ac:dyDescent="0.3">
      <c r="A124" s="44" t="s">
        <v>1367</v>
      </c>
      <c r="B124" s="107" t="s">
        <v>1368</v>
      </c>
      <c r="C124" s="78" t="s">
        <v>798</v>
      </c>
      <c r="D124" s="108">
        <v>14953</v>
      </c>
      <c r="E124" s="108">
        <v>21324</v>
      </c>
      <c r="F124" s="108">
        <v>6500</v>
      </c>
      <c r="G124" s="108">
        <v>42777</v>
      </c>
      <c r="H124" s="125">
        <f t="shared" si="9"/>
        <v>2.2472197174631798</v>
      </c>
      <c r="I124" s="125">
        <f t="shared" si="10"/>
        <v>0.97685602645025549</v>
      </c>
      <c r="J124" s="125">
        <f t="shared" si="11"/>
        <v>6.428764652840397</v>
      </c>
      <c r="K124" s="125">
        <f t="shared" si="12"/>
        <v>8.9848771266540641</v>
      </c>
      <c r="L124" s="126">
        <v>0</v>
      </c>
      <c r="M124" s="108">
        <v>6500</v>
      </c>
      <c r="N124" s="108">
        <v>36277</v>
      </c>
      <c r="O124" s="108">
        <v>42777</v>
      </c>
      <c r="P124" s="108">
        <f t="shared" si="17"/>
        <v>6.428764652840397</v>
      </c>
      <c r="Q124" s="108">
        <v>35290</v>
      </c>
      <c r="R124" s="108">
        <v>9436</v>
      </c>
      <c r="S124" s="125">
        <f t="shared" si="13"/>
        <v>1.4180943793207093</v>
      </c>
      <c r="T124" s="108">
        <v>2400</v>
      </c>
      <c r="U124" s="125">
        <f t="shared" si="14"/>
        <v>0.36068530207394051</v>
      </c>
      <c r="V124" s="108">
        <v>2735</v>
      </c>
      <c r="W124" s="108">
        <v>4745</v>
      </c>
      <c r="X124" s="108">
        <v>35952</v>
      </c>
      <c r="Y124" s="108">
        <v>40065</v>
      </c>
      <c r="Z124" s="125">
        <f t="shared" si="15"/>
        <v>5.4030658250676282</v>
      </c>
      <c r="AA124" s="125">
        <f t="shared" si="16"/>
        <v>7.5513547574039066</v>
      </c>
      <c r="AB124" s="108">
        <v>1796</v>
      </c>
      <c r="AC124" s="78" t="s">
        <v>1643</v>
      </c>
      <c r="AD124" s="126">
        <v>850</v>
      </c>
      <c r="AE124" s="108">
        <v>44726</v>
      </c>
      <c r="AF124" s="108">
        <v>4761</v>
      </c>
      <c r="AG124" s="108">
        <v>6654</v>
      </c>
    </row>
    <row r="125" spans="1:33" ht="15.75" thickBot="1" x14ac:dyDescent="0.3">
      <c r="A125" s="44" t="s">
        <v>1371</v>
      </c>
      <c r="B125" s="107" t="s">
        <v>1372</v>
      </c>
      <c r="C125" s="78" t="s">
        <v>798</v>
      </c>
      <c r="D125" s="108">
        <v>1412</v>
      </c>
      <c r="E125" s="108">
        <v>4906</v>
      </c>
      <c r="F125" s="108">
        <v>1249</v>
      </c>
      <c r="G125" s="108">
        <v>7567</v>
      </c>
      <c r="H125" s="125">
        <f t="shared" si="9"/>
        <v>0.34397076735688187</v>
      </c>
      <c r="I125" s="125">
        <f t="shared" si="10"/>
        <v>0.30426309378806332</v>
      </c>
      <c r="J125" s="125">
        <f t="shared" si="11"/>
        <v>1.8433617539585871</v>
      </c>
      <c r="K125" s="125">
        <f t="shared" si="12"/>
        <v>2.3326140567200988</v>
      </c>
      <c r="L125" s="126">
        <v>1249</v>
      </c>
      <c r="M125" s="108">
        <v>2498</v>
      </c>
      <c r="N125" s="108">
        <v>6318</v>
      </c>
      <c r="O125" s="108">
        <v>8816</v>
      </c>
      <c r="P125" s="108">
        <f t="shared" si="17"/>
        <v>2.1476248477466506</v>
      </c>
      <c r="Q125" s="108">
        <v>19971</v>
      </c>
      <c r="R125" s="108">
        <v>1249</v>
      </c>
      <c r="S125" s="125">
        <f t="shared" si="13"/>
        <v>0.30426309378806332</v>
      </c>
      <c r="T125" s="108">
        <v>1257</v>
      </c>
      <c r="U125" s="125">
        <f t="shared" si="14"/>
        <v>0.3062119366626066</v>
      </c>
      <c r="V125" s="108">
        <v>465</v>
      </c>
      <c r="W125" s="108">
        <v>416</v>
      </c>
      <c r="X125" s="108">
        <v>3005</v>
      </c>
      <c r="Y125" s="108">
        <v>0</v>
      </c>
      <c r="Z125" s="125">
        <f t="shared" si="15"/>
        <v>0.7320341047503045</v>
      </c>
      <c r="AA125" s="125">
        <f t="shared" si="16"/>
        <v>0.92632552404438961</v>
      </c>
      <c r="AB125" s="108">
        <v>570</v>
      </c>
      <c r="AC125" s="78" t="s">
        <v>1643</v>
      </c>
      <c r="AD125" s="126">
        <v>98</v>
      </c>
      <c r="AE125" s="108">
        <v>21220</v>
      </c>
      <c r="AF125" s="108">
        <v>3244</v>
      </c>
      <c r="AG125" s="108">
        <v>4105</v>
      </c>
    </row>
    <row r="126" spans="1:33" ht="15.75" thickBot="1" x14ac:dyDescent="0.3">
      <c r="A126" s="44" t="s">
        <v>1377</v>
      </c>
      <c r="B126" s="107" t="s">
        <v>1378</v>
      </c>
      <c r="C126" s="78" t="s">
        <v>798</v>
      </c>
      <c r="D126" s="108">
        <v>3000</v>
      </c>
      <c r="E126" s="108">
        <v>10500</v>
      </c>
      <c r="F126" s="108">
        <v>225</v>
      </c>
      <c r="G126" s="108">
        <v>13725</v>
      </c>
      <c r="H126" s="125">
        <f t="shared" si="9"/>
        <v>0.59606596463341943</v>
      </c>
      <c r="I126" s="125">
        <f t="shared" si="10"/>
        <v>4.4704947347506456E-2</v>
      </c>
      <c r="J126" s="125">
        <f t="shared" si="11"/>
        <v>2.7270017881978941</v>
      </c>
      <c r="K126" s="125">
        <f t="shared" si="12"/>
        <v>21.96</v>
      </c>
      <c r="L126" s="127">
        <v>0</v>
      </c>
      <c r="M126" s="108">
        <v>225</v>
      </c>
      <c r="N126" s="108">
        <v>13500</v>
      </c>
      <c r="O126" s="108">
        <v>13725</v>
      </c>
      <c r="P126" s="108">
        <f t="shared" si="17"/>
        <v>2.7270017881978941</v>
      </c>
      <c r="Q126" s="108">
        <v>23482</v>
      </c>
      <c r="R126" s="108">
        <v>11300</v>
      </c>
      <c r="S126" s="125">
        <f t="shared" si="13"/>
        <v>2.2451818001192132</v>
      </c>
      <c r="T126" s="108">
        <v>30</v>
      </c>
      <c r="U126" s="125">
        <f t="shared" si="14"/>
        <v>5.9606596463341946E-3</v>
      </c>
      <c r="V126" s="108">
        <v>450</v>
      </c>
      <c r="W126" s="108">
        <v>2020</v>
      </c>
      <c r="X126" s="108">
        <v>24500</v>
      </c>
      <c r="Y126" s="108">
        <v>3750</v>
      </c>
      <c r="Z126" s="125">
        <f t="shared" si="15"/>
        <v>4.8678720445062584</v>
      </c>
      <c r="AA126" s="125">
        <f t="shared" si="16"/>
        <v>39.200000000000003</v>
      </c>
      <c r="AB126" s="108">
        <v>3200</v>
      </c>
      <c r="AC126" s="78" t="s">
        <v>1643</v>
      </c>
      <c r="AD126" s="126">
        <v>1350</v>
      </c>
      <c r="AE126" s="108">
        <v>34782</v>
      </c>
      <c r="AF126" s="108">
        <v>625</v>
      </c>
      <c r="AG126" s="108">
        <v>5033</v>
      </c>
    </row>
    <row r="127" spans="1:33" ht="15.75" thickBot="1" x14ac:dyDescent="0.3">
      <c r="A127" s="44" t="s">
        <v>1385</v>
      </c>
      <c r="B127" s="107" t="s">
        <v>1386</v>
      </c>
      <c r="C127" s="78" t="s">
        <v>798</v>
      </c>
      <c r="D127" s="108">
        <v>6889</v>
      </c>
      <c r="E127" s="108">
        <v>8799</v>
      </c>
      <c r="F127" s="108">
        <v>3093</v>
      </c>
      <c r="G127" s="108">
        <v>18781</v>
      </c>
      <c r="H127" s="125">
        <f t="shared" si="9"/>
        <v>1.2726768889709958</v>
      </c>
      <c r="I127" s="125">
        <f t="shared" si="10"/>
        <v>0.57140217993718823</v>
      </c>
      <c r="J127" s="125">
        <f t="shared" si="11"/>
        <v>3.4696101976722704</v>
      </c>
      <c r="K127" s="125">
        <f t="shared" si="12"/>
        <v>6.8394027676620537</v>
      </c>
      <c r="L127" s="126">
        <v>18</v>
      </c>
      <c r="M127" s="108">
        <v>3111</v>
      </c>
      <c r="N127" s="108">
        <v>15688</v>
      </c>
      <c r="O127" s="108">
        <v>18799</v>
      </c>
      <c r="P127" s="108">
        <f t="shared" si="17"/>
        <v>3.4729355255865508</v>
      </c>
      <c r="Q127" s="108">
        <v>18979</v>
      </c>
      <c r="R127" s="108">
        <v>25892</v>
      </c>
      <c r="S127" s="125">
        <f t="shared" si="13"/>
        <v>4.7832994642527247</v>
      </c>
      <c r="T127" s="108">
        <v>1368</v>
      </c>
      <c r="U127" s="125">
        <f t="shared" si="14"/>
        <v>0.25272492148531311</v>
      </c>
      <c r="V127" s="108">
        <v>534</v>
      </c>
      <c r="W127" s="108">
        <v>700</v>
      </c>
      <c r="X127" s="108">
        <v>8545</v>
      </c>
      <c r="Y127" s="108">
        <v>1306</v>
      </c>
      <c r="Z127" s="125">
        <f t="shared" si="15"/>
        <v>1.5786070570847959</v>
      </c>
      <c r="AA127" s="125">
        <f t="shared" si="16"/>
        <v>3.111798980335033</v>
      </c>
      <c r="AB127" s="108">
        <v>1343</v>
      </c>
      <c r="AC127" s="78" t="s">
        <v>1643</v>
      </c>
      <c r="AD127" s="126">
        <v>256</v>
      </c>
      <c r="AE127" s="108">
        <v>44871</v>
      </c>
      <c r="AF127" s="108">
        <v>2746</v>
      </c>
      <c r="AG127" s="108">
        <v>5413</v>
      </c>
    </row>
    <row r="128" spans="1:33" ht="15.75" thickBot="1" x14ac:dyDescent="0.3">
      <c r="A128" s="44" t="s">
        <v>1391</v>
      </c>
      <c r="B128" s="107" t="s">
        <v>1392</v>
      </c>
      <c r="C128" s="78" t="s">
        <v>798</v>
      </c>
      <c r="D128" s="108">
        <v>5386</v>
      </c>
      <c r="E128" s="108">
        <v>7621</v>
      </c>
      <c r="F128" s="108">
        <v>2599</v>
      </c>
      <c r="G128" s="108">
        <v>15606</v>
      </c>
      <c r="H128" s="125">
        <f t="shared" si="9"/>
        <v>0.78662187819482987</v>
      </c>
      <c r="I128" s="125">
        <f t="shared" si="10"/>
        <v>0.37958229881700012</v>
      </c>
      <c r="J128" s="125">
        <f t="shared" si="11"/>
        <v>2.2792463852782241</v>
      </c>
      <c r="K128" s="125">
        <f t="shared" si="12"/>
        <v>12.211267605633802</v>
      </c>
      <c r="L128" s="126">
        <v>16</v>
      </c>
      <c r="M128" s="108">
        <v>2615</v>
      </c>
      <c r="N128" s="108">
        <v>13007</v>
      </c>
      <c r="O128" s="108">
        <v>15622</v>
      </c>
      <c r="P128" s="108">
        <f t="shared" si="17"/>
        <v>2.2815831751131883</v>
      </c>
      <c r="Q128" s="108">
        <v>16067</v>
      </c>
      <c r="R128" s="108">
        <v>23920</v>
      </c>
      <c r="S128" s="125">
        <f t="shared" si="13"/>
        <v>3.4935008032715058</v>
      </c>
      <c r="T128" s="108">
        <v>1508</v>
      </c>
      <c r="U128" s="125">
        <f t="shared" si="14"/>
        <v>0.22024244194537754</v>
      </c>
      <c r="V128" s="108">
        <v>1933</v>
      </c>
      <c r="W128" s="108">
        <v>1595</v>
      </c>
      <c r="X128" s="108">
        <v>12673</v>
      </c>
      <c r="Y128" s="108">
        <v>12641</v>
      </c>
      <c r="Z128" s="125">
        <f t="shared" si="15"/>
        <v>1.8508835986563459</v>
      </c>
      <c r="AA128" s="125">
        <f t="shared" si="16"/>
        <v>9.9162754303599367</v>
      </c>
      <c r="AB128" s="108">
        <v>2855</v>
      </c>
      <c r="AC128" s="78" t="s">
        <v>1643</v>
      </c>
      <c r="AD128" s="126">
        <v>949</v>
      </c>
      <c r="AE128" s="108">
        <v>39987</v>
      </c>
      <c r="AF128" s="108">
        <v>1278</v>
      </c>
      <c r="AG128" s="108">
        <v>6847</v>
      </c>
    </row>
    <row r="129" spans="1:33" ht="15.75" thickBot="1" x14ac:dyDescent="0.3">
      <c r="A129" s="44" t="s">
        <v>1393</v>
      </c>
      <c r="B129" s="107" t="s">
        <v>1394</v>
      </c>
      <c r="C129" s="78" t="s">
        <v>798</v>
      </c>
      <c r="D129" s="108">
        <v>10266</v>
      </c>
      <c r="E129" s="108">
        <v>12064</v>
      </c>
      <c r="F129" s="108">
        <v>2585</v>
      </c>
      <c r="G129" s="108">
        <v>24915</v>
      </c>
      <c r="H129" s="125">
        <f t="shared" si="9"/>
        <v>1.6451923076923076</v>
      </c>
      <c r="I129" s="125">
        <f t="shared" si="10"/>
        <v>0.41426282051282054</v>
      </c>
      <c r="J129" s="125">
        <f t="shared" si="11"/>
        <v>3.9927884615384617</v>
      </c>
      <c r="K129" s="125">
        <f t="shared" si="12"/>
        <v>13.629649890590809</v>
      </c>
      <c r="L129" s="126">
        <v>0</v>
      </c>
      <c r="M129" s="108">
        <v>2585</v>
      </c>
      <c r="N129" s="108">
        <v>22330</v>
      </c>
      <c r="O129" s="108">
        <v>24915</v>
      </c>
      <c r="P129" s="108">
        <f t="shared" si="17"/>
        <v>3.9927884615384617</v>
      </c>
      <c r="Q129" s="108">
        <v>25757</v>
      </c>
      <c r="R129" s="108">
        <v>11895</v>
      </c>
      <c r="S129" s="125">
        <f t="shared" si="13"/>
        <v>1.90625</v>
      </c>
      <c r="T129" s="108">
        <v>1456</v>
      </c>
      <c r="U129" s="125">
        <f t="shared" si="14"/>
        <v>0.23333333333333334</v>
      </c>
      <c r="V129" s="108">
        <v>928</v>
      </c>
      <c r="W129" s="108">
        <v>1284</v>
      </c>
      <c r="X129" s="108">
        <v>11180</v>
      </c>
      <c r="Y129" s="108">
        <v>1500</v>
      </c>
      <c r="Z129" s="125">
        <f t="shared" si="15"/>
        <v>1.7916666666666667</v>
      </c>
      <c r="AA129" s="125">
        <f t="shared" si="16"/>
        <v>6.1159737417943107</v>
      </c>
      <c r="AB129" s="108">
        <v>1770</v>
      </c>
      <c r="AC129" s="78" t="s">
        <v>1643</v>
      </c>
      <c r="AD129" s="126">
        <v>1164</v>
      </c>
      <c r="AE129" s="108">
        <v>37652</v>
      </c>
      <c r="AF129" s="108">
        <v>1828</v>
      </c>
      <c r="AG129" s="108">
        <v>6240</v>
      </c>
    </row>
    <row r="130" spans="1:33" ht="15.75" thickBot="1" x14ac:dyDescent="0.3">
      <c r="A130" s="44" t="s">
        <v>1399</v>
      </c>
      <c r="B130" s="107" t="s">
        <v>1400</v>
      </c>
      <c r="C130" s="78" t="s">
        <v>798</v>
      </c>
      <c r="D130" s="108">
        <v>5541</v>
      </c>
      <c r="E130" s="108">
        <v>4914</v>
      </c>
      <c r="F130" s="108">
        <v>1077</v>
      </c>
      <c r="G130" s="108">
        <v>11532</v>
      </c>
      <c r="H130" s="125">
        <f t="shared" si="9"/>
        <v>1.0306919642857142</v>
      </c>
      <c r="I130" s="125">
        <f t="shared" si="10"/>
        <v>0.20033482142857142</v>
      </c>
      <c r="J130" s="125">
        <f t="shared" si="11"/>
        <v>2.1450892857142856</v>
      </c>
      <c r="K130" s="125">
        <f t="shared" si="12"/>
        <v>24.693790149892934</v>
      </c>
      <c r="L130" s="126">
        <v>265</v>
      </c>
      <c r="M130" s="108">
        <v>1342</v>
      </c>
      <c r="N130" s="108">
        <v>10455</v>
      </c>
      <c r="O130" s="108">
        <v>11797</v>
      </c>
      <c r="P130" s="108">
        <f t="shared" si="17"/>
        <v>2.1943824404761907</v>
      </c>
      <c r="Q130" s="108">
        <v>14547</v>
      </c>
      <c r="R130" s="108">
        <v>19475</v>
      </c>
      <c r="S130" s="125">
        <f t="shared" si="13"/>
        <v>3.6225818452380953</v>
      </c>
      <c r="T130" s="108">
        <v>618</v>
      </c>
      <c r="U130" s="125">
        <f t="shared" si="14"/>
        <v>0.11495535714285714</v>
      </c>
      <c r="V130" s="108">
        <v>1225</v>
      </c>
      <c r="W130" s="108">
        <v>2151</v>
      </c>
      <c r="X130" s="108">
        <v>8125</v>
      </c>
      <c r="Y130" s="108">
        <v>5054</v>
      </c>
      <c r="Z130" s="125">
        <f t="shared" si="15"/>
        <v>1.5113467261904763</v>
      </c>
      <c r="AA130" s="125">
        <f t="shared" si="16"/>
        <v>17.398286937901499</v>
      </c>
      <c r="AB130" s="108">
        <v>2952</v>
      </c>
      <c r="AC130" s="78" t="s">
        <v>1643</v>
      </c>
      <c r="AD130" s="126">
        <v>2068</v>
      </c>
      <c r="AE130" s="108">
        <v>34022</v>
      </c>
      <c r="AF130" s="108">
        <v>467</v>
      </c>
      <c r="AG130" s="108">
        <v>5376</v>
      </c>
    </row>
    <row r="131" spans="1:33" ht="15.75" thickBot="1" x14ac:dyDescent="0.3">
      <c r="A131" s="44" t="s">
        <v>1405</v>
      </c>
      <c r="B131" s="107" t="s">
        <v>1406</v>
      </c>
      <c r="C131" s="78" t="s">
        <v>798</v>
      </c>
      <c r="D131" s="108">
        <v>7332</v>
      </c>
      <c r="E131" s="108">
        <v>9797</v>
      </c>
      <c r="F131" s="108">
        <v>4128</v>
      </c>
      <c r="G131" s="108">
        <v>21257</v>
      </c>
      <c r="H131" s="125">
        <f t="shared" si="9"/>
        <v>1.3275393807713198</v>
      </c>
      <c r="I131" s="125">
        <f t="shared" si="10"/>
        <v>0.74741988049972841</v>
      </c>
      <c r="J131" s="125">
        <f t="shared" si="11"/>
        <v>3.8488140503349628</v>
      </c>
      <c r="K131" s="125">
        <f t="shared" si="12"/>
        <v>9.3191582639193342</v>
      </c>
      <c r="L131" s="126">
        <v>2131</v>
      </c>
      <c r="M131" s="108">
        <v>6259</v>
      </c>
      <c r="N131" s="108">
        <v>17129</v>
      </c>
      <c r="O131" s="108">
        <v>23388</v>
      </c>
      <c r="P131" s="108">
        <f t="shared" si="17"/>
        <v>4.2346550787615422</v>
      </c>
      <c r="Q131" s="108">
        <v>21667</v>
      </c>
      <c r="R131" s="108">
        <v>10398</v>
      </c>
      <c r="S131" s="125">
        <f t="shared" si="13"/>
        <v>1.8826724606192287</v>
      </c>
      <c r="T131" s="108">
        <v>0</v>
      </c>
      <c r="U131" s="125">
        <f t="shared" si="14"/>
        <v>0</v>
      </c>
      <c r="V131" s="108">
        <v>1857</v>
      </c>
      <c r="W131" s="108">
        <v>1914</v>
      </c>
      <c r="X131" s="108">
        <v>7386</v>
      </c>
      <c r="Y131" s="108">
        <v>1128750</v>
      </c>
      <c r="Z131" s="125">
        <f t="shared" si="15"/>
        <v>1.3373166757197175</v>
      </c>
      <c r="AA131" s="125">
        <f t="shared" si="16"/>
        <v>3.238053485313459</v>
      </c>
      <c r="AB131" s="108">
        <v>1333</v>
      </c>
      <c r="AC131" s="78" t="s">
        <v>1643</v>
      </c>
      <c r="AD131" s="126">
        <v>352</v>
      </c>
      <c r="AE131" s="108">
        <v>32065</v>
      </c>
      <c r="AF131" s="108">
        <v>2281</v>
      </c>
      <c r="AG131" s="108">
        <v>5523</v>
      </c>
    </row>
    <row r="132" spans="1:33" ht="15.75" thickBot="1" x14ac:dyDescent="0.3">
      <c r="A132" s="44" t="s">
        <v>1417</v>
      </c>
      <c r="B132" s="107" t="s">
        <v>1418</v>
      </c>
      <c r="C132" s="78" t="s">
        <v>798</v>
      </c>
      <c r="D132" s="108">
        <v>5373</v>
      </c>
      <c r="E132" s="108">
        <v>9298</v>
      </c>
      <c r="F132" s="108">
        <v>2760</v>
      </c>
      <c r="G132" s="108">
        <v>17431</v>
      </c>
      <c r="H132" s="125">
        <f t="shared" ref="H132:H195" si="18">D132/AG132</f>
        <v>1.1532517707662588</v>
      </c>
      <c r="I132" s="125">
        <f t="shared" ref="I132:I195" si="19">F132/AG132</f>
        <v>0.59240180296200906</v>
      </c>
      <c r="J132" s="125">
        <f t="shared" ref="J132:J195" si="20">G132/AG132</f>
        <v>3.7413608070401372</v>
      </c>
      <c r="K132" s="125">
        <f t="shared" ref="K132:K195" si="21">G132/AF132</f>
        <v>5.1616819662422264</v>
      </c>
      <c r="L132" s="126">
        <v>0</v>
      </c>
      <c r="M132" s="108">
        <v>2760</v>
      </c>
      <c r="N132" s="108">
        <v>14671</v>
      </c>
      <c r="O132" s="108">
        <v>17431</v>
      </c>
      <c r="P132" s="108">
        <f t="shared" si="17"/>
        <v>3.7413608070401372</v>
      </c>
      <c r="Q132" s="108">
        <v>24432</v>
      </c>
      <c r="R132" s="108">
        <v>20917</v>
      </c>
      <c r="S132" s="125">
        <f t="shared" ref="S132:S195" si="22">R132/AG132</f>
        <v>4.4895900407812839</v>
      </c>
      <c r="T132" s="108">
        <v>2080</v>
      </c>
      <c r="U132" s="125">
        <f t="shared" ref="U132:U195" si="23">T132/AG132</f>
        <v>0.44644773556557199</v>
      </c>
      <c r="V132" s="108">
        <v>2044</v>
      </c>
      <c r="W132" s="108">
        <v>3195</v>
      </c>
      <c r="X132" s="108">
        <v>25416</v>
      </c>
      <c r="Y132" s="108">
        <v>12853</v>
      </c>
      <c r="Z132" s="125">
        <f t="shared" ref="Z132:Z195" si="24">X132/AG132</f>
        <v>5.4552479072762399</v>
      </c>
      <c r="AA132" s="125">
        <f t="shared" ref="AA132:AA195" si="25">X132/AF132</f>
        <v>7.5262066923304705</v>
      </c>
      <c r="AB132" s="108">
        <v>1109</v>
      </c>
      <c r="AC132" s="78" t="s">
        <v>1643</v>
      </c>
      <c r="AD132" s="126">
        <v>11160</v>
      </c>
      <c r="AE132" s="108">
        <v>45349</v>
      </c>
      <c r="AF132" s="108">
        <v>3377</v>
      </c>
      <c r="AG132" s="108">
        <v>4659</v>
      </c>
    </row>
    <row r="133" spans="1:33" ht="15.75" thickBot="1" x14ac:dyDescent="0.3">
      <c r="A133" s="44" t="s">
        <v>1429</v>
      </c>
      <c r="B133" s="107" t="s">
        <v>1430</v>
      </c>
      <c r="C133" s="78" t="s">
        <v>798</v>
      </c>
      <c r="D133" s="108">
        <v>11485</v>
      </c>
      <c r="E133" s="108">
        <v>46932</v>
      </c>
      <c r="F133" s="108">
        <v>2759</v>
      </c>
      <c r="G133" s="108">
        <v>61176</v>
      </c>
      <c r="H133" s="125">
        <f t="shared" si="18"/>
        <v>1.8244638602065131</v>
      </c>
      <c r="I133" s="125">
        <f t="shared" si="19"/>
        <v>0.43828435266084192</v>
      </c>
      <c r="J133" s="125">
        <f t="shared" si="20"/>
        <v>9.7181890389197783</v>
      </c>
      <c r="K133" s="125">
        <f t="shared" si="21"/>
        <v>10.862215909090908</v>
      </c>
      <c r="L133" s="126">
        <v>4</v>
      </c>
      <c r="M133" s="108">
        <v>2763</v>
      </c>
      <c r="N133" s="108">
        <v>58417</v>
      </c>
      <c r="O133" s="108">
        <v>61180</v>
      </c>
      <c r="P133" s="108">
        <f t="shared" ref="P133:P196" si="26">O133/AG133</f>
        <v>9.7188244638602068</v>
      </c>
      <c r="Q133" s="108">
        <v>62231</v>
      </c>
      <c r="R133" s="108">
        <v>12325</v>
      </c>
      <c r="S133" s="125">
        <f t="shared" si="22"/>
        <v>1.9579030976965845</v>
      </c>
      <c r="T133" s="108">
        <v>3856</v>
      </c>
      <c r="U133" s="125">
        <f t="shared" si="23"/>
        <v>0.612549642573471</v>
      </c>
      <c r="V133" s="108">
        <v>3671</v>
      </c>
      <c r="W133" s="108">
        <v>3881</v>
      </c>
      <c r="X133" s="108">
        <v>52963</v>
      </c>
      <c r="Y133" s="108">
        <v>1847</v>
      </c>
      <c r="Z133" s="125">
        <f t="shared" si="24"/>
        <v>8.413502779984114</v>
      </c>
      <c r="AA133" s="125">
        <f t="shared" si="25"/>
        <v>9.4039417613636367</v>
      </c>
      <c r="AB133" s="108">
        <v>8253</v>
      </c>
      <c r="AC133" s="78" t="s">
        <v>1643</v>
      </c>
      <c r="AD133" s="126">
        <v>2651</v>
      </c>
      <c r="AE133" s="108">
        <v>74556</v>
      </c>
      <c r="AF133" s="108">
        <v>5632</v>
      </c>
      <c r="AG133" s="108">
        <v>6295</v>
      </c>
    </row>
    <row r="134" spans="1:33" ht="15.75" thickBot="1" x14ac:dyDescent="0.3">
      <c r="A134" s="44" t="s">
        <v>1443</v>
      </c>
      <c r="B134" s="107" t="s">
        <v>1444</v>
      </c>
      <c r="C134" s="78" t="s">
        <v>798</v>
      </c>
      <c r="D134" s="108">
        <v>2153</v>
      </c>
      <c r="E134" s="108">
        <v>11154</v>
      </c>
      <c r="F134" s="108">
        <v>1495</v>
      </c>
      <c r="G134" s="108">
        <v>14802</v>
      </c>
      <c r="H134" s="125">
        <f t="shared" si="18"/>
        <v>0.48556608028867837</v>
      </c>
      <c r="I134" s="125">
        <f t="shared" si="19"/>
        <v>0.33716734325665315</v>
      </c>
      <c r="J134" s="125">
        <f t="shared" si="20"/>
        <v>3.3382949932341002</v>
      </c>
      <c r="K134" s="125">
        <f t="shared" si="21"/>
        <v>7.6298969072164953</v>
      </c>
      <c r="L134" s="126">
        <v>250</v>
      </c>
      <c r="M134" s="108">
        <v>1745</v>
      </c>
      <c r="N134" s="108">
        <v>13307</v>
      </c>
      <c r="O134" s="108">
        <v>15052</v>
      </c>
      <c r="P134" s="108">
        <f t="shared" si="26"/>
        <v>3.39467749210645</v>
      </c>
      <c r="Q134" s="108">
        <v>27204</v>
      </c>
      <c r="R134" s="108">
        <v>11644</v>
      </c>
      <c r="S134" s="125">
        <f t="shared" si="22"/>
        <v>2.6260712674785744</v>
      </c>
      <c r="T134" s="108">
        <v>780</v>
      </c>
      <c r="U134" s="125">
        <f t="shared" si="23"/>
        <v>0.17591339648173207</v>
      </c>
      <c r="V134" s="108">
        <v>1344</v>
      </c>
      <c r="W134" s="108">
        <v>913</v>
      </c>
      <c r="X134" s="108">
        <v>19063</v>
      </c>
      <c r="Y134" s="108">
        <v>11481</v>
      </c>
      <c r="Z134" s="125">
        <f t="shared" si="24"/>
        <v>4.2992783040144342</v>
      </c>
      <c r="AA134" s="125">
        <f t="shared" si="25"/>
        <v>9.8262886597938142</v>
      </c>
      <c r="AB134" s="108">
        <v>5557</v>
      </c>
      <c r="AC134" s="78" t="s">
        <v>1643</v>
      </c>
      <c r="AD134" s="126">
        <v>1977</v>
      </c>
      <c r="AE134" s="108">
        <v>38848</v>
      </c>
      <c r="AF134" s="108">
        <v>1940</v>
      </c>
      <c r="AG134" s="108">
        <v>4434</v>
      </c>
    </row>
    <row r="135" spans="1:33" ht="15.75" thickBot="1" x14ac:dyDescent="0.3">
      <c r="A135" s="44" t="s">
        <v>1453</v>
      </c>
      <c r="B135" s="107" t="s">
        <v>1454</v>
      </c>
      <c r="C135" s="78" t="s">
        <v>798</v>
      </c>
      <c r="D135" s="108">
        <v>18650</v>
      </c>
      <c r="E135" s="108">
        <v>51921</v>
      </c>
      <c r="F135" s="108">
        <v>2743</v>
      </c>
      <c r="G135" s="108">
        <v>73314</v>
      </c>
      <c r="H135" s="125">
        <f t="shared" si="18"/>
        <v>4.2628571428571425</v>
      </c>
      <c r="I135" s="125">
        <f t="shared" si="19"/>
        <v>0.62697142857142862</v>
      </c>
      <c r="J135" s="125">
        <f t="shared" si="20"/>
        <v>16.757485714285714</v>
      </c>
      <c r="K135" s="125">
        <f t="shared" si="21"/>
        <v>10.283910786926638</v>
      </c>
      <c r="L135" s="126">
        <v>25195</v>
      </c>
      <c r="M135" s="108">
        <v>27938</v>
      </c>
      <c r="N135" s="108">
        <v>70571</v>
      </c>
      <c r="O135" s="108">
        <v>98509</v>
      </c>
      <c r="P135" s="108">
        <f t="shared" si="26"/>
        <v>22.516342857142856</v>
      </c>
      <c r="Q135" s="108">
        <v>56017</v>
      </c>
      <c r="R135" s="108">
        <v>11652</v>
      </c>
      <c r="S135" s="125">
        <f t="shared" si="22"/>
        <v>2.6633142857142857</v>
      </c>
      <c r="T135" s="108">
        <v>1137</v>
      </c>
      <c r="U135" s="125">
        <f t="shared" si="23"/>
        <v>0.25988571428571428</v>
      </c>
      <c r="V135" s="108">
        <v>539</v>
      </c>
      <c r="W135" s="108">
        <v>894</v>
      </c>
      <c r="X135" s="108">
        <v>27132</v>
      </c>
      <c r="Y135" s="108">
        <v>98573</v>
      </c>
      <c r="Z135" s="125">
        <f t="shared" si="24"/>
        <v>6.2016</v>
      </c>
      <c r="AA135" s="125">
        <f t="shared" si="25"/>
        <v>3.805863374947398</v>
      </c>
      <c r="AB135" s="108">
        <v>3375</v>
      </c>
      <c r="AC135" s="78" t="s">
        <v>1643</v>
      </c>
      <c r="AD135" s="126">
        <v>16962</v>
      </c>
      <c r="AE135" s="108">
        <v>67669</v>
      </c>
      <c r="AF135" s="108">
        <v>7129</v>
      </c>
      <c r="AG135" s="108">
        <v>4375</v>
      </c>
    </row>
    <row r="136" spans="1:33" ht="15.75" thickBot="1" x14ac:dyDescent="0.3">
      <c r="A136" s="44" t="s">
        <v>1457</v>
      </c>
      <c r="B136" s="107" t="s">
        <v>1458</v>
      </c>
      <c r="C136" s="78" t="s">
        <v>798</v>
      </c>
      <c r="D136" s="108">
        <v>19683</v>
      </c>
      <c r="E136" s="108">
        <v>32544</v>
      </c>
      <c r="F136" s="108">
        <v>9477</v>
      </c>
      <c r="G136" s="108">
        <v>61704</v>
      </c>
      <c r="H136" s="125">
        <f t="shared" si="18"/>
        <v>3.8586551656537935</v>
      </c>
      <c r="I136" s="125">
        <f t="shared" si="19"/>
        <v>1.8578710056851597</v>
      </c>
      <c r="J136" s="125">
        <f t="shared" si="20"/>
        <v>12.096451676141934</v>
      </c>
      <c r="K136" s="125">
        <f t="shared" si="21"/>
        <v>26.324232081911262</v>
      </c>
      <c r="L136" s="126">
        <v>17546</v>
      </c>
      <c r="M136" s="108">
        <v>27023</v>
      </c>
      <c r="N136" s="108">
        <v>52227</v>
      </c>
      <c r="O136" s="108">
        <v>79250</v>
      </c>
      <c r="P136" s="108">
        <f t="shared" si="26"/>
        <v>15.536169378553225</v>
      </c>
      <c r="Q136" s="108">
        <v>24641</v>
      </c>
      <c r="R136" s="108">
        <v>32526</v>
      </c>
      <c r="S136" s="125">
        <f t="shared" si="22"/>
        <v>6.376396784944129</v>
      </c>
      <c r="T136" s="108">
        <v>2810</v>
      </c>
      <c r="U136" s="125">
        <f t="shared" si="23"/>
        <v>0.55087237796510491</v>
      </c>
      <c r="V136" s="108">
        <v>3362</v>
      </c>
      <c r="W136" s="108">
        <v>5176</v>
      </c>
      <c r="X136" s="108">
        <v>57073</v>
      </c>
      <c r="Y136" s="108">
        <v>46667</v>
      </c>
      <c r="Z136" s="125">
        <f t="shared" si="24"/>
        <v>11.188590472456381</v>
      </c>
      <c r="AA136" s="125">
        <f t="shared" si="25"/>
        <v>24.348549488054609</v>
      </c>
      <c r="AB136" s="108">
        <v>8846</v>
      </c>
      <c r="AC136" s="78" t="s">
        <v>1643</v>
      </c>
      <c r="AD136" s="126">
        <v>17561</v>
      </c>
      <c r="AE136" s="108">
        <v>57167</v>
      </c>
      <c r="AF136" s="108">
        <v>2344</v>
      </c>
      <c r="AG136" s="108">
        <v>5101</v>
      </c>
    </row>
    <row r="137" spans="1:33" ht="15.75" thickBot="1" x14ac:dyDescent="0.3">
      <c r="A137" s="44" t="s">
        <v>1463</v>
      </c>
      <c r="B137" s="107" t="s">
        <v>1464</v>
      </c>
      <c r="C137" s="78" t="s">
        <v>798</v>
      </c>
      <c r="D137" s="108">
        <v>6614</v>
      </c>
      <c r="E137" s="108">
        <v>13676</v>
      </c>
      <c r="F137" s="108">
        <v>1066</v>
      </c>
      <c r="G137" s="108">
        <v>21356</v>
      </c>
      <c r="H137" s="125">
        <f t="shared" si="18"/>
        <v>1.6379395740465577</v>
      </c>
      <c r="I137" s="125">
        <f t="shared" si="19"/>
        <v>0.26399207528479446</v>
      </c>
      <c r="J137" s="125">
        <f t="shared" si="20"/>
        <v>5.2887568103021296</v>
      </c>
      <c r="K137" s="125">
        <f t="shared" si="21"/>
        <v>11.562533838657282</v>
      </c>
      <c r="L137" s="126">
        <v>0</v>
      </c>
      <c r="M137" s="108">
        <v>1066</v>
      </c>
      <c r="N137" s="108">
        <v>20290</v>
      </c>
      <c r="O137" s="108">
        <v>21356</v>
      </c>
      <c r="P137" s="108">
        <f t="shared" si="26"/>
        <v>5.2887568103021296</v>
      </c>
      <c r="Q137" s="108">
        <v>24715</v>
      </c>
      <c r="R137" s="108">
        <v>8447</v>
      </c>
      <c r="S137" s="125">
        <f t="shared" si="22"/>
        <v>2.0918771669143141</v>
      </c>
      <c r="T137" s="108">
        <v>1820</v>
      </c>
      <c r="U137" s="125">
        <f t="shared" si="23"/>
        <v>0.45071817731550273</v>
      </c>
      <c r="V137" s="108">
        <v>2647</v>
      </c>
      <c r="W137" s="108">
        <v>2826</v>
      </c>
      <c r="X137" s="108">
        <v>26000</v>
      </c>
      <c r="Y137" s="108">
        <v>20305</v>
      </c>
      <c r="Z137" s="125">
        <f t="shared" si="24"/>
        <v>6.438831104507182</v>
      </c>
      <c r="AA137" s="125">
        <f t="shared" si="25"/>
        <v>14.076881429344883</v>
      </c>
      <c r="AB137" s="108">
        <v>1331</v>
      </c>
      <c r="AC137" s="78" t="s">
        <v>1643</v>
      </c>
      <c r="AD137" s="126">
        <v>3650</v>
      </c>
      <c r="AE137" s="108">
        <v>33162</v>
      </c>
      <c r="AF137" s="108">
        <v>1847</v>
      </c>
      <c r="AG137" s="108">
        <v>4038</v>
      </c>
    </row>
    <row r="138" spans="1:33" ht="15.75" thickBot="1" x14ac:dyDescent="0.3">
      <c r="A138" s="44" t="s">
        <v>1472</v>
      </c>
      <c r="B138" s="107" t="s">
        <v>1473</v>
      </c>
      <c r="C138" s="78" t="s">
        <v>798</v>
      </c>
      <c r="D138" s="108">
        <v>5207</v>
      </c>
      <c r="E138" s="108">
        <v>7324</v>
      </c>
      <c r="F138" s="108">
        <v>1663</v>
      </c>
      <c r="G138" s="108">
        <v>14194</v>
      </c>
      <c r="H138" s="125">
        <f t="shared" si="18"/>
        <v>0.92404614019520848</v>
      </c>
      <c r="I138" s="125">
        <f t="shared" si="19"/>
        <v>0.29511978704525288</v>
      </c>
      <c r="J138" s="125">
        <f t="shared" si="20"/>
        <v>2.518899733806566</v>
      </c>
      <c r="K138" s="125">
        <f t="shared" si="21"/>
        <v>8.3641720683559218</v>
      </c>
      <c r="L138" s="126">
        <v>0</v>
      </c>
      <c r="M138" s="108">
        <v>1663</v>
      </c>
      <c r="N138" s="108">
        <v>12531</v>
      </c>
      <c r="O138" s="108">
        <v>14194</v>
      </c>
      <c r="P138" s="108">
        <f t="shared" si="26"/>
        <v>2.518899733806566</v>
      </c>
      <c r="Q138" s="108">
        <v>16658</v>
      </c>
      <c r="R138" s="108">
        <v>10866</v>
      </c>
      <c r="S138" s="125">
        <f t="shared" si="22"/>
        <v>1.9283052351375334</v>
      </c>
      <c r="T138" s="108">
        <v>1881</v>
      </c>
      <c r="U138" s="125">
        <f t="shared" si="23"/>
        <v>0.33380656610470277</v>
      </c>
      <c r="V138" s="108">
        <v>1059</v>
      </c>
      <c r="W138" s="108">
        <v>1421</v>
      </c>
      <c r="X138" s="108">
        <v>8326</v>
      </c>
      <c r="Y138" s="108">
        <v>1500</v>
      </c>
      <c r="Z138" s="125">
        <f t="shared" si="24"/>
        <v>1.4775510204081632</v>
      </c>
      <c r="AA138" s="125">
        <f t="shared" si="25"/>
        <v>4.9063052445492046</v>
      </c>
      <c r="AB138" s="108">
        <v>1574</v>
      </c>
      <c r="AC138" s="78" t="s">
        <v>1643</v>
      </c>
      <c r="AD138" s="126">
        <v>2789</v>
      </c>
      <c r="AE138" s="108">
        <v>27524</v>
      </c>
      <c r="AF138" s="108">
        <v>1697</v>
      </c>
      <c r="AG138" s="108">
        <v>5635</v>
      </c>
    </row>
    <row r="139" spans="1:33" ht="15.75" thickBot="1" x14ac:dyDescent="0.3">
      <c r="A139" s="44" t="s">
        <v>1494</v>
      </c>
      <c r="B139" s="107" t="s">
        <v>1495</v>
      </c>
      <c r="C139" s="78" t="s">
        <v>798</v>
      </c>
      <c r="D139" s="108">
        <v>4189</v>
      </c>
      <c r="E139" s="108">
        <v>9621</v>
      </c>
      <c r="F139" s="108">
        <v>935</v>
      </c>
      <c r="G139" s="108">
        <v>14745</v>
      </c>
      <c r="H139" s="125">
        <f t="shared" si="18"/>
        <v>1.0353435491843797</v>
      </c>
      <c r="I139" s="125">
        <f t="shared" si="19"/>
        <v>0.23109243697478993</v>
      </c>
      <c r="J139" s="125">
        <f t="shared" si="20"/>
        <v>3.644340088976767</v>
      </c>
      <c r="K139" s="125">
        <f t="shared" si="21"/>
        <v>11.351039260969976</v>
      </c>
      <c r="L139" s="126">
        <v>52</v>
      </c>
      <c r="M139" s="108">
        <v>987</v>
      </c>
      <c r="N139" s="108">
        <v>13810</v>
      </c>
      <c r="O139" s="108">
        <v>14797</v>
      </c>
      <c r="P139" s="108">
        <f t="shared" si="26"/>
        <v>3.6571922886801778</v>
      </c>
      <c r="Q139" s="108">
        <v>22757</v>
      </c>
      <c r="R139" s="108">
        <v>35065</v>
      </c>
      <c r="S139" s="125">
        <f t="shared" si="22"/>
        <v>8.6665842807711329</v>
      </c>
      <c r="T139" s="108">
        <v>1204</v>
      </c>
      <c r="U139" s="125">
        <f t="shared" si="23"/>
        <v>0.29757785467128028</v>
      </c>
      <c r="V139" s="108">
        <v>2279</v>
      </c>
      <c r="W139" s="108">
        <v>1683</v>
      </c>
      <c r="X139" s="108">
        <v>13978</v>
      </c>
      <c r="Y139" s="108">
        <v>3532</v>
      </c>
      <c r="Z139" s="125">
        <f t="shared" si="24"/>
        <v>3.4547701433514582</v>
      </c>
      <c r="AA139" s="125">
        <f t="shared" si="25"/>
        <v>10.760585065434951</v>
      </c>
      <c r="AB139" s="108">
        <v>1706</v>
      </c>
      <c r="AC139" s="78" t="s">
        <v>1643</v>
      </c>
      <c r="AD139" s="126">
        <v>2107</v>
      </c>
      <c r="AE139" s="108">
        <v>57822</v>
      </c>
      <c r="AF139" s="108">
        <v>1299</v>
      </c>
      <c r="AG139" s="108">
        <v>4046</v>
      </c>
    </row>
    <row r="140" spans="1:33" ht="15.75" thickBot="1" x14ac:dyDescent="0.3">
      <c r="A140" s="44" t="s">
        <v>1506</v>
      </c>
      <c r="B140" s="107" t="s">
        <v>1507</v>
      </c>
      <c r="C140" s="78" t="s">
        <v>798</v>
      </c>
      <c r="D140" s="108">
        <v>6023</v>
      </c>
      <c r="E140" s="108">
        <v>17915</v>
      </c>
      <c r="F140" s="108">
        <v>4574</v>
      </c>
      <c r="G140" s="108">
        <v>28512</v>
      </c>
      <c r="H140" s="125">
        <f t="shared" si="18"/>
        <v>1.0992881912757801</v>
      </c>
      <c r="I140" s="125">
        <f t="shared" si="19"/>
        <v>0.83482387296951999</v>
      </c>
      <c r="J140" s="125">
        <f t="shared" si="20"/>
        <v>5.2038693192188354</v>
      </c>
      <c r="K140" s="125">
        <f t="shared" si="21"/>
        <v>10.983050847457626</v>
      </c>
      <c r="L140" s="126">
        <v>0</v>
      </c>
      <c r="M140" s="108">
        <v>4574</v>
      </c>
      <c r="N140" s="108">
        <v>23938</v>
      </c>
      <c r="O140" s="108">
        <v>28512</v>
      </c>
      <c r="P140" s="108">
        <f t="shared" si="26"/>
        <v>5.2038693192188354</v>
      </c>
      <c r="Q140" s="108">
        <v>23817</v>
      </c>
      <c r="R140" s="108">
        <v>23434</v>
      </c>
      <c r="S140" s="125">
        <f t="shared" si="22"/>
        <v>4.277057857273225</v>
      </c>
      <c r="T140" s="108">
        <v>3744</v>
      </c>
      <c r="U140" s="125">
        <f t="shared" si="23"/>
        <v>0.68333637525095825</v>
      </c>
      <c r="V140" s="108">
        <v>1122</v>
      </c>
      <c r="W140" s="108">
        <v>1473</v>
      </c>
      <c r="X140" s="108">
        <v>23400</v>
      </c>
      <c r="Y140" s="108">
        <v>10946</v>
      </c>
      <c r="Z140" s="125">
        <f t="shared" si="24"/>
        <v>4.270852345318489</v>
      </c>
      <c r="AA140" s="125">
        <f t="shared" si="25"/>
        <v>9.0138674884437595</v>
      </c>
      <c r="AB140" s="108">
        <v>3810</v>
      </c>
      <c r="AC140" s="78" t="s">
        <v>1643</v>
      </c>
      <c r="AD140" s="126">
        <v>7192</v>
      </c>
      <c r="AE140" s="108">
        <v>47251</v>
      </c>
      <c r="AF140" s="108">
        <v>2596</v>
      </c>
      <c r="AG140" s="108">
        <v>5479</v>
      </c>
    </row>
    <row r="141" spans="1:33" ht="15.75" thickBot="1" x14ac:dyDescent="0.3">
      <c r="A141" s="44" t="s">
        <v>1514</v>
      </c>
      <c r="B141" s="107" t="s">
        <v>1515</v>
      </c>
      <c r="C141" s="78" t="s">
        <v>798</v>
      </c>
      <c r="D141" s="108">
        <v>1685</v>
      </c>
      <c r="E141" s="108">
        <v>3519</v>
      </c>
      <c r="F141" s="108">
        <v>0</v>
      </c>
      <c r="G141" s="108">
        <v>5204</v>
      </c>
      <c r="H141" s="125">
        <f t="shared" si="18"/>
        <v>0.2522455089820359</v>
      </c>
      <c r="I141" s="125">
        <f t="shared" si="19"/>
        <v>0</v>
      </c>
      <c r="J141" s="125">
        <f t="shared" si="20"/>
        <v>0.77904191616766472</v>
      </c>
      <c r="K141" s="125">
        <f t="shared" si="21"/>
        <v>1.1145855643606768</v>
      </c>
      <c r="L141" s="127">
        <v>0</v>
      </c>
      <c r="M141" s="108">
        <v>0</v>
      </c>
      <c r="N141" s="108">
        <v>5204</v>
      </c>
      <c r="O141" s="108">
        <v>5204</v>
      </c>
      <c r="P141" s="108">
        <f t="shared" si="26"/>
        <v>0.77904191616766472</v>
      </c>
      <c r="Q141" s="108">
        <v>21220</v>
      </c>
      <c r="R141" s="108">
        <v>0</v>
      </c>
      <c r="S141" s="125">
        <f t="shared" si="22"/>
        <v>0</v>
      </c>
      <c r="T141" s="108">
        <v>1475</v>
      </c>
      <c r="U141" s="125">
        <f t="shared" si="23"/>
        <v>0.22080838323353294</v>
      </c>
      <c r="V141" s="108">
        <v>689</v>
      </c>
      <c r="W141" s="108">
        <v>578</v>
      </c>
      <c r="X141" s="108">
        <v>4367</v>
      </c>
      <c r="Y141" s="108">
        <v>85</v>
      </c>
      <c r="Z141" s="125">
        <f t="shared" si="24"/>
        <v>0.65374251497005986</v>
      </c>
      <c r="AA141" s="125">
        <f t="shared" si="25"/>
        <v>0.9353180552580852</v>
      </c>
      <c r="AB141" s="108">
        <v>609</v>
      </c>
      <c r="AC141" s="78" t="s">
        <v>1643</v>
      </c>
      <c r="AD141" s="126">
        <v>208</v>
      </c>
      <c r="AE141" s="108">
        <v>21220</v>
      </c>
      <c r="AF141" s="108">
        <v>4669</v>
      </c>
      <c r="AG141" s="108">
        <v>6680</v>
      </c>
    </row>
    <row r="142" spans="1:33" ht="15.75" thickBot="1" x14ac:dyDescent="0.3">
      <c r="A142" s="44" t="s">
        <v>1522</v>
      </c>
      <c r="B142" s="107" t="s">
        <v>1523</v>
      </c>
      <c r="C142" s="78" t="s">
        <v>798</v>
      </c>
      <c r="D142" s="108">
        <v>8436</v>
      </c>
      <c r="E142" s="108">
        <v>11984</v>
      </c>
      <c r="F142" s="108">
        <v>1692</v>
      </c>
      <c r="G142" s="108">
        <v>22112</v>
      </c>
      <c r="H142" s="125">
        <f t="shared" si="18"/>
        <v>1.3983092988562904</v>
      </c>
      <c r="I142" s="125">
        <f t="shared" si="19"/>
        <v>0.28045748383888613</v>
      </c>
      <c r="J142" s="125">
        <f t="shared" si="20"/>
        <v>3.6651748715398642</v>
      </c>
      <c r="K142" s="125">
        <f t="shared" si="21"/>
        <v>2.7730122899423124</v>
      </c>
      <c r="L142" s="126">
        <v>0</v>
      </c>
      <c r="M142" s="108">
        <v>1692</v>
      </c>
      <c r="N142" s="108">
        <v>20420</v>
      </c>
      <c r="O142" s="108">
        <v>22112</v>
      </c>
      <c r="P142" s="108">
        <f t="shared" si="26"/>
        <v>3.6651748715398642</v>
      </c>
      <c r="Q142" s="108">
        <v>37009</v>
      </c>
      <c r="R142" s="108">
        <v>18295</v>
      </c>
      <c r="S142" s="125">
        <f t="shared" si="22"/>
        <v>3.0324879827614786</v>
      </c>
      <c r="T142" s="108">
        <v>516</v>
      </c>
      <c r="U142" s="125">
        <f t="shared" si="23"/>
        <v>8.5529587270014917E-2</v>
      </c>
      <c r="V142" s="108">
        <v>1688</v>
      </c>
      <c r="W142" s="108">
        <v>1195</v>
      </c>
      <c r="X142" s="108">
        <v>22020</v>
      </c>
      <c r="Y142" s="108">
        <v>799</v>
      </c>
      <c r="Z142" s="125">
        <f t="shared" si="24"/>
        <v>3.64992541024366</v>
      </c>
      <c r="AA142" s="125">
        <f t="shared" si="25"/>
        <v>2.7614747930775021</v>
      </c>
      <c r="AB142" s="108">
        <v>4068</v>
      </c>
      <c r="AC142" s="78" t="s">
        <v>1643</v>
      </c>
      <c r="AD142" s="126">
        <v>1464</v>
      </c>
      <c r="AE142" s="108">
        <v>55304</v>
      </c>
      <c r="AF142" s="108">
        <v>7974</v>
      </c>
      <c r="AG142" s="108">
        <v>6033</v>
      </c>
    </row>
    <row r="143" spans="1:33" ht="15.75" thickBot="1" x14ac:dyDescent="0.3">
      <c r="A143" s="44" t="s">
        <v>1530</v>
      </c>
      <c r="B143" s="107" t="s">
        <v>1531</v>
      </c>
      <c r="C143" s="78" t="s">
        <v>798</v>
      </c>
      <c r="D143" s="108">
        <v>3587</v>
      </c>
      <c r="E143" s="108">
        <v>14349</v>
      </c>
      <c r="F143" s="108">
        <v>2242</v>
      </c>
      <c r="G143" s="108">
        <v>20178</v>
      </c>
      <c r="H143" s="125">
        <f t="shared" si="18"/>
        <v>0.7838723776223776</v>
      </c>
      <c r="I143" s="125">
        <f t="shared" si="19"/>
        <v>0.48994755244755245</v>
      </c>
      <c r="J143" s="125">
        <f t="shared" si="20"/>
        <v>4.4095279720279716</v>
      </c>
      <c r="K143" s="125">
        <f t="shared" si="21"/>
        <v>11.374295377677566</v>
      </c>
      <c r="L143" s="127">
        <v>0</v>
      </c>
      <c r="M143" s="108">
        <v>2242</v>
      </c>
      <c r="N143" s="108">
        <v>17936</v>
      </c>
      <c r="O143" s="108">
        <v>20178</v>
      </c>
      <c r="P143" s="108">
        <f t="shared" si="26"/>
        <v>4.4095279720279716</v>
      </c>
      <c r="Q143" s="108">
        <v>25286</v>
      </c>
      <c r="R143" s="108">
        <v>19351</v>
      </c>
      <c r="S143" s="125">
        <f t="shared" si="22"/>
        <v>4.2288024475524475</v>
      </c>
      <c r="T143" s="108">
        <v>1040</v>
      </c>
      <c r="U143" s="125">
        <f t="shared" si="23"/>
        <v>0.22727272727272727</v>
      </c>
      <c r="V143" s="108">
        <v>413</v>
      </c>
      <c r="W143" s="108">
        <v>497</v>
      </c>
      <c r="X143" s="108">
        <v>5928</v>
      </c>
      <c r="Y143" s="108">
        <v>6555</v>
      </c>
      <c r="Z143" s="125">
        <f t="shared" si="24"/>
        <v>1.2954545454545454</v>
      </c>
      <c r="AA143" s="125">
        <f t="shared" si="25"/>
        <v>3.3416009019165727</v>
      </c>
      <c r="AB143" s="108">
        <v>5764</v>
      </c>
      <c r="AC143" s="78" t="s">
        <v>1643</v>
      </c>
      <c r="AD143" s="126">
        <v>10972</v>
      </c>
      <c r="AE143" s="108">
        <v>44637</v>
      </c>
      <c r="AF143" s="108">
        <v>1774</v>
      </c>
      <c r="AG143" s="108">
        <v>4576</v>
      </c>
    </row>
    <row r="144" spans="1:33" ht="15.75" thickBot="1" x14ac:dyDescent="0.3">
      <c r="A144" s="44" t="s">
        <v>1544</v>
      </c>
      <c r="B144" s="107" t="s">
        <v>1545</v>
      </c>
      <c r="C144" s="78" t="s">
        <v>798</v>
      </c>
      <c r="D144" s="108">
        <v>13337</v>
      </c>
      <c r="E144" s="108">
        <v>24034</v>
      </c>
      <c r="F144" s="108">
        <v>1756</v>
      </c>
      <c r="G144" s="108">
        <v>39127</v>
      </c>
      <c r="H144" s="125">
        <f t="shared" si="18"/>
        <v>2.8036577675005256</v>
      </c>
      <c r="I144" s="125">
        <f t="shared" si="19"/>
        <v>0.36914021442085349</v>
      </c>
      <c r="J144" s="125">
        <f t="shared" si="20"/>
        <v>8.2251418961530369</v>
      </c>
      <c r="K144" s="125">
        <f t="shared" si="21"/>
        <v>14.120173222663299</v>
      </c>
      <c r="L144" s="126">
        <v>149</v>
      </c>
      <c r="M144" s="108">
        <v>1905</v>
      </c>
      <c r="N144" s="108">
        <v>37371</v>
      </c>
      <c r="O144" s="108">
        <v>39276</v>
      </c>
      <c r="P144" s="108">
        <f t="shared" si="26"/>
        <v>8.2564641580828262</v>
      </c>
      <c r="Q144" s="108">
        <v>21907</v>
      </c>
      <c r="R144" s="108">
        <v>7015</v>
      </c>
      <c r="S144" s="125">
        <f t="shared" si="22"/>
        <v>1.4746689089762455</v>
      </c>
      <c r="T144" s="108">
        <v>9125</v>
      </c>
      <c r="U144" s="125">
        <f t="shared" si="23"/>
        <v>1.9182257725457221</v>
      </c>
      <c r="V144" s="108">
        <v>4663</v>
      </c>
      <c r="W144" s="108">
        <v>4388</v>
      </c>
      <c r="X144" s="108">
        <v>24960</v>
      </c>
      <c r="Y144" s="108">
        <v>14972</v>
      </c>
      <c r="Z144" s="125">
        <f t="shared" si="24"/>
        <v>5.247004414546983</v>
      </c>
      <c r="AA144" s="125">
        <f t="shared" si="25"/>
        <v>9.0075784915193076</v>
      </c>
      <c r="AB144" s="108">
        <v>1971</v>
      </c>
      <c r="AC144" s="78" t="s">
        <v>1643</v>
      </c>
      <c r="AD144" s="126">
        <v>5014</v>
      </c>
      <c r="AE144" s="108">
        <v>28922</v>
      </c>
      <c r="AF144" s="108">
        <v>2771</v>
      </c>
      <c r="AG144" s="108">
        <v>4757</v>
      </c>
    </row>
    <row r="145" spans="1:33" ht="15.75" thickBot="1" x14ac:dyDescent="0.3">
      <c r="A145" s="44" t="s">
        <v>1550</v>
      </c>
      <c r="B145" s="107" t="s">
        <v>1551</v>
      </c>
      <c r="C145" s="78" t="s">
        <v>798</v>
      </c>
      <c r="D145" s="108">
        <v>2153</v>
      </c>
      <c r="E145" s="108">
        <v>3853</v>
      </c>
      <c r="F145" s="108">
        <v>2329</v>
      </c>
      <c r="G145" s="108">
        <v>8335</v>
      </c>
      <c r="H145" s="125">
        <f t="shared" si="18"/>
        <v>0.46662332032943216</v>
      </c>
      <c r="I145" s="125">
        <f t="shared" si="19"/>
        <v>0.5047680970957954</v>
      </c>
      <c r="J145" s="125">
        <f t="shared" si="20"/>
        <v>1.8064586042479411</v>
      </c>
      <c r="K145" s="125">
        <f t="shared" si="21"/>
        <v>11.480716253443527</v>
      </c>
      <c r="L145" s="126">
        <v>2329</v>
      </c>
      <c r="M145" s="108">
        <v>4658</v>
      </c>
      <c r="N145" s="108">
        <v>6006</v>
      </c>
      <c r="O145" s="108">
        <v>10664</v>
      </c>
      <c r="P145" s="108">
        <f t="shared" si="26"/>
        <v>2.3112267013437364</v>
      </c>
      <c r="Q145" s="108">
        <v>13563</v>
      </c>
      <c r="R145" s="108">
        <v>22417</v>
      </c>
      <c r="S145" s="125">
        <f t="shared" si="22"/>
        <v>4.8584742089293451</v>
      </c>
      <c r="T145" s="108">
        <v>270</v>
      </c>
      <c r="U145" s="125">
        <f t="shared" si="23"/>
        <v>5.8517555266579972E-2</v>
      </c>
      <c r="V145" s="108">
        <v>955</v>
      </c>
      <c r="W145" s="108">
        <v>1459</v>
      </c>
      <c r="X145" s="108">
        <v>3231</v>
      </c>
      <c r="Y145" s="108">
        <v>8230</v>
      </c>
      <c r="Z145" s="125">
        <f t="shared" si="24"/>
        <v>0.70026007802340706</v>
      </c>
      <c r="AA145" s="125">
        <f t="shared" si="25"/>
        <v>4.4504132231404956</v>
      </c>
      <c r="AB145" s="108">
        <v>1049</v>
      </c>
      <c r="AC145" s="78" t="s">
        <v>1643</v>
      </c>
      <c r="AD145" s="126">
        <v>953</v>
      </c>
      <c r="AE145" s="108">
        <v>35980</v>
      </c>
      <c r="AF145" s="108">
        <v>726</v>
      </c>
      <c r="AG145" s="108">
        <v>4614</v>
      </c>
    </row>
    <row r="146" spans="1:33" ht="15.75" thickBot="1" x14ac:dyDescent="0.3">
      <c r="A146" s="44" t="s">
        <v>1560</v>
      </c>
      <c r="B146" s="107" t="s">
        <v>1561</v>
      </c>
      <c r="C146" s="78" t="s">
        <v>798</v>
      </c>
      <c r="D146" s="108">
        <v>15087</v>
      </c>
      <c r="E146" s="108">
        <v>24660</v>
      </c>
      <c r="F146" s="108">
        <v>4373</v>
      </c>
      <c r="G146" s="108">
        <v>44120</v>
      </c>
      <c r="H146" s="125">
        <f t="shared" si="18"/>
        <v>2.1555936562366051</v>
      </c>
      <c r="I146" s="125">
        <f t="shared" si="19"/>
        <v>0.62480354336333765</v>
      </c>
      <c r="J146" s="125">
        <f t="shared" si="20"/>
        <v>6.3037576796685242</v>
      </c>
      <c r="K146" s="125">
        <f t="shared" si="21"/>
        <v>18.663282571912013</v>
      </c>
      <c r="L146" s="126">
        <v>0</v>
      </c>
      <c r="M146" s="108">
        <v>4373</v>
      </c>
      <c r="N146" s="108">
        <v>39747</v>
      </c>
      <c r="O146" s="108">
        <v>44120</v>
      </c>
      <c r="P146" s="108">
        <f t="shared" si="26"/>
        <v>6.3037576796685242</v>
      </c>
      <c r="Q146" s="108">
        <v>26607</v>
      </c>
      <c r="R146" s="108">
        <v>62598</v>
      </c>
      <c r="S146" s="125">
        <f t="shared" si="22"/>
        <v>8.9438491213030424</v>
      </c>
      <c r="T146" s="108">
        <v>919</v>
      </c>
      <c r="U146" s="125">
        <f t="shared" si="23"/>
        <v>0.1313044720674382</v>
      </c>
      <c r="V146" s="108">
        <v>7702</v>
      </c>
      <c r="W146" s="108">
        <v>8473</v>
      </c>
      <c r="X146" s="108">
        <v>35125</v>
      </c>
      <c r="Y146" s="108">
        <v>93544</v>
      </c>
      <c r="Z146" s="125">
        <f t="shared" si="24"/>
        <v>5.0185740820117157</v>
      </c>
      <c r="AA146" s="125">
        <f t="shared" si="25"/>
        <v>14.8582910321489</v>
      </c>
      <c r="AB146" s="108">
        <v>11658</v>
      </c>
      <c r="AC146" s="78" t="s">
        <v>1643</v>
      </c>
      <c r="AD146" s="126">
        <v>2184</v>
      </c>
      <c r="AE146" s="108">
        <v>89205</v>
      </c>
      <c r="AF146" s="108">
        <v>2364</v>
      </c>
      <c r="AG146" s="108">
        <v>6999</v>
      </c>
    </row>
    <row r="147" spans="1:33" ht="15.75" thickBot="1" x14ac:dyDescent="0.3">
      <c r="A147" s="44" t="s">
        <v>1570</v>
      </c>
      <c r="B147" s="107" t="s">
        <v>1571</v>
      </c>
      <c r="C147" s="78" t="s">
        <v>798</v>
      </c>
      <c r="D147" s="108">
        <v>6086</v>
      </c>
      <c r="E147" s="108">
        <v>16085</v>
      </c>
      <c r="F147" s="108">
        <v>1745</v>
      </c>
      <c r="G147" s="108">
        <v>23916</v>
      </c>
      <c r="H147" s="125">
        <f t="shared" si="18"/>
        <v>1.2582179036592929</v>
      </c>
      <c r="I147" s="125">
        <f t="shared" si="19"/>
        <v>0.36076080215009304</v>
      </c>
      <c r="J147" s="125">
        <f t="shared" si="20"/>
        <v>4.9443870167459165</v>
      </c>
      <c r="K147" s="125">
        <f t="shared" si="21"/>
        <v>3.2996688741721854</v>
      </c>
      <c r="L147" s="126">
        <v>0</v>
      </c>
      <c r="M147" s="108">
        <v>1745</v>
      </c>
      <c r="N147" s="108">
        <v>22171</v>
      </c>
      <c r="O147" s="108">
        <v>23916</v>
      </c>
      <c r="P147" s="108">
        <f t="shared" si="26"/>
        <v>4.9443870167459165</v>
      </c>
      <c r="Q147" s="108">
        <v>26675</v>
      </c>
      <c r="R147" s="108">
        <v>19351</v>
      </c>
      <c r="S147" s="125">
        <f t="shared" si="22"/>
        <v>4.0006202191440972</v>
      </c>
      <c r="T147" s="108">
        <v>1645</v>
      </c>
      <c r="U147" s="125">
        <f t="shared" si="23"/>
        <v>0.34008683068017365</v>
      </c>
      <c r="V147" s="108">
        <v>1050</v>
      </c>
      <c r="W147" s="108">
        <v>853</v>
      </c>
      <c r="X147" s="108">
        <v>34081</v>
      </c>
      <c r="Y147" s="108">
        <v>3294</v>
      </c>
      <c r="Z147" s="125">
        <f t="shared" si="24"/>
        <v>7.0458962166632206</v>
      </c>
      <c r="AA147" s="125">
        <f t="shared" si="25"/>
        <v>4.70212472406181</v>
      </c>
      <c r="AB147" s="108">
        <v>5447</v>
      </c>
      <c r="AC147" s="78" t="s">
        <v>1643</v>
      </c>
      <c r="AD147" s="126">
        <v>6025</v>
      </c>
      <c r="AE147" s="108">
        <v>46026</v>
      </c>
      <c r="AF147" s="108">
        <v>7248</v>
      </c>
      <c r="AG147" s="108">
        <v>4837</v>
      </c>
    </row>
    <row r="148" spans="1:33" ht="15.75" thickBot="1" x14ac:dyDescent="0.3">
      <c r="A148" s="44" t="s">
        <v>1588</v>
      </c>
      <c r="B148" s="107" t="s">
        <v>1589</v>
      </c>
      <c r="C148" s="78" t="s">
        <v>798</v>
      </c>
      <c r="D148" s="108">
        <v>8023</v>
      </c>
      <c r="E148" s="108">
        <v>15376</v>
      </c>
      <c r="F148" s="108">
        <v>4585</v>
      </c>
      <c r="G148" s="108">
        <v>27984</v>
      </c>
      <c r="H148" s="125">
        <f t="shared" si="18"/>
        <v>1.5311068702290076</v>
      </c>
      <c r="I148" s="125">
        <f t="shared" si="19"/>
        <v>0.875</v>
      </c>
      <c r="J148" s="125">
        <f t="shared" si="20"/>
        <v>5.3404580152671759</v>
      </c>
      <c r="K148" s="125">
        <f t="shared" si="21"/>
        <v>18.643570952698202</v>
      </c>
      <c r="L148" s="126">
        <v>0</v>
      </c>
      <c r="M148" s="108">
        <v>4585</v>
      </c>
      <c r="N148" s="108">
        <v>23399</v>
      </c>
      <c r="O148" s="108">
        <v>27984</v>
      </c>
      <c r="P148" s="108">
        <f t="shared" si="26"/>
        <v>5.3404580152671759</v>
      </c>
      <c r="Q148" s="108">
        <v>18378</v>
      </c>
      <c r="R148" s="108">
        <v>31766</v>
      </c>
      <c r="S148" s="125">
        <f t="shared" si="22"/>
        <v>6.0622137404580156</v>
      </c>
      <c r="T148" s="108">
        <v>3889</v>
      </c>
      <c r="U148" s="125">
        <f t="shared" si="23"/>
        <v>0.74217557251908395</v>
      </c>
      <c r="V148" s="108">
        <v>954</v>
      </c>
      <c r="W148" s="108">
        <v>1487</v>
      </c>
      <c r="X148" s="108">
        <v>21868</v>
      </c>
      <c r="Y148" s="108">
        <v>22098</v>
      </c>
      <c r="Z148" s="125">
        <f t="shared" si="24"/>
        <v>4.1732824427480919</v>
      </c>
      <c r="AA148" s="125">
        <f t="shared" si="25"/>
        <v>14.568954030646236</v>
      </c>
      <c r="AB148" s="108">
        <v>5575</v>
      </c>
      <c r="AC148" s="78" t="s">
        <v>1643</v>
      </c>
      <c r="AD148" s="126">
        <v>2844</v>
      </c>
      <c r="AE148" s="108">
        <v>50144</v>
      </c>
      <c r="AF148" s="108">
        <v>1501</v>
      </c>
      <c r="AG148" s="108">
        <v>5240</v>
      </c>
    </row>
    <row r="149" spans="1:33" ht="15.75" thickBot="1" x14ac:dyDescent="0.3">
      <c r="A149" s="44" t="s">
        <v>806</v>
      </c>
      <c r="B149" s="107" t="s">
        <v>807</v>
      </c>
      <c r="C149" s="78" t="s">
        <v>808</v>
      </c>
      <c r="D149" s="108">
        <v>5401</v>
      </c>
      <c r="E149" s="108">
        <v>13529</v>
      </c>
      <c r="F149" s="108">
        <v>4084</v>
      </c>
      <c r="G149" s="108">
        <v>23014</v>
      </c>
      <c r="H149" s="125">
        <f t="shared" si="18"/>
        <v>0.7288798920377868</v>
      </c>
      <c r="I149" s="125">
        <f t="shared" si="19"/>
        <v>0.55114709851551957</v>
      </c>
      <c r="J149" s="125">
        <f t="shared" si="20"/>
        <v>3.1058029689608637</v>
      </c>
      <c r="K149" s="125">
        <f t="shared" si="21"/>
        <v>2.5673806336456937</v>
      </c>
      <c r="L149" s="126">
        <v>6227</v>
      </c>
      <c r="M149" s="108">
        <v>10311</v>
      </c>
      <c r="N149" s="108">
        <v>18930</v>
      </c>
      <c r="O149" s="108">
        <v>29241</v>
      </c>
      <c r="P149" s="108">
        <f t="shared" si="26"/>
        <v>3.9461538461538463</v>
      </c>
      <c r="Q149" s="108">
        <v>34147</v>
      </c>
      <c r="R149" s="108">
        <v>18824</v>
      </c>
      <c r="S149" s="125">
        <f t="shared" si="22"/>
        <v>2.5403508771929824</v>
      </c>
      <c r="T149" s="108">
        <v>2312</v>
      </c>
      <c r="U149" s="125">
        <f t="shared" si="23"/>
        <v>0.31201079622132255</v>
      </c>
      <c r="V149" s="108">
        <v>1379</v>
      </c>
      <c r="W149" s="108">
        <v>1876</v>
      </c>
      <c r="X149" s="108">
        <v>23405</v>
      </c>
      <c r="Y149" s="108">
        <v>13170</v>
      </c>
      <c r="Z149" s="125">
        <f t="shared" si="24"/>
        <v>3.1585695006747638</v>
      </c>
      <c r="AA149" s="125">
        <f t="shared" si="25"/>
        <v>2.6109995537706383</v>
      </c>
      <c r="AB149" s="108">
        <v>3349</v>
      </c>
      <c r="AC149" s="78" t="s">
        <v>1643</v>
      </c>
      <c r="AD149" s="126">
        <v>23104</v>
      </c>
      <c r="AE149" s="108">
        <v>52971</v>
      </c>
      <c r="AF149" s="108">
        <v>8964</v>
      </c>
      <c r="AG149" s="108">
        <v>7410</v>
      </c>
    </row>
    <row r="150" spans="1:33" ht="15.75" thickBot="1" x14ac:dyDescent="0.3">
      <c r="A150" s="44" t="s">
        <v>809</v>
      </c>
      <c r="B150" s="107" t="s">
        <v>810</v>
      </c>
      <c r="C150" s="78" t="s">
        <v>808</v>
      </c>
      <c r="D150" s="108">
        <v>2670</v>
      </c>
      <c r="E150" s="108">
        <v>10928</v>
      </c>
      <c r="F150" s="108">
        <v>3316</v>
      </c>
      <c r="G150" s="108">
        <v>16914</v>
      </c>
      <c r="H150" s="125">
        <f t="shared" si="18"/>
        <v>0.23017241379310344</v>
      </c>
      <c r="I150" s="125">
        <f t="shared" si="19"/>
        <v>0.28586206896551725</v>
      </c>
      <c r="J150" s="125">
        <f t="shared" si="20"/>
        <v>1.4581034482758621</v>
      </c>
      <c r="K150" s="125">
        <f t="shared" si="21"/>
        <v>7.1397214014352048</v>
      </c>
      <c r="L150" s="126">
        <v>1588</v>
      </c>
      <c r="M150" s="108">
        <v>4904</v>
      </c>
      <c r="N150" s="108">
        <v>13598</v>
      </c>
      <c r="O150" s="108">
        <v>18502</v>
      </c>
      <c r="P150" s="108">
        <f t="shared" si="26"/>
        <v>1.595</v>
      </c>
      <c r="Q150" s="108">
        <v>19162</v>
      </c>
      <c r="R150" s="108">
        <v>12711</v>
      </c>
      <c r="S150" s="125">
        <f t="shared" si="22"/>
        <v>1.0957758620689655</v>
      </c>
      <c r="T150" s="108">
        <v>396</v>
      </c>
      <c r="U150" s="125">
        <f t="shared" si="23"/>
        <v>3.413793103448276E-2</v>
      </c>
      <c r="V150" s="108">
        <v>2251</v>
      </c>
      <c r="W150" s="108">
        <v>2887</v>
      </c>
      <c r="X150" s="108">
        <v>13680</v>
      </c>
      <c r="Y150" s="108">
        <v>8508</v>
      </c>
      <c r="Z150" s="125">
        <f t="shared" si="24"/>
        <v>1.1793103448275861</v>
      </c>
      <c r="AA150" s="125">
        <f t="shared" si="25"/>
        <v>5.7745884339383702</v>
      </c>
      <c r="AB150" s="108">
        <v>1661</v>
      </c>
      <c r="AC150" s="78" t="s">
        <v>1643</v>
      </c>
      <c r="AD150" s="126">
        <v>697</v>
      </c>
      <c r="AE150" s="108">
        <v>31873</v>
      </c>
      <c r="AF150" s="108">
        <v>2369</v>
      </c>
      <c r="AG150" s="108">
        <v>11600</v>
      </c>
    </row>
    <row r="151" spans="1:33" ht="15.75" thickBot="1" x14ac:dyDescent="0.3">
      <c r="A151" s="44" t="s">
        <v>811</v>
      </c>
      <c r="B151" s="107" t="s">
        <v>812</v>
      </c>
      <c r="C151" s="78" t="s">
        <v>808</v>
      </c>
      <c r="D151" s="108">
        <v>15332</v>
      </c>
      <c r="E151" s="108">
        <v>30158</v>
      </c>
      <c r="F151" s="108">
        <v>3953</v>
      </c>
      <c r="G151" s="108">
        <v>49443</v>
      </c>
      <c r="H151" s="125">
        <f t="shared" si="18"/>
        <v>1.3252657965251966</v>
      </c>
      <c r="I151" s="125">
        <f t="shared" si="19"/>
        <v>0.34168899645604633</v>
      </c>
      <c r="J151" s="125">
        <f t="shared" si="20"/>
        <v>4.2737488114789528</v>
      </c>
      <c r="K151" s="125">
        <f t="shared" si="21"/>
        <v>18.49027673896784</v>
      </c>
      <c r="L151" s="126">
        <v>1612</v>
      </c>
      <c r="M151" s="108">
        <v>5565</v>
      </c>
      <c r="N151" s="108">
        <v>45490</v>
      </c>
      <c r="O151" s="108">
        <v>51055</v>
      </c>
      <c r="P151" s="108">
        <f t="shared" si="26"/>
        <v>4.4130866972080556</v>
      </c>
      <c r="Q151" s="108">
        <v>34525</v>
      </c>
      <c r="R151" s="108">
        <v>100329</v>
      </c>
      <c r="S151" s="125">
        <f t="shared" si="22"/>
        <v>8.6722275045379895</v>
      </c>
      <c r="T151" s="108">
        <v>5005</v>
      </c>
      <c r="U151" s="125">
        <f t="shared" si="23"/>
        <v>0.43262166133632984</v>
      </c>
      <c r="V151" s="108">
        <v>545</v>
      </c>
      <c r="W151" s="108">
        <v>2679</v>
      </c>
      <c r="X151" s="108">
        <v>50139</v>
      </c>
      <c r="Y151" s="108">
        <v>27632</v>
      </c>
      <c r="Z151" s="125">
        <f t="shared" si="24"/>
        <v>4.3339095859624859</v>
      </c>
      <c r="AA151" s="125">
        <f t="shared" si="25"/>
        <v>18.750560957367242</v>
      </c>
      <c r="AB151" s="108">
        <v>13140</v>
      </c>
      <c r="AC151" s="78" t="s">
        <v>1643</v>
      </c>
      <c r="AD151" s="126">
        <v>3528</v>
      </c>
      <c r="AE151" s="108">
        <v>134854</v>
      </c>
      <c r="AF151" s="108">
        <v>2674</v>
      </c>
      <c r="AG151" s="108">
        <v>11569</v>
      </c>
    </row>
    <row r="152" spans="1:33" ht="15.75" thickBot="1" x14ac:dyDescent="0.3">
      <c r="A152" s="44" t="s">
        <v>813</v>
      </c>
      <c r="B152" s="107" t="s">
        <v>814</v>
      </c>
      <c r="C152" s="78" t="s">
        <v>808</v>
      </c>
      <c r="D152" s="108">
        <v>9835</v>
      </c>
      <c r="E152" s="108">
        <v>35428</v>
      </c>
      <c r="F152" s="108">
        <v>5858</v>
      </c>
      <c r="G152" s="108">
        <v>51121</v>
      </c>
      <c r="H152" s="125">
        <f t="shared" si="18"/>
        <v>1.0132907479909334</v>
      </c>
      <c r="I152" s="125">
        <f t="shared" si="19"/>
        <v>0.60354419946424887</v>
      </c>
      <c r="J152" s="125">
        <f t="shared" si="20"/>
        <v>5.2669482794147946</v>
      </c>
      <c r="K152" s="125">
        <f t="shared" si="21"/>
        <v>15.201011002081476</v>
      </c>
      <c r="L152" s="126">
        <v>0</v>
      </c>
      <c r="M152" s="108">
        <v>5858</v>
      </c>
      <c r="N152" s="108">
        <v>45263</v>
      </c>
      <c r="O152" s="108">
        <v>51121</v>
      </c>
      <c r="P152" s="108">
        <f t="shared" si="26"/>
        <v>5.2669482794147946</v>
      </c>
      <c r="Q152" s="108">
        <v>51261</v>
      </c>
      <c r="R152" s="108">
        <v>18792</v>
      </c>
      <c r="S152" s="125">
        <f t="shared" si="22"/>
        <v>1.9361219864001649</v>
      </c>
      <c r="T152" s="108">
        <v>1681</v>
      </c>
      <c r="U152" s="125">
        <f t="shared" si="23"/>
        <v>0.1731918400989079</v>
      </c>
      <c r="V152" s="108">
        <v>7612</v>
      </c>
      <c r="W152" s="108">
        <v>6742</v>
      </c>
      <c r="X152" s="108">
        <v>55289</v>
      </c>
      <c r="Y152" s="108">
        <v>22743</v>
      </c>
      <c r="Z152" s="125">
        <f t="shared" si="24"/>
        <v>5.6963733772923968</v>
      </c>
      <c r="AA152" s="125">
        <f t="shared" si="25"/>
        <v>16.440380612548321</v>
      </c>
      <c r="AB152" s="108">
        <v>7283</v>
      </c>
      <c r="AC152" s="78" t="s">
        <v>1643</v>
      </c>
      <c r="AD152" s="126">
        <v>20352</v>
      </c>
      <c r="AE152" s="108">
        <v>70053</v>
      </c>
      <c r="AF152" s="108">
        <v>3363</v>
      </c>
      <c r="AG152" s="108">
        <v>9706</v>
      </c>
    </row>
    <row r="153" spans="1:33" ht="15.75" thickBot="1" x14ac:dyDescent="0.3">
      <c r="A153" s="44" t="s">
        <v>825</v>
      </c>
      <c r="B153" s="107" t="s">
        <v>826</v>
      </c>
      <c r="C153" s="78" t="s">
        <v>808</v>
      </c>
      <c r="D153" s="108">
        <v>21613</v>
      </c>
      <c r="E153" s="108">
        <v>24921</v>
      </c>
      <c r="F153" s="108">
        <v>4291</v>
      </c>
      <c r="G153" s="108">
        <v>50825</v>
      </c>
      <c r="H153" s="125">
        <f t="shared" si="18"/>
        <v>1.8159132918837171</v>
      </c>
      <c r="I153" s="125">
        <f t="shared" si="19"/>
        <v>0.36052764241303981</v>
      </c>
      <c r="J153" s="125">
        <f t="shared" si="20"/>
        <v>4.2702907074441274</v>
      </c>
      <c r="K153" s="125">
        <f t="shared" si="21"/>
        <v>2.983563252127972</v>
      </c>
      <c r="L153" s="126">
        <v>5913</v>
      </c>
      <c r="M153" s="108">
        <v>10204</v>
      </c>
      <c r="N153" s="108">
        <v>46534</v>
      </c>
      <c r="O153" s="108">
        <v>56738</v>
      </c>
      <c r="P153" s="108">
        <f t="shared" si="26"/>
        <v>4.7670979667282811</v>
      </c>
      <c r="Q153" s="108">
        <v>91989</v>
      </c>
      <c r="R153" s="108">
        <v>20669</v>
      </c>
      <c r="S153" s="125">
        <f t="shared" si="22"/>
        <v>1.7365988909426988</v>
      </c>
      <c r="T153" s="108">
        <v>18317</v>
      </c>
      <c r="U153" s="125">
        <f t="shared" si="23"/>
        <v>1.538985044530331</v>
      </c>
      <c r="V153" s="108">
        <v>2084</v>
      </c>
      <c r="W153" s="108">
        <v>2307</v>
      </c>
      <c r="X153" s="108">
        <v>99218</v>
      </c>
      <c r="Y153" s="108">
        <v>97420</v>
      </c>
      <c r="Z153" s="125">
        <f t="shared" si="24"/>
        <v>8.336246009074106</v>
      </c>
      <c r="AA153" s="125">
        <f t="shared" si="25"/>
        <v>5.8243616084531844</v>
      </c>
      <c r="AB153" s="108">
        <v>13100</v>
      </c>
      <c r="AC153" s="78" t="s">
        <v>1643</v>
      </c>
      <c r="AD153" s="126">
        <v>62400</v>
      </c>
      <c r="AE153" s="108">
        <v>112658</v>
      </c>
      <c r="AF153" s="108">
        <v>17035</v>
      </c>
      <c r="AG153" s="108">
        <v>11902</v>
      </c>
    </row>
    <row r="154" spans="1:33" ht="15.75" thickBot="1" x14ac:dyDescent="0.3">
      <c r="A154" s="44" t="s">
        <v>833</v>
      </c>
      <c r="B154" s="107" t="s">
        <v>834</v>
      </c>
      <c r="C154" s="78" t="s">
        <v>808</v>
      </c>
      <c r="D154" s="108">
        <v>11895</v>
      </c>
      <c r="E154" s="108">
        <v>12589</v>
      </c>
      <c r="F154" s="108">
        <v>4984</v>
      </c>
      <c r="G154" s="108">
        <v>29468</v>
      </c>
      <c r="H154" s="125">
        <f t="shared" si="18"/>
        <v>1.0813636363636363</v>
      </c>
      <c r="I154" s="125">
        <f t="shared" si="19"/>
        <v>0.4530909090909091</v>
      </c>
      <c r="J154" s="125">
        <f t="shared" si="20"/>
        <v>2.6789090909090909</v>
      </c>
      <c r="K154" s="125">
        <f t="shared" si="21"/>
        <v>16.06761177753544</v>
      </c>
      <c r="L154" s="126">
        <v>0</v>
      </c>
      <c r="M154" s="108">
        <v>4984</v>
      </c>
      <c r="N154" s="108">
        <v>24484</v>
      </c>
      <c r="O154" s="108">
        <v>29468</v>
      </c>
      <c r="P154" s="108">
        <f t="shared" si="26"/>
        <v>2.6789090909090909</v>
      </c>
      <c r="Q154" s="108">
        <v>68323</v>
      </c>
      <c r="R154" s="108">
        <v>28752</v>
      </c>
      <c r="S154" s="125">
        <f t="shared" si="22"/>
        <v>2.6138181818181816</v>
      </c>
      <c r="T154" s="108">
        <v>2663</v>
      </c>
      <c r="U154" s="125">
        <f t="shared" si="23"/>
        <v>0.24209090909090908</v>
      </c>
      <c r="V154" s="108">
        <v>2813</v>
      </c>
      <c r="W154" s="108">
        <v>3828</v>
      </c>
      <c r="X154" s="108">
        <v>39232</v>
      </c>
      <c r="Y154" s="108">
        <v>87240</v>
      </c>
      <c r="Z154" s="125">
        <f t="shared" si="24"/>
        <v>3.5665454545454547</v>
      </c>
      <c r="AA154" s="125">
        <f t="shared" si="25"/>
        <v>21.391494002181027</v>
      </c>
      <c r="AB154" s="108">
        <v>4532</v>
      </c>
      <c r="AC154" s="78" t="s">
        <v>1643</v>
      </c>
      <c r="AD154" s="126">
        <v>9069</v>
      </c>
      <c r="AE154" s="108">
        <v>97075</v>
      </c>
      <c r="AF154" s="108">
        <v>1834</v>
      </c>
      <c r="AG154" s="108">
        <v>11000</v>
      </c>
    </row>
    <row r="155" spans="1:33" ht="15.75" thickBot="1" x14ac:dyDescent="0.3">
      <c r="A155" s="44" t="s">
        <v>848</v>
      </c>
      <c r="B155" s="107" t="s">
        <v>849</v>
      </c>
      <c r="C155" s="78" t="s">
        <v>808</v>
      </c>
      <c r="D155" s="108">
        <v>10058</v>
      </c>
      <c r="E155" s="108">
        <v>16813</v>
      </c>
      <c r="F155" s="108">
        <v>4676</v>
      </c>
      <c r="G155" s="108">
        <v>31547</v>
      </c>
      <c r="H155" s="125">
        <f t="shared" si="18"/>
        <v>1.4023982152816508</v>
      </c>
      <c r="I155" s="125">
        <f t="shared" si="19"/>
        <v>0.65197992191857224</v>
      </c>
      <c r="J155" s="125">
        <f t="shared" si="20"/>
        <v>4.3986335750139434</v>
      </c>
      <c r="K155" s="125">
        <f t="shared" si="21"/>
        <v>9.1281828703703702</v>
      </c>
      <c r="L155" s="126">
        <v>312</v>
      </c>
      <c r="M155" s="108">
        <v>4988</v>
      </c>
      <c r="N155" s="108">
        <v>26871</v>
      </c>
      <c r="O155" s="108">
        <v>31859</v>
      </c>
      <c r="P155" s="108">
        <f t="shared" si="26"/>
        <v>4.4421360847741216</v>
      </c>
      <c r="Q155" s="108">
        <v>23937</v>
      </c>
      <c r="R155" s="108">
        <v>19491</v>
      </c>
      <c r="S155" s="125">
        <f t="shared" si="22"/>
        <v>2.7176519799219188</v>
      </c>
      <c r="T155" s="108">
        <v>624</v>
      </c>
      <c r="U155" s="125">
        <f t="shared" si="23"/>
        <v>8.7005019520356941E-2</v>
      </c>
      <c r="V155" s="108">
        <v>2776</v>
      </c>
      <c r="W155" s="108">
        <v>3304</v>
      </c>
      <c r="X155" s="108">
        <v>26361</v>
      </c>
      <c r="Y155" s="78" t="s">
        <v>3453</v>
      </c>
      <c r="Z155" s="125">
        <f t="shared" si="24"/>
        <v>3.6755437813720024</v>
      </c>
      <c r="AA155" s="125">
        <f t="shared" si="25"/>
        <v>7.627604166666667</v>
      </c>
      <c r="AB155" s="108">
        <v>2184</v>
      </c>
      <c r="AC155" s="78" t="s">
        <v>1643</v>
      </c>
      <c r="AD155" s="126">
        <v>1248</v>
      </c>
      <c r="AE155" s="108">
        <v>43428</v>
      </c>
      <c r="AF155" s="108">
        <v>3456</v>
      </c>
      <c r="AG155" s="108">
        <v>7172</v>
      </c>
    </row>
    <row r="156" spans="1:33" ht="15.75" thickBot="1" x14ac:dyDescent="0.3">
      <c r="A156" s="44" t="s">
        <v>859</v>
      </c>
      <c r="B156" s="107" t="s">
        <v>860</v>
      </c>
      <c r="C156" s="78" t="s">
        <v>808</v>
      </c>
      <c r="D156" s="108">
        <v>3209</v>
      </c>
      <c r="E156" s="108">
        <v>3410</v>
      </c>
      <c r="F156" s="108">
        <v>0</v>
      </c>
      <c r="G156" s="108">
        <v>6619</v>
      </c>
      <c r="H156" s="125">
        <f t="shared" si="18"/>
        <v>0.27668563545438868</v>
      </c>
      <c r="I156" s="125">
        <f t="shared" si="19"/>
        <v>0</v>
      </c>
      <c r="J156" s="125">
        <f t="shared" si="20"/>
        <v>0.57070184514571476</v>
      </c>
      <c r="K156" s="125">
        <f t="shared" si="21"/>
        <v>3.5188729399255716</v>
      </c>
      <c r="L156" s="126">
        <v>320</v>
      </c>
      <c r="M156" s="108">
        <v>320</v>
      </c>
      <c r="N156" s="108">
        <v>6619</v>
      </c>
      <c r="O156" s="108">
        <v>6939</v>
      </c>
      <c r="P156" s="108">
        <f t="shared" si="26"/>
        <v>0.59829280910501814</v>
      </c>
      <c r="Q156" s="108">
        <v>21072</v>
      </c>
      <c r="R156" s="108">
        <v>0</v>
      </c>
      <c r="S156" s="125">
        <f t="shared" si="22"/>
        <v>0</v>
      </c>
      <c r="T156" s="108">
        <v>650</v>
      </c>
      <c r="U156" s="125">
        <f t="shared" si="23"/>
        <v>5.6044145542334882E-2</v>
      </c>
      <c r="V156" s="108">
        <v>68</v>
      </c>
      <c r="W156" s="108">
        <v>84</v>
      </c>
      <c r="X156" s="108">
        <v>7125</v>
      </c>
      <c r="Y156" s="108">
        <v>1173</v>
      </c>
      <c r="Z156" s="125">
        <f t="shared" si="24"/>
        <v>0.61433005690636322</v>
      </c>
      <c r="AA156" s="125">
        <f t="shared" si="25"/>
        <v>3.7878787878787881</v>
      </c>
      <c r="AB156" s="108">
        <v>1832</v>
      </c>
      <c r="AC156" s="78" t="s">
        <v>1643</v>
      </c>
      <c r="AD156" s="126">
        <v>1600</v>
      </c>
      <c r="AE156" s="108">
        <v>21072</v>
      </c>
      <c r="AF156" s="108">
        <v>1881</v>
      </c>
      <c r="AG156" s="108">
        <v>11598</v>
      </c>
    </row>
    <row r="157" spans="1:33" ht="15.75" thickBot="1" x14ac:dyDescent="0.3">
      <c r="A157" s="44" t="s">
        <v>879</v>
      </c>
      <c r="B157" s="107" t="s">
        <v>880</v>
      </c>
      <c r="C157" s="78" t="s">
        <v>808</v>
      </c>
      <c r="D157" s="108">
        <v>25640</v>
      </c>
      <c r="E157" s="108">
        <v>39575</v>
      </c>
      <c r="F157" s="108">
        <v>5906</v>
      </c>
      <c r="G157" s="108">
        <v>71121</v>
      </c>
      <c r="H157" s="125">
        <f t="shared" si="18"/>
        <v>2.7878656083505491</v>
      </c>
      <c r="I157" s="125">
        <f t="shared" si="19"/>
        <v>0.6421659236707622</v>
      </c>
      <c r="J157" s="125">
        <f t="shared" si="20"/>
        <v>7.7330651299336743</v>
      </c>
      <c r="K157" s="125">
        <f t="shared" si="21"/>
        <v>13.36358511837655</v>
      </c>
      <c r="L157" s="126">
        <v>276</v>
      </c>
      <c r="M157" s="108">
        <v>6182</v>
      </c>
      <c r="N157" s="108">
        <v>65215</v>
      </c>
      <c r="O157" s="108">
        <v>71397</v>
      </c>
      <c r="P157" s="108">
        <f t="shared" si="26"/>
        <v>7.7630749157333909</v>
      </c>
      <c r="Q157" s="108">
        <v>53751</v>
      </c>
      <c r="R157" s="108">
        <v>16418</v>
      </c>
      <c r="S157" s="125">
        <f t="shared" si="22"/>
        <v>1.7851473306512993</v>
      </c>
      <c r="T157" s="108">
        <v>11248</v>
      </c>
      <c r="U157" s="125">
        <f t="shared" si="23"/>
        <v>1.22300750244645</v>
      </c>
      <c r="V157" s="108">
        <v>5186</v>
      </c>
      <c r="W157" s="108">
        <v>4619</v>
      </c>
      <c r="X157" s="108">
        <v>103925</v>
      </c>
      <c r="Y157" s="108">
        <v>20179</v>
      </c>
      <c r="Z157" s="125">
        <f t="shared" si="24"/>
        <v>11.299880395781233</v>
      </c>
      <c r="AA157" s="125">
        <f t="shared" si="25"/>
        <v>19.527433295753475</v>
      </c>
      <c r="AB157" s="108">
        <v>14296</v>
      </c>
      <c r="AC157" s="78" t="s">
        <v>1643</v>
      </c>
      <c r="AD157" s="126">
        <v>3039</v>
      </c>
      <c r="AE157" s="108">
        <v>70169</v>
      </c>
      <c r="AF157" s="108">
        <v>5322</v>
      </c>
      <c r="AG157" s="108">
        <v>9197</v>
      </c>
    </row>
    <row r="158" spans="1:33" ht="15.75" thickBot="1" x14ac:dyDescent="0.3">
      <c r="A158" s="44" t="s">
        <v>889</v>
      </c>
      <c r="B158" s="107" t="s">
        <v>890</v>
      </c>
      <c r="C158" s="78" t="s">
        <v>808</v>
      </c>
      <c r="D158" s="108">
        <v>17628</v>
      </c>
      <c r="E158" s="108">
        <v>50192</v>
      </c>
      <c r="F158" s="108">
        <v>8219</v>
      </c>
      <c r="G158" s="108">
        <v>76039</v>
      </c>
      <c r="H158" s="125">
        <f t="shared" si="18"/>
        <v>1.490739957716702</v>
      </c>
      <c r="I158" s="125">
        <f t="shared" si="19"/>
        <v>0.69505285412262152</v>
      </c>
      <c r="J158" s="125">
        <f t="shared" si="20"/>
        <v>6.4303594080338264</v>
      </c>
      <c r="K158" s="125">
        <f t="shared" si="21"/>
        <v>18.849529003470501</v>
      </c>
      <c r="L158" s="126">
        <v>323</v>
      </c>
      <c r="M158" s="108">
        <v>8542</v>
      </c>
      <c r="N158" s="108">
        <v>67820</v>
      </c>
      <c r="O158" s="108">
        <v>76362</v>
      </c>
      <c r="P158" s="108">
        <f t="shared" si="26"/>
        <v>6.4576744186046513</v>
      </c>
      <c r="Q158" s="108">
        <v>76106</v>
      </c>
      <c r="R158" s="108">
        <v>22629</v>
      </c>
      <c r="S158" s="125">
        <f t="shared" si="22"/>
        <v>1.9136575052854123</v>
      </c>
      <c r="T158" s="108">
        <v>13900</v>
      </c>
      <c r="U158" s="125">
        <f t="shared" si="23"/>
        <v>1.1754756871035941</v>
      </c>
      <c r="V158" s="108">
        <v>10572</v>
      </c>
      <c r="W158" s="108">
        <v>11602</v>
      </c>
      <c r="X158" s="108">
        <v>86609</v>
      </c>
      <c r="Y158" s="108">
        <v>47308</v>
      </c>
      <c r="Z158" s="125">
        <f t="shared" si="24"/>
        <v>7.324228329809725</v>
      </c>
      <c r="AA158" s="125">
        <f t="shared" si="25"/>
        <v>21.469757064947942</v>
      </c>
      <c r="AB158" s="108">
        <v>13200</v>
      </c>
      <c r="AC158" s="78" t="s">
        <v>1643</v>
      </c>
      <c r="AD158" s="126">
        <v>17885</v>
      </c>
      <c r="AE158" s="108">
        <v>98735</v>
      </c>
      <c r="AF158" s="108">
        <v>4034</v>
      </c>
      <c r="AG158" s="108">
        <v>11825</v>
      </c>
    </row>
    <row r="159" spans="1:33" ht="15.75" thickBot="1" x14ac:dyDescent="0.3">
      <c r="A159" s="44" t="s">
        <v>893</v>
      </c>
      <c r="B159" s="107" t="s">
        <v>894</v>
      </c>
      <c r="C159" s="78" t="s">
        <v>808</v>
      </c>
      <c r="D159" s="108">
        <v>17517</v>
      </c>
      <c r="E159" s="108">
        <v>37515</v>
      </c>
      <c r="F159" s="108">
        <v>8354</v>
      </c>
      <c r="G159" s="108">
        <v>63386</v>
      </c>
      <c r="H159" s="125">
        <f t="shared" si="18"/>
        <v>2.424162745640742</v>
      </c>
      <c r="I159" s="125">
        <f t="shared" si="19"/>
        <v>1.1561029615278162</v>
      </c>
      <c r="J159" s="125">
        <f t="shared" si="20"/>
        <v>8.7719346803210634</v>
      </c>
      <c r="K159" s="125">
        <f t="shared" si="21"/>
        <v>13.026304973284011</v>
      </c>
      <c r="L159" s="127">
        <v>0</v>
      </c>
      <c r="M159" s="108">
        <v>8354</v>
      </c>
      <c r="N159" s="108">
        <v>55032</v>
      </c>
      <c r="O159" s="108">
        <v>63386</v>
      </c>
      <c r="P159" s="108">
        <f t="shared" si="26"/>
        <v>8.7719346803210634</v>
      </c>
      <c r="Q159" s="108">
        <v>34289</v>
      </c>
      <c r="R159" s="108">
        <v>30457</v>
      </c>
      <c r="S159" s="125">
        <f t="shared" si="22"/>
        <v>4.2149183504013283</v>
      </c>
      <c r="T159" s="108">
        <v>365</v>
      </c>
      <c r="U159" s="125">
        <f t="shared" si="23"/>
        <v>5.0512039856075282E-2</v>
      </c>
      <c r="V159" s="108">
        <v>5250</v>
      </c>
      <c r="W159" s="108">
        <v>4514</v>
      </c>
      <c r="X159" s="108">
        <v>56093</v>
      </c>
      <c r="Y159" s="108">
        <v>49000</v>
      </c>
      <c r="Z159" s="125">
        <f t="shared" si="24"/>
        <v>7.7626626072515919</v>
      </c>
      <c r="AA159" s="125">
        <f t="shared" si="25"/>
        <v>11.5275380189067</v>
      </c>
      <c r="AB159" s="108">
        <v>6480</v>
      </c>
      <c r="AC159" s="78" t="s">
        <v>1643</v>
      </c>
      <c r="AD159" s="126">
        <v>11160</v>
      </c>
      <c r="AE159" s="108">
        <v>64746</v>
      </c>
      <c r="AF159" s="108">
        <v>4866</v>
      </c>
      <c r="AG159" s="108">
        <v>7226</v>
      </c>
    </row>
    <row r="160" spans="1:33" ht="15.75" thickBot="1" x14ac:dyDescent="0.3">
      <c r="A160" s="44" t="s">
        <v>911</v>
      </c>
      <c r="B160" s="107" t="s">
        <v>912</v>
      </c>
      <c r="C160" s="78" t="s">
        <v>808</v>
      </c>
      <c r="D160" s="108">
        <v>16343</v>
      </c>
      <c r="E160" s="108">
        <v>26814</v>
      </c>
      <c r="F160" s="108">
        <v>8547</v>
      </c>
      <c r="G160" s="108">
        <v>51704</v>
      </c>
      <c r="H160" s="125">
        <f t="shared" si="18"/>
        <v>1.6197224975222992</v>
      </c>
      <c r="I160" s="125">
        <f t="shared" si="19"/>
        <v>0.84707631318136767</v>
      </c>
      <c r="J160" s="125">
        <f t="shared" si="20"/>
        <v>5.124281466798811</v>
      </c>
      <c r="K160" s="125">
        <f t="shared" si="21"/>
        <v>17.223184543637576</v>
      </c>
      <c r="L160" s="126">
        <v>822</v>
      </c>
      <c r="M160" s="108">
        <v>9369</v>
      </c>
      <c r="N160" s="108">
        <v>43157</v>
      </c>
      <c r="O160" s="108">
        <v>52526</v>
      </c>
      <c r="P160" s="108">
        <f t="shared" si="26"/>
        <v>5.2057482656095146</v>
      </c>
      <c r="Q160" s="108">
        <v>45258</v>
      </c>
      <c r="R160" s="108">
        <v>17244</v>
      </c>
      <c r="S160" s="125">
        <f t="shared" si="22"/>
        <v>1.7090188305252725</v>
      </c>
      <c r="T160" s="108">
        <v>1812</v>
      </c>
      <c r="U160" s="125">
        <f t="shared" si="23"/>
        <v>0.17958374628344895</v>
      </c>
      <c r="V160" s="108">
        <v>1541</v>
      </c>
      <c r="W160" s="108">
        <v>2387</v>
      </c>
      <c r="X160" s="108">
        <v>46065</v>
      </c>
      <c r="Y160" s="108">
        <v>30007</v>
      </c>
      <c r="Z160" s="125">
        <f t="shared" si="24"/>
        <v>4.5654112983151638</v>
      </c>
      <c r="AA160" s="125">
        <f t="shared" si="25"/>
        <v>15.344770153231179</v>
      </c>
      <c r="AB160" s="108">
        <v>6534</v>
      </c>
      <c r="AC160" s="78" t="s">
        <v>1643</v>
      </c>
      <c r="AD160" s="126">
        <v>14623</v>
      </c>
      <c r="AE160" s="108">
        <v>62502</v>
      </c>
      <c r="AF160" s="108">
        <v>3002</v>
      </c>
      <c r="AG160" s="108">
        <v>10090</v>
      </c>
    </row>
    <row r="161" spans="1:33" ht="15.75" thickBot="1" x14ac:dyDescent="0.3">
      <c r="A161" s="44" t="s">
        <v>913</v>
      </c>
      <c r="B161" s="107" t="s">
        <v>914</v>
      </c>
      <c r="C161" s="78" t="s">
        <v>808</v>
      </c>
      <c r="D161" s="108">
        <v>6606</v>
      </c>
      <c r="E161" s="108">
        <v>17949</v>
      </c>
      <c r="F161" s="108">
        <v>3511</v>
      </c>
      <c r="G161" s="108">
        <v>28066</v>
      </c>
      <c r="H161" s="125">
        <f t="shared" si="18"/>
        <v>0.68068006182380214</v>
      </c>
      <c r="I161" s="125">
        <f t="shared" si="19"/>
        <v>0.36177228232869657</v>
      </c>
      <c r="J161" s="125">
        <f t="shared" si="20"/>
        <v>2.891911385883565</v>
      </c>
      <c r="K161" s="125">
        <f t="shared" si="21"/>
        <v>9.7859135285913528</v>
      </c>
      <c r="L161" s="127">
        <v>0</v>
      </c>
      <c r="M161" s="108">
        <v>3511</v>
      </c>
      <c r="N161" s="108">
        <v>24555</v>
      </c>
      <c r="O161" s="108">
        <v>28066</v>
      </c>
      <c r="P161" s="108">
        <f t="shared" si="26"/>
        <v>2.891911385883565</v>
      </c>
      <c r="Q161" s="108">
        <v>33058</v>
      </c>
      <c r="R161" s="108">
        <v>20983</v>
      </c>
      <c r="S161" s="125">
        <f t="shared" si="22"/>
        <v>2.1620814013395155</v>
      </c>
      <c r="T161" s="108">
        <v>3312</v>
      </c>
      <c r="U161" s="125">
        <f t="shared" si="23"/>
        <v>0.34126738794435857</v>
      </c>
      <c r="V161" s="108">
        <v>702</v>
      </c>
      <c r="W161" s="108">
        <v>2120</v>
      </c>
      <c r="X161" s="108">
        <v>45554</v>
      </c>
      <c r="Y161" s="108">
        <v>3465</v>
      </c>
      <c r="Z161" s="125">
        <f t="shared" si="24"/>
        <v>4.6938691396187533</v>
      </c>
      <c r="AA161" s="125">
        <f t="shared" si="25"/>
        <v>15.883542538354254</v>
      </c>
      <c r="AB161" s="108">
        <v>5338</v>
      </c>
      <c r="AC161" s="78" t="s">
        <v>1643</v>
      </c>
      <c r="AD161" s="126">
        <v>4416</v>
      </c>
      <c r="AE161" s="108">
        <v>54041</v>
      </c>
      <c r="AF161" s="108">
        <v>2868</v>
      </c>
      <c r="AG161" s="108">
        <v>9705</v>
      </c>
    </row>
    <row r="162" spans="1:33" ht="15.75" thickBot="1" x14ac:dyDescent="0.3">
      <c r="A162" s="44" t="s">
        <v>919</v>
      </c>
      <c r="B162" s="107" t="s">
        <v>920</v>
      </c>
      <c r="C162" s="78" t="s">
        <v>808</v>
      </c>
      <c r="D162" s="108">
        <v>8071</v>
      </c>
      <c r="E162" s="108">
        <v>17075</v>
      </c>
      <c r="F162" s="108">
        <v>7096</v>
      </c>
      <c r="G162" s="108">
        <v>32242</v>
      </c>
      <c r="H162" s="125">
        <f t="shared" si="18"/>
        <v>0.92855499309710077</v>
      </c>
      <c r="I162" s="125">
        <f t="shared" si="19"/>
        <v>0.81638288080994015</v>
      </c>
      <c r="J162" s="125">
        <f t="shared" si="20"/>
        <v>3.7093879429360332</v>
      </c>
      <c r="K162" s="125">
        <f t="shared" si="21"/>
        <v>7.0060843111690572</v>
      </c>
      <c r="L162" s="126">
        <v>0</v>
      </c>
      <c r="M162" s="108">
        <v>7096</v>
      </c>
      <c r="N162" s="108">
        <v>25146</v>
      </c>
      <c r="O162" s="108">
        <v>32242</v>
      </c>
      <c r="P162" s="108">
        <f t="shared" si="26"/>
        <v>3.7093879429360332</v>
      </c>
      <c r="Q162" s="108">
        <v>52975</v>
      </c>
      <c r="R162" s="108">
        <v>12711</v>
      </c>
      <c r="S162" s="125">
        <f t="shared" si="22"/>
        <v>1.4623791992636908</v>
      </c>
      <c r="T162" s="108">
        <v>1956</v>
      </c>
      <c r="U162" s="125">
        <f t="shared" si="23"/>
        <v>0.22503451449608836</v>
      </c>
      <c r="V162" s="108">
        <v>2656</v>
      </c>
      <c r="W162" s="108">
        <v>3049</v>
      </c>
      <c r="X162" s="108">
        <v>34024</v>
      </c>
      <c r="Y162" s="108">
        <v>4694</v>
      </c>
      <c r="Z162" s="125">
        <f t="shared" si="24"/>
        <v>3.9144040497008743</v>
      </c>
      <c r="AA162" s="125">
        <f t="shared" si="25"/>
        <v>7.3933072577140377</v>
      </c>
      <c r="AB162" s="108">
        <v>2421</v>
      </c>
      <c r="AC162" s="78" t="s">
        <v>1643</v>
      </c>
      <c r="AD162" s="127" t="s">
        <v>3453</v>
      </c>
      <c r="AE162" s="108">
        <v>65686</v>
      </c>
      <c r="AF162" s="108">
        <v>4602</v>
      </c>
      <c r="AG162" s="108">
        <v>8692</v>
      </c>
    </row>
    <row r="163" spans="1:33" ht="15.75" thickBot="1" x14ac:dyDescent="0.3">
      <c r="A163" s="44" t="s">
        <v>927</v>
      </c>
      <c r="B163" s="107" t="s">
        <v>928</v>
      </c>
      <c r="C163" s="78" t="s">
        <v>808</v>
      </c>
      <c r="D163" s="108">
        <v>15122</v>
      </c>
      <c r="E163" s="108">
        <v>27109</v>
      </c>
      <c r="F163" s="108">
        <v>4675</v>
      </c>
      <c r="G163" s="108">
        <v>46906</v>
      </c>
      <c r="H163" s="125">
        <f t="shared" si="18"/>
        <v>1.2779514915913124</v>
      </c>
      <c r="I163" s="125">
        <f t="shared" si="19"/>
        <v>0.39508155159300262</v>
      </c>
      <c r="J163" s="125">
        <f t="shared" si="20"/>
        <v>3.9639989858869265</v>
      </c>
      <c r="K163" s="125">
        <f t="shared" si="21"/>
        <v>7.6319557435730561</v>
      </c>
      <c r="L163" s="126">
        <v>11135</v>
      </c>
      <c r="M163" s="108">
        <v>15810</v>
      </c>
      <c r="N163" s="108">
        <v>42231</v>
      </c>
      <c r="O163" s="108">
        <v>58041</v>
      </c>
      <c r="P163" s="108">
        <f t="shared" si="26"/>
        <v>4.9050114087720784</v>
      </c>
      <c r="Q163" s="108">
        <v>54909</v>
      </c>
      <c r="R163" s="108">
        <v>11652</v>
      </c>
      <c r="S163" s="125">
        <f t="shared" si="22"/>
        <v>0.98470379447308376</v>
      </c>
      <c r="T163" s="108">
        <v>4518</v>
      </c>
      <c r="U163" s="125">
        <f t="shared" si="23"/>
        <v>0.38181357221330181</v>
      </c>
      <c r="V163" s="108">
        <v>6780</v>
      </c>
      <c r="W163" s="108">
        <v>3318</v>
      </c>
      <c r="X163" s="108">
        <v>241682</v>
      </c>
      <c r="Y163" s="108">
        <v>18275</v>
      </c>
      <c r="Z163" s="125">
        <f t="shared" si="24"/>
        <v>20.424406321304826</v>
      </c>
      <c r="AA163" s="125">
        <f t="shared" si="25"/>
        <v>39.323462414578586</v>
      </c>
      <c r="AB163" s="108">
        <v>10381</v>
      </c>
      <c r="AC163" s="78" t="s">
        <v>1643</v>
      </c>
      <c r="AD163" s="126">
        <v>12240</v>
      </c>
      <c r="AE163" s="108">
        <v>66561</v>
      </c>
      <c r="AF163" s="108">
        <v>6146</v>
      </c>
      <c r="AG163" s="108">
        <v>11833</v>
      </c>
    </row>
    <row r="164" spans="1:33" ht="15.75" thickBot="1" x14ac:dyDescent="0.3">
      <c r="A164" s="44" t="s">
        <v>931</v>
      </c>
      <c r="B164" s="107" t="s">
        <v>932</v>
      </c>
      <c r="C164" s="78" t="s">
        <v>808</v>
      </c>
      <c r="D164" s="108">
        <v>6458</v>
      </c>
      <c r="E164" s="108">
        <v>17363</v>
      </c>
      <c r="F164" s="108">
        <v>2544</v>
      </c>
      <c r="G164" s="108">
        <v>26365</v>
      </c>
      <c r="H164" s="125">
        <f t="shared" si="18"/>
        <v>0.59482361610021184</v>
      </c>
      <c r="I164" s="125">
        <f t="shared" si="19"/>
        <v>0.23431887261674494</v>
      </c>
      <c r="J164" s="125">
        <f t="shared" si="20"/>
        <v>2.428387215621258</v>
      </c>
      <c r="K164" s="125">
        <f t="shared" si="21"/>
        <v>13.527449974345819</v>
      </c>
      <c r="L164" s="126">
        <v>1295</v>
      </c>
      <c r="M164" s="108">
        <v>3839</v>
      </c>
      <c r="N164" s="108">
        <v>23821</v>
      </c>
      <c r="O164" s="108">
        <v>27660</v>
      </c>
      <c r="P164" s="108">
        <f t="shared" si="26"/>
        <v>2.54766510085659</v>
      </c>
      <c r="Q164" s="108">
        <v>45699</v>
      </c>
      <c r="R164" s="108">
        <v>23991</v>
      </c>
      <c r="S164" s="125">
        <f t="shared" si="22"/>
        <v>2.209726443768997</v>
      </c>
      <c r="T164" s="108">
        <v>10000</v>
      </c>
      <c r="U164" s="125">
        <f t="shared" si="23"/>
        <v>0.92106475085198491</v>
      </c>
      <c r="V164" s="108">
        <v>4324</v>
      </c>
      <c r="W164" s="108">
        <v>4389</v>
      </c>
      <c r="X164" s="108">
        <v>40000</v>
      </c>
      <c r="Y164" s="108">
        <v>15483</v>
      </c>
      <c r="Z164" s="125">
        <f t="shared" si="24"/>
        <v>3.6842590034079397</v>
      </c>
      <c r="AA164" s="125">
        <f t="shared" si="25"/>
        <v>20.52334530528476</v>
      </c>
      <c r="AB164" s="108">
        <v>4826</v>
      </c>
      <c r="AC164" s="78" t="s">
        <v>1643</v>
      </c>
      <c r="AD164" s="126">
        <v>7054</v>
      </c>
      <c r="AE164" s="108">
        <v>69690</v>
      </c>
      <c r="AF164" s="108">
        <v>1949</v>
      </c>
      <c r="AG164" s="108">
        <v>10857</v>
      </c>
    </row>
    <row r="165" spans="1:33" ht="15.75" thickBot="1" x14ac:dyDescent="0.3">
      <c r="A165" s="44" t="s">
        <v>935</v>
      </c>
      <c r="B165" s="107" t="s">
        <v>936</v>
      </c>
      <c r="C165" s="78" t="s">
        <v>808</v>
      </c>
      <c r="D165" s="108">
        <v>29907</v>
      </c>
      <c r="E165" s="108">
        <v>20863</v>
      </c>
      <c r="F165" s="108">
        <v>4893</v>
      </c>
      <c r="G165" s="108">
        <v>55663</v>
      </c>
      <c r="H165" s="125">
        <f t="shared" si="18"/>
        <v>3.153748813666561</v>
      </c>
      <c r="I165" s="125">
        <f t="shared" si="19"/>
        <v>0.51597595697564058</v>
      </c>
      <c r="J165" s="125">
        <f t="shared" si="20"/>
        <v>5.8697669513866924</v>
      </c>
      <c r="K165" s="125">
        <f t="shared" si="21"/>
        <v>19.483024151207559</v>
      </c>
      <c r="L165" s="126">
        <v>0</v>
      </c>
      <c r="M165" s="108">
        <v>4893</v>
      </c>
      <c r="N165" s="108">
        <v>50770</v>
      </c>
      <c r="O165" s="108">
        <v>55663</v>
      </c>
      <c r="P165" s="108">
        <f t="shared" si="26"/>
        <v>5.8697669513866924</v>
      </c>
      <c r="Q165" s="108">
        <v>24060</v>
      </c>
      <c r="R165" s="108">
        <v>22480</v>
      </c>
      <c r="S165" s="125">
        <f t="shared" si="22"/>
        <v>2.370557840345882</v>
      </c>
      <c r="T165" s="108">
        <v>10900</v>
      </c>
      <c r="U165" s="125">
        <f t="shared" si="23"/>
        <v>1.1494252873563218</v>
      </c>
      <c r="V165" s="108">
        <v>3224</v>
      </c>
      <c r="W165" s="108">
        <v>4530</v>
      </c>
      <c r="X165" s="108">
        <v>69058</v>
      </c>
      <c r="Y165" s="108">
        <v>19876</v>
      </c>
      <c r="Z165" s="125">
        <f t="shared" si="24"/>
        <v>7.282294632500264</v>
      </c>
      <c r="AA165" s="125">
        <f t="shared" si="25"/>
        <v>24.171508575428771</v>
      </c>
      <c r="AB165" s="108">
        <v>7594</v>
      </c>
      <c r="AC165" s="78" t="s">
        <v>1643</v>
      </c>
      <c r="AD165" s="126">
        <v>18379</v>
      </c>
      <c r="AE165" s="108">
        <v>46540</v>
      </c>
      <c r="AF165" s="108">
        <v>2857</v>
      </c>
      <c r="AG165" s="108">
        <v>9483</v>
      </c>
    </row>
    <row r="166" spans="1:33" ht="15.75" thickBot="1" x14ac:dyDescent="0.3">
      <c r="A166" s="44" t="s">
        <v>937</v>
      </c>
      <c r="B166" s="107" t="s">
        <v>938</v>
      </c>
      <c r="C166" s="78" t="s">
        <v>808</v>
      </c>
      <c r="D166" s="108">
        <v>10271</v>
      </c>
      <c r="E166" s="108">
        <v>23916</v>
      </c>
      <c r="F166" s="108">
        <v>1831</v>
      </c>
      <c r="G166" s="108">
        <v>36018</v>
      </c>
      <c r="H166" s="125">
        <f t="shared" si="18"/>
        <v>1.2439142545718784</v>
      </c>
      <c r="I166" s="125">
        <f t="shared" si="19"/>
        <v>0.22175124137095797</v>
      </c>
      <c r="J166" s="125">
        <f t="shared" si="20"/>
        <v>4.3621169916434539</v>
      </c>
      <c r="K166" s="125">
        <f t="shared" si="21"/>
        <v>10.302631578947368</v>
      </c>
      <c r="L166" s="126">
        <v>1104</v>
      </c>
      <c r="M166" s="108">
        <v>2935</v>
      </c>
      <c r="N166" s="108">
        <v>34187</v>
      </c>
      <c r="O166" s="108">
        <v>37122</v>
      </c>
      <c r="P166" s="108">
        <f t="shared" si="26"/>
        <v>4.4958217270194982</v>
      </c>
      <c r="Q166" s="108">
        <v>36759</v>
      </c>
      <c r="R166" s="108">
        <v>18186</v>
      </c>
      <c r="S166" s="125">
        <f t="shared" si="22"/>
        <v>2.2024948528521255</v>
      </c>
      <c r="T166" s="108">
        <v>5428</v>
      </c>
      <c r="U166" s="125">
        <f t="shared" si="23"/>
        <v>0.65738161559888575</v>
      </c>
      <c r="V166" s="108">
        <v>6992</v>
      </c>
      <c r="W166" s="108">
        <v>5041</v>
      </c>
      <c r="X166" s="108">
        <v>32877</v>
      </c>
      <c r="Y166" s="108">
        <v>10530</v>
      </c>
      <c r="Z166" s="125">
        <f t="shared" si="24"/>
        <v>3.9817124863751969</v>
      </c>
      <c r="AA166" s="125">
        <f t="shared" si="25"/>
        <v>9.4041762013729979</v>
      </c>
      <c r="AB166" s="108">
        <v>6799</v>
      </c>
      <c r="AC166" s="78" t="s">
        <v>1643</v>
      </c>
      <c r="AD166" s="126">
        <v>5622</v>
      </c>
      <c r="AE166" s="108">
        <v>54945</v>
      </c>
      <c r="AF166" s="108">
        <v>3496</v>
      </c>
      <c r="AG166" s="108">
        <v>8257</v>
      </c>
    </row>
    <row r="167" spans="1:33" ht="15.75" thickBot="1" x14ac:dyDescent="0.3">
      <c r="A167" s="44" t="s">
        <v>943</v>
      </c>
      <c r="B167" s="107" t="s">
        <v>944</v>
      </c>
      <c r="C167" s="78" t="s">
        <v>808</v>
      </c>
      <c r="D167" s="108">
        <v>28237</v>
      </c>
      <c r="E167" s="108">
        <v>70490</v>
      </c>
      <c r="F167" s="108">
        <v>12866</v>
      </c>
      <c r="G167" s="108">
        <v>111593</v>
      </c>
      <c r="H167" s="125">
        <f t="shared" si="18"/>
        <v>2.8783893985728848</v>
      </c>
      <c r="I167" s="125">
        <f t="shared" si="19"/>
        <v>1.3115188583078492</v>
      </c>
      <c r="J167" s="125">
        <f t="shared" si="20"/>
        <v>11.375433231396535</v>
      </c>
      <c r="K167" s="125">
        <f t="shared" si="21"/>
        <v>25.048933782267117</v>
      </c>
      <c r="L167" s="126">
        <v>8018</v>
      </c>
      <c r="M167" s="108">
        <v>20884</v>
      </c>
      <c r="N167" s="108">
        <v>98727</v>
      </c>
      <c r="O167" s="108">
        <v>119611</v>
      </c>
      <c r="P167" s="108">
        <f t="shared" si="26"/>
        <v>12.1927624872579</v>
      </c>
      <c r="Q167" s="108">
        <v>47188</v>
      </c>
      <c r="R167" s="108">
        <v>28499</v>
      </c>
      <c r="S167" s="125">
        <f t="shared" si="22"/>
        <v>2.9050968399592252</v>
      </c>
      <c r="T167" s="108">
        <v>2793</v>
      </c>
      <c r="U167" s="125">
        <f t="shared" si="23"/>
        <v>0.28470948012232417</v>
      </c>
      <c r="V167" s="108">
        <v>13028</v>
      </c>
      <c r="W167" s="108">
        <v>7661</v>
      </c>
      <c r="X167" s="108">
        <v>106354</v>
      </c>
      <c r="Y167" s="108">
        <v>117696</v>
      </c>
      <c r="Z167" s="125">
        <f t="shared" si="24"/>
        <v>10.84138634046891</v>
      </c>
      <c r="AA167" s="125">
        <f t="shared" si="25"/>
        <v>23.872951739618408</v>
      </c>
      <c r="AB167" s="108">
        <v>14128</v>
      </c>
      <c r="AC167" s="78" t="s">
        <v>1643</v>
      </c>
      <c r="AD167" s="126">
        <v>15083</v>
      </c>
      <c r="AE167" s="108">
        <v>75687</v>
      </c>
      <c r="AF167" s="108">
        <v>4455</v>
      </c>
      <c r="AG167" s="108">
        <v>9810</v>
      </c>
    </row>
    <row r="168" spans="1:33" ht="15.75" thickBot="1" x14ac:dyDescent="0.3">
      <c r="A168" s="44" t="s">
        <v>979</v>
      </c>
      <c r="B168" s="107" t="s">
        <v>980</v>
      </c>
      <c r="C168" s="78" t="s">
        <v>808</v>
      </c>
      <c r="D168" s="108">
        <v>26922</v>
      </c>
      <c r="E168" s="108">
        <v>30689</v>
      </c>
      <c r="F168" s="108">
        <v>15603</v>
      </c>
      <c r="G168" s="108">
        <v>73214</v>
      </c>
      <c r="H168" s="125">
        <f t="shared" si="18"/>
        <v>2.2696004046535156</v>
      </c>
      <c r="I168" s="125">
        <f t="shared" si="19"/>
        <v>1.3153768335862417</v>
      </c>
      <c r="J168" s="125">
        <f t="shared" si="20"/>
        <v>6.17214634968808</v>
      </c>
      <c r="K168" s="125">
        <f t="shared" si="21"/>
        <v>12.346374367622259</v>
      </c>
      <c r="L168" s="126">
        <v>1042</v>
      </c>
      <c r="M168" s="108">
        <v>16645</v>
      </c>
      <c r="N168" s="108">
        <v>57611</v>
      </c>
      <c r="O168" s="108">
        <v>74256</v>
      </c>
      <c r="P168" s="108">
        <f t="shared" si="26"/>
        <v>6.2599898836621142</v>
      </c>
      <c r="Q168" s="108">
        <v>38043</v>
      </c>
      <c r="R168" s="108">
        <v>55198</v>
      </c>
      <c r="S168" s="125">
        <f t="shared" si="22"/>
        <v>4.6533468217838472</v>
      </c>
      <c r="T168" s="108">
        <v>11006</v>
      </c>
      <c r="U168" s="125">
        <f t="shared" si="23"/>
        <v>0.92783678974877759</v>
      </c>
      <c r="V168" s="108">
        <v>4611</v>
      </c>
      <c r="W168" s="108">
        <v>5548</v>
      </c>
      <c r="X168" s="108">
        <v>82410</v>
      </c>
      <c r="Y168" s="108">
        <v>20124</v>
      </c>
      <c r="Z168" s="125">
        <f t="shared" si="24"/>
        <v>6.9473950429944358</v>
      </c>
      <c r="AA168" s="125">
        <f t="shared" si="25"/>
        <v>13.897133220910623</v>
      </c>
      <c r="AB168" s="108">
        <v>4813</v>
      </c>
      <c r="AC168" s="78" t="s">
        <v>1643</v>
      </c>
      <c r="AD168" s="126">
        <v>11286</v>
      </c>
      <c r="AE168" s="108">
        <v>93241</v>
      </c>
      <c r="AF168" s="108">
        <v>5930</v>
      </c>
      <c r="AG168" s="108">
        <v>11862</v>
      </c>
    </row>
    <row r="169" spans="1:33" ht="15.75" thickBot="1" x14ac:dyDescent="0.3">
      <c r="A169" s="44" t="s">
        <v>1003</v>
      </c>
      <c r="B169" s="107" t="s">
        <v>1004</v>
      </c>
      <c r="C169" s="78" t="s">
        <v>808</v>
      </c>
      <c r="D169" s="108">
        <v>11550</v>
      </c>
      <c r="E169" s="108">
        <v>24000</v>
      </c>
      <c r="F169" s="108">
        <v>0</v>
      </c>
      <c r="G169" s="108">
        <v>35550</v>
      </c>
      <c r="H169" s="125">
        <f t="shared" si="18"/>
        <v>1.1525795828759604</v>
      </c>
      <c r="I169" s="125">
        <f t="shared" si="19"/>
        <v>0</v>
      </c>
      <c r="J169" s="125">
        <f t="shared" si="20"/>
        <v>3.5475501446961379</v>
      </c>
      <c r="K169" s="125">
        <f t="shared" si="21"/>
        <v>12.116564417177914</v>
      </c>
      <c r="L169" s="126">
        <v>0</v>
      </c>
      <c r="M169" s="108">
        <v>0</v>
      </c>
      <c r="N169" s="108">
        <v>35550</v>
      </c>
      <c r="O169" s="108">
        <v>35550</v>
      </c>
      <c r="P169" s="108">
        <f t="shared" si="26"/>
        <v>3.5475501446961379</v>
      </c>
      <c r="Q169" s="108">
        <v>31115</v>
      </c>
      <c r="R169" s="108">
        <v>0</v>
      </c>
      <c r="S169" s="125">
        <f t="shared" si="22"/>
        <v>0</v>
      </c>
      <c r="T169" s="108">
        <v>8550</v>
      </c>
      <c r="U169" s="125">
        <f t="shared" si="23"/>
        <v>0.8532082626484383</v>
      </c>
      <c r="V169" s="108">
        <v>1943</v>
      </c>
      <c r="W169" s="108">
        <v>2186</v>
      </c>
      <c r="X169" s="108">
        <v>70000</v>
      </c>
      <c r="Y169" s="108">
        <v>16000</v>
      </c>
      <c r="Z169" s="125">
        <f t="shared" si="24"/>
        <v>6.985330805308851</v>
      </c>
      <c r="AA169" s="125">
        <f t="shared" si="25"/>
        <v>23.858214042263121</v>
      </c>
      <c r="AB169" s="108">
        <v>10500</v>
      </c>
      <c r="AC169" s="78" t="s">
        <v>1643</v>
      </c>
      <c r="AD169" s="126">
        <v>14000</v>
      </c>
      <c r="AE169" s="108">
        <v>31115</v>
      </c>
      <c r="AF169" s="108">
        <v>2934</v>
      </c>
      <c r="AG169" s="108">
        <v>10021</v>
      </c>
    </row>
    <row r="170" spans="1:33" ht="15.75" thickBot="1" x14ac:dyDescent="0.3">
      <c r="A170" s="44" t="s">
        <v>1015</v>
      </c>
      <c r="B170" s="107" t="s">
        <v>1016</v>
      </c>
      <c r="C170" s="78" t="s">
        <v>808</v>
      </c>
      <c r="D170" s="108">
        <v>24868</v>
      </c>
      <c r="E170" s="108">
        <v>20204</v>
      </c>
      <c r="F170" s="108">
        <v>8661</v>
      </c>
      <c r="G170" s="108">
        <v>53733</v>
      </c>
      <c r="H170" s="125">
        <f t="shared" si="18"/>
        <v>3.342922435811265</v>
      </c>
      <c r="I170" s="125">
        <f t="shared" si="19"/>
        <v>1.1642693910471837</v>
      </c>
      <c r="J170" s="125">
        <f t="shared" si="20"/>
        <v>7.2231482726172871</v>
      </c>
      <c r="K170" s="125">
        <f t="shared" si="21"/>
        <v>14.328799999999999</v>
      </c>
      <c r="L170" s="126">
        <v>3189</v>
      </c>
      <c r="M170" s="108">
        <v>11850</v>
      </c>
      <c r="N170" s="108">
        <v>45072</v>
      </c>
      <c r="O170" s="108">
        <v>56922</v>
      </c>
      <c r="P170" s="108">
        <f t="shared" si="26"/>
        <v>7.6518349240489316</v>
      </c>
      <c r="Q170" s="108">
        <v>31269</v>
      </c>
      <c r="R170" s="108">
        <v>20525</v>
      </c>
      <c r="S170" s="125">
        <f t="shared" si="22"/>
        <v>2.7591074069095307</v>
      </c>
      <c r="T170" s="108">
        <v>9889</v>
      </c>
      <c r="U170" s="125">
        <f t="shared" si="23"/>
        <v>1.3293453421158758</v>
      </c>
      <c r="V170" s="108">
        <v>3757</v>
      </c>
      <c r="W170" s="108">
        <v>3279</v>
      </c>
      <c r="X170" s="108">
        <v>34282</v>
      </c>
      <c r="Y170" s="108">
        <v>15813</v>
      </c>
      <c r="Z170" s="125">
        <f t="shared" si="24"/>
        <v>4.6084151095577361</v>
      </c>
      <c r="AA170" s="125">
        <f t="shared" si="25"/>
        <v>9.141866666666667</v>
      </c>
      <c r="AB170" s="108">
        <v>7871</v>
      </c>
      <c r="AC170" s="78" t="s">
        <v>1643</v>
      </c>
      <c r="AD170" s="126">
        <v>3329</v>
      </c>
      <c r="AE170" s="108">
        <v>51794</v>
      </c>
      <c r="AF170" s="108">
        <v>3750</v>
      </c>
      <c r="AG170" s="108">
        <v>7439</v>
      </c>
    </row>
    <row r="171" spans="1:33" ht="15.75" thickBot="1" x14ac:dyDescent="0.3">
      <c r="A171" s="44" t="s">
        <v>1029</v>
      </c>
      <c r="B171" s="107" t="s">
        <v>1030</v>
      </c>
      <c r="C171" s="78" t="s">
        <v>808</v>
      </c>
      <c r="D171" s="108">
        <v>6194</v>
      </c>
      <c r="E171" s="108">
        <v>17600</v>
      </c>
      <c r="F171" s="108">
        <v>2584</v>
      </c>
      <c r="G171" s="108">
        <v>26378</v>
      </c>
      <c r="H171" s="125">
        <f t="shared" si="18"/>
        <v>0.83793290043290047</v>
      </c>
      <c r="I171" s="125">
        <f t="shared" si="19"/>
        <v>0.34956709956709958</v>
      </c>
      <c r="J171" s="125">
        <f t="shared" si="20"/>
        <v>3.5684523809523809</v>
      </c>
      <c r="K171" s="125">
        <f t="shared" si="21"/>
        <v>4.7196278404007872</v>
      </c>
      <c r="L171" s="126">
        <v>0</v>
      </c>
      <c r="M171" s="108">
        <v>2584</v>
      </c>
      <c r="N171" s="108">
        <v>23794</v>
      </c>
      <c r="O171" s="108">
        <v>26378</v>
      </c>
      <c r="P171" s="108">
        <f t="shared" si="26"/>
        <v>3.5684523809523809</v>
      </c>
      <c r="Q171" s="108">
        <v>34636</v>
      </c>
      <c r="R171" s="108">
        <v>15208</v>
      </c>
      <c r="S171" s="125">
        <f t="shared" si="22"/>
        <v>2.0573593073593073</v>
      </c>
      <c r="T171" s="108">
        <v>467</v>
      </c>
      <c r="U171" s="125">
        <f t="shared" si="23"/>
        <v>6.3176406926406928E-2</v>
      </c>
      <c r="V171" s="108">
        <v>1179</v>
      </c>
      <c r="W171" s="108">
        <v>1384</v>
      </c>
      <c r="X171" s="108">
        <v>10069</v>
      </c>
      <c r="Y171" s="108">
        <v>11375</v>
      </c>
      <c r="Z171" s="125">
        <f t="shared" si="24"/>
        <v>1.3621482683982684</v>
      </c>
      <c r="AA171" s="125">
        <f t="shared" si="25"/>
        <v>1.8015745213812846</v>
      </c>
      <c r="AB171" s="108">
        <v>4796</v>
      </c>
      <c r="AC171" s="78" t="s">
        <v>1643</v>
      </c>
      <c r="AD171" s="126">
        <v>5878</v>
      </c>
      <c r="AE171" s="108">
        <v>49844</v>
      </c>
      <c r="AF171" s="108">
        <v>5589</v>
      </c>
      <c r="AG171" s="108">
        <v>7392</v>
      </c>
    </row>
    <row r="172" spans="1:33" ht="15.75" thickBot="1" x14ac:dyDescent="0.3">
      <c r="A172" s="44" t="s">
        <v>1033</v>
      </c>
      <c r="B172" s="107" t="s">
        <v>1034</v>
      </c>
      <c r="C172" s="78" t="s">
        <v>808</v>
      </c>
      <c r="D172" s="108">
        <v>4705</v>
      </c>
      <c r="E172" s="108">
        <v>5665</v>
      </c>
      <c r="F172" s="108">
        <v>0</v>
      </c>
      <c r="G172" s="108">
        <v>10370</v>
      </c>
      <c r="H172" s="125">
        <f t="shared" si="18"/>
        <v>0.49463835155592933</v>
      </c>
      <c r="I172" s="125">
        <f t="shared" si="19"/>
        <v>0</v>
      </c>
      <c r="J172" s="125">
        <f t="shared" si="20"/>
        <v>1.0902018502943651</v>
      </c>
      <c r="K172" s="125">
        <f t="shared" si="21"/>
        <v>4.6315319338990619</v>
      </c>
      <c r="L172" s="126">
        <v>0</v>
      </c>
      <c r="M172" s="108">
        <v>0</v>
      </c>
      <c r="N172" s="108">
        <v>10370</v>
      </c>
      <c r="O172" s="108">
        <v>10370</v>
      </c>
      <c r="P172" s="108">
        <f t="shared" si="26"/>
        <v>1.0902018502943651</v>
      </c>
      <c r="Q172" s="108">
        <v>43883</v>
      </c>
      <c r="R172" s="108">
        <v>0</v>
      </c>
      <c r="S172" s="125">
        <f t="shared" si="22"/>
        <v>0</v>
      </c>
      <c r="T172" s="108">
        <v>3482</v>
      </c>
      <c r="U172" s="125">
        <f t="shared" si="23"/>
        <v>0.36606391925988224</v>
      </c>
      <c r="V172" s="108">
        <v>1347</v>
      </c>
      <c r="W172" s="108">
        <v>2878</v>
      </c>
      <c r="X172" s="108">
        <v>5832</v>
      </c>
      <c r="Y172" s="108">
        <v>3178</v>
      </c>
      <c r="Z172" s="125">
        <f t="shared" si="24"/>
        <v>0.61312026913372586</v>
      </c>
      <c r="AA172" s="125">
        <f t="shared" si="25"/>
        <v>2.6047342563644484</v>
      </c>
      <c r="AB172" s="108">
        <v>2735</v>
      </c>
      <c r="AC172" s="78" t="s">
        <v>1643</v>
      </c>
      <c r="AD172" s="126">
        <v>376</v>
      </c>
      <c r="AE172" s="108">
        <v>43883</v>
      </c>
      <c r="AF172" s="108">
        <v>2239</v>
      </c>
      <c r="AG172" s="108">
        <v>9512</v>
      </c>
    </row>
    <row r="173" spans="1:33" ht="15.75" thickBot="1" x14ac:dyDescent="0.3">
      <c r="A173" s="44" t="s">
        <v>1045</v>
      </c>
      <c r="B173" s="107" t="s">
        <v>1046</v>
      </c>
      <c r="C173" s="78" t="s">
        <v>808</v>
      </c>
      <c r="D173" s="108">
        <v>6025</v>
      </c>
      <c r="E173" s="108">
        <v>10069</v>
      </c>
      <c r="F173" s="108">
        <v>0</v>
      </c>
      <c r="G173" s="108">
        <v>16094</v>
      </c>
      <c r="H173" s="125">
        <f t="shared" si="18"/>
        <v>0.78074381236231694</v>
      </c>
      <c r="I173" s="125">
        <f t="shared" si="19"/>
        <v>0</v>
      </c>
      <c r="J173" s="125">
        <f t="shared" si="20"/>
        <v>2.0855254632629259</v>
      </c>
      <c r="K173" s="125">
        <f t="shared" si="21"/>
        <v>4.6393773421735371</v>
      </c>
      <c r="L173" s="126">
        <v>0</v>
      </c>
      <c r="M173" s="108">
        <v>0</v>
      </c>
      <c r="N173" s="108">
        <v>16094</v>
      </c>
      <c r="O173" s="108">
        <v>16094</v>
      </c>
      <c r="P173" s="108">
        <f t="shared" si="26"/>
        <v>2.0855254632629259</v>
      </c>
      <c r="Q173" s="108">
        <v>39252</v>
      </c>
      <c r="R173" s="108">
        <v>0</v>
      </c>
      <c r="S173" s="125">
        <f t="shared" si="22"/>
        <v>0</v>
      </c>
      <c r="T173" s="108">
        <v>6125</v>
      </c>
      <c r="U173" s="125">
        <f t="shared" si="23"/>
        <v>0.79370221588700274</v>
      </c>
      <c r="V173" s="108">
        <v>264</v>
      </c>
      <c r="W173" s="108">
        <v>295</v>
      </c>
      <c r="X173" s="108">
        <v>13530</v>
      </c>
      <c r="Y173" s="108">
        <v>0</v>
      </c>
      <c r="Z173" s="125">
        <f t="shared" si="24"/>
        <v>1.7532719968899833</v>
      </c>
      <c r="AA173" s="125">
        <f t="shared" si="25"/>
        <v>3.900259440761026</v>
      </c>
      <c r="AB173" s="108">
        <v>1249</v>
      </c>
      <c r="AC173" s="78" t="s">
        <v>1643</v>
      </c>
      <c r="AD173" s="126">
        <v>698</v>
      </c>
      <c r="AE173" s="108">
        <v>39252</v>
      </c>
      <c r="AF173" s="108">
        <v>3469</v>
      </c>
      <c r="AG173" s="108">
        <v>7717</v>
      </c>
    </row>
    <row r="174" spans="1:33" ht="15.75" thickBot="1" x14ac:dyDescent="0.3">
      <c r="A174" s="44" t="s">
        <v>1069</v>
      </c>
      <c r="B174" s="107" t="s">
        <v>1070</v>
      </c>
      <c r="C174" s="78" t="s">
        <v>808</v>
      </c>
      <c r="D174" s="108">
        <v>27440</v>
      </c>
      <c r="E174" s="108">
        <v>51688</v>
      </c>
      <c r="F174" s="108">
        <v>11462</v>
      </c>
      <c r="G174" s="108">
        <v>90590</v>
      </c>
      <c r="H174" s="125">
        <f t="shared" si="18"/>
        <v>3.5071574642126788</v>
      </c>
      <c r="I174" s="125">
        <f t="shared" si="19"/>
        <v>1.4649795501022496</v>
      </c>
      <c r="J174" s="125">
        <f t="shared" si="20"/>
        <v>11.578476482617587</v>
      </c>
      <c r="K174" s="125">
        <f t="shared" si="21"/>
        <v>17.063477114334148</v>
      </c>
      <c r="L174" s="126">
        <v>3210</v>
      </c>
      <c r="M174" s="108">
        <v>14672</v>
      </c>
      <c r="N174" s="108">
        <v>79128</v>
      </c>
      <c r="O174" s="108">
        <v>93800</v>
      </c>
      <c r="P174" s="108">
        <f t="shared" si="26"/>
        <v>11.98875255623722</v>
      </c>
      <c r="Q174" s="108">
        <v>39112</v>
      </c>
      <c r="R174" s="108">
        <v>18153</v>
      </c>
      <c r="S174" s="125">
        <f t="shared" si="22"/>
        <v>2.3201687116564416</v>
      </c>
      <c r="T174" s="108">
        <v>13600</v>
      </c>
      <c r="U174" s="125">
        <f t="shared" si="23"/>
        <v>1.7382413087934561</v>
      </c>
      <c r="V174" s="108">
        <v>2344</v>
      </c>
      <c r="W174" s="108">
        <v>2631</v>
      </c>
      <c r="X174" s="108">
        <v>131100</v>
      </c>
      <c r="Y174" s="108">
        <v>18992</v>
      </c>
      <c r="Z174" s="125">
        <f t="shared" si="24"/>
        <v>16.756134969325153</v>
      </c>
      <c r="AA174" s="125">
        <f t="shared" si="25"/>
        <v>24.693915991712188</v>
      </c>
      <c r="AB174" s="108">
        <v>11888</v>
      </c>
      <c r="AC174" s="78" t="s">
        <v>1643</v>
      </c>
      <c r="AD174" s="126">
        <v>10367</v>
      </c>
      <c r="AE174" s="108">
        <v>57265</v>
      </c>
      <c r="AF174" s="108">
        <v>5309</v>
      </c>
      <c r="AG174" s="108">
        <v>7824</v>
      </c>
    </row>
    <row r="175" spans="1:33" ht="15.75" thickBot="1" x14ac:dyDescent="0.3">
      <c r="A175" s="44" t="s">
        <v>1081</v>
      </c>
      <c r="B175" s="107" t="s">
        <v>1082</v>
      </c>
      <c r="C175" s="78" t="s">
        <v>808</v>
      </c>
      <c r="D175" s="108">
        <v>3458</v>
      </c>
      <c r="E175" s="108">
        <v>7813</v>
      </c>
      <c r="F175" s="108">
        <v>2874</v>
      </c>
      <c r="G175" s="108">
        <v>14145</v>
      </c>
      <c r="H175" s="125">
        <f t="shared" si="18"/>
        <v>0.3649219079780498</v>
      </c>
      <c r="I175" s="125">
        <f t="shared" si="19"/>
        <v>0.30329252849303506</v>
      </c>
      <c r="J175" s="125">
        <f t="shared" si="20"/>
        <v>1.4927184466019416</v>
      </c>
      <c r="K175" s="125">
        <f t="shared" si="21"/>
        <v>15.699223085460599</v>
      </c>
      <c r="L175" s="126">
        <v>0</v>
      </c>
      <c r="M175" s="108">
        <v>2874</v>
      </c>
      <c r="N175" s="108">
        <v>11271</v>
      </c>
      <c r="O175" s="108">
        <v>14145</v>
      </c>
      <c r="P175" s="108">
        <f t="shared" si="26"/>
        <v>1.4927184466019416</v>
      </c>
      <c r="Q175" s="108">
        <v>20680</v>
      </c>
      <c r="R175" s="108">
        <v>19427</v>
      </c>
      <c r="S175" s="125">
        <f t="shared" si="22"/>
        <v>2.0501266357112704</v>
      </c>
      <c r="T175" s="108">
        <v>1645</v>
      </c>
      <c r="U175" s="125">
        <f t="shared" si="23"/>
        <v>0.17359645420008443</v>
      </c>
      <c r="V175" s="108">
        <v>1318</v>
      </c>
      <c r="W175" s="108">
        <v>1894</v>
      </c>
      <c r="X175" s="108">
        <v>17808</v>
      </c>
      <c r="Y175" s="108">
        <v>14807</v>
      </c>
      <c r="Z175" s="125">
        <f t="shared" si="24"/>
        <v>1.8792739552553821</v>
      </c>
      <c r="AA175" s="125">
        <f t="shared" si="25"/>
        <v>19.764705882352942</v>
      </c>
      <c r="AB175" s="108">
        <v>4821</v>
      </c>
      <c r="AC175" s="78" t="s">
        <v>1643</v>
      </c>
      <c r="AD175" s="126">
        <v>1410</v>
      </c>
      <c r="AE175" s="108">
        <v>40107</v>
      </c>
      <c r="AF175" s="108">
        <v>901</v>
      </c>
      <c r="AG175" s="108">
        <v>9476</v>
      </c>
    </row>
    <row r="176" spans="1:33" ht="15.75" thickBot="1" x14ac:dyDescent="0.3">
      <c r="A176" s="44" t="s">
        <v>1087</v>
      </c>
      <c r="B176" s="107" t="s">
        <v>1088</v>
      </c>
      <c r="C176" s="78" t="s">
        <v>808</v>
      </c>
      <c r="D176" s="108">
        <v>58187</v>
      </c>
      <c r="E176" s="108">
        <v>50313</v>
      </c>
      <c r="F176" s="108">
        <v>12045</v>
      </c>
      <c r="G176" s="108">
        <v>120545</v>
      </c>
      <c r="H176" s="125">
        <f t="shared" si="18"/>
        <v>5.2979149594828367</v>
      </c>
      <c r="I176" s="125">
        <f t="shared" si="19"/>
        <v>1.096694892105982</v>
      </c>
      <c r="J176" s="125">
        <f t="shared" si="20"/>
        <v>10.975598652462898</v>
      </c>
      <c r="K176" s="125">
        <f t="shared" si="21"/>
        <v>33.466129927817882</v>
      </c>
      <c r="L176" s="126">
        <v>3455</v>
      </c>
      <c r="M176" s="108">
        <v>15500</v>
      </c>
      <c r="N176" s="108">
        <v>108500</v>
      </c>
      <c r="O176" s="108">
        <v>124000</v>
      </c>
      <c r="P176" s="108">
        <f t="shared" si="26"/>
        <v>11.29017572612219</v>
      </c>
      <c r="Q176" s="108">
        <v>59375</v>
      </c>
      <c r="R176" s="108">
        <v>19291</v>
      </c>
      <c r="S176" s="125">
        <f t="shared" si="22"/>
        <v>1.7564417736501867</v>
      </c>
      <c r="T176" s="108">
        <v>4788</v>
      </c>
      <c r="U176" s="125">
        <f t="shared" si="23"/>
        <v>0.43594646271510518</v>
      </c>
      <c r="V176" s="108">
        <v>8541</v>
      </c>
      <c r="W176" s="108">
        <v>7496</v>
      </c>
      <c r="X176" s="108">
        <v>61973</v>
      </c>
      <c r="Y176" s="108">
        <v>34258</v>
      </c>
      <c r="Z176" s="125">
        <f t="shared" si="24"/>
        <v>5.6426295183465358</v>
      </c>
      <c r="AA176" s="125">
        <f t="shared" si="25"/>
        <v>17.205163797890062</v>
      </c>
      <c r="AB176" s="108">
        <v>4595</v>
      </c>
      <c r="AC176" s="78" t="s">
        <v>1643</v>
      </c>
      <c r="AD176" s="126">
        <v>12957</v>
      </c>
      <c r="AE176" s="108">
        <v>78666</v>
      </c>
      <c r="AF176" s="108">
        <v>3602</v>
      </c>
      <c r="AG176" s="108">
        <v>10983</v>
      </c>
    </row>
    <row r="177" spans="1:33" ht="15.75" thickBot="1" x14ac:dyDescent="0.3">
      <c r="A177" s="44" t="s">
        <v>1095</v>
      </c>
      <c r="B177" s="107" t="s">
        <v>1096</v>
      </c>
      <c r="C177" s="78" t="s">
        <v>808</v>
      </c>
      <c r="D177" s="108">
        <v>49670</v>
      </c>
      <c r="E177" s="108">
        <v>15323</v>
      </c>
      <c r="F177" s="108">
        <v>6285</v>
      </c>
      <c r="G177" s="108">
        <v>71278</v>
      </c>
      <c r="H177" s="125">
        <f t="shared" si="18"/>
        <v>4.4194323338375296</v>
      </c>
      <c r="I177" s="125">
        <f t="shared" si="19"/>
        <v>0.55921345315419524</v>
      </c>
      <c r="J177" s="125">
        <f t="shared" si="20"/>
        <v>6.3420233116825342</v>
      </c>
      <c r="K177" s="125">
        <f t="shared" si="21"/>
        <v>22.337198370416797</v>
      </c>
      <c r="L177" s="126">
        <v>0</v>
      </c>
      <c r="M177" s="108">
        <v>6285</v>
      </c>
      <c r="N177" s="108">
        <v>64993</v>
      </c>
      <c r="O177" s="108">
        <v>71278</v>
      </c>
      <c r="P177" s="108">
        <f t="shared" si="26"/>
        <v>6.3420233116825342</v>
      </c>
      <c r="Q177" s="108">
        <v>45775</v>
      </c>
      <c r="R177" s="108">
        <v>9452</v>
      </c>
      <c r="S177" s="125">
        <f t="shared" si="22"/>
        <v>0.84100008897588752</v>
      </c>
      <c r="T177" s="108">
        <v>4638</v>
      </c>
      <c r="U177" s="125">
        <f t="shared" si="23"/>
        <v>0.41267016638490966</v>
      </c>
      <c r="V177" s="108">
        <v>1007</v>
      </c>
      <c r="W177" s="108">
        <v>1293</v>
      </c>
      <c r="X177" s="108">
        <v>79658</v>
      </c>
      <c r="Y177" s="108">
        <v>5412</v>
      </c>
      <c r="Z177" s="125">
        <f t="shared" si="24"/>
        <v>7.0876412492214609</v>
      </c>
      <c r="AA177" s="125">
        <f t="shared" si="25"/>
        <v>24.963334377937951</v>
      </c>
      <c r="AB177" s="108">
        <v>4881</v>
      </c>
      <c r="AC177" s="78" t="s">
        <v>1643</v>
      </c>
      <c r="AD177" s="126">
        <v>5396</v>
      </c>
      <c r="AE177" s="108">
        <v>55227</v>
      </c>
      <c r="AF177" s="108">
        <v>3191</v>
      </c>
      <c r="AG177" s="108">
        <v>11239</v>
      </c>
    </row>
    <row r="178" spans="1:33" ht="15.75" thickBot="1" x14ac:dyDescent="0.3">
      <c r="A178" s="44" t="s">
        <v>1109</v>
      </c>
      <c r="B178" s="107" t="s">
        <v>1110</v>
      </c>
      <c r="C178" s="78" t="s">
        <v>808</v>
      </c>
      <c r="D178" s="108">
        <v>14133</v>
      </c>
      <c r="E178" s="108">
        <v>9638</v>
      </c>
      <c r="F178" s="108">
        <v>3140</v>
      </c>
      <c r="G178" s="108">
        <v>26911</v>
      </c>
      <c r="H178" s="125">
        <f t="shared" si="18"/>
        <v>1.5924507042253522</v>
      </c>
      <c r="I178" s="125">
        <f t="shared" si="19"/>
        <v>0.35380281690140847</v>
      </c>
      <c r="J178" s="125">
        <f t="shared" si="20"/>
        <v>3.0322253521126759</v>
      </c>
      <c r="K178" s="125">
        <f t="shared" si="21"/>
        <v>14.761930883159627</v>
      </c>
      <c r="L178" s="126">
        <v>5620</v>
      </c>
      <c r="M178" s="108">
        <v>8760</v>
      </c>
      <c r="N178" s="108">
        <v>23771</v>
      </c>
      <c r="O178" s="108">
        <v>32531</v>
      </c>
      <c r="P178" s="108">
        <f t="shared" si="26"/>
        <v>3.6654647887323946</v>
      </c>
      <c r="Q178" s="108">
        <v>40885</v>
      </c>
      <c r="R178" s="108">
        <v>655449</v>
      </c>
      <c r="S178" s="125">
        <f t="shared" si="22"/>
        <v>73.853408450704222</v>
      </c>
      <c r="T178" s="108">
        <v>17059</v>
      </c>
      <c r="U178" s="125">
        <f t="shared" si="23"/>
        <v>1.9221408450704225</v>
      </c>
      <c r="V178" s="108">
        <v>3907</v>
      </c>
      <c r="W178" s="108">
        <v>2618</v>
      </c>
      <c r="X178" s="108">
        <v>50974</v>
      </c>
      <c r="Y178" s="108">
        <v>34504</v>
      </c>
      <c r="Z178" s="125">
        <f t="shared" si="24"/>
        <v>5.7435492957746481</v>
      </c>
      <c r="AA178" s="125">
        <f t="shared" si="25"/>
        <v>27.961601755348326</v>
      </c>
      <c r="AB178" s="108">
        <v>3804</v>
      </c>
      <c r="AC178" s="78" t="s">
        <v>1643</v>
      </c>
      <c r="AD178" s="126">
        <v>6842</v>
      </c>
      <c r="AE178" s="108">
        <v>696334</v>
      </c>
      <c r="AF178" s="108">
        <v>1823</v>
      </c>
      <c r="AG178" s="108">
        <v>8875</v>
      </c>
    </row>
    <row r="179" spans="1:33" ht="15.75" thickBot="1" x14ac:dyDescent="0.3">
      <c r="A179" s="44" t="s">
        <v>1127</v>
      </c>
      <c r="B179" s="107" t="s">
        <v>1128</v>
      </c>
      <c r="C179" s="78" t="s">
        <v>808</v>
      </c>
      <c r="D179" s="108">
        <v>29310</v>
      </c>
      <c r="E179" s="108">
        <v>58621</v>
      </c>
      <c r="F179" s="108">
        <v>8853</v>
      </c>
      <c r="G179" s="108">
        <v>96784</v>
      </c>
      <c r="H179" s="125">
        <f t="shared" si="18"/>
        <v>3.6038362227960161</v>
      </c>
      <c r="I179" s="125">
        <f t="shared" si="19"/>
        <v>1.0885282183696052</v>
      </c>
      <c r="J179" s="125">
        <f t="shared" si="20"/>
        <v>11.900159842616501</v>
      </c>
      <c r="K179" s="125">
        <f t="shared" si="21"/>
        <v>17.323071415786647</v>
      </c>
      <c r="L179" s="126">
        <v>0</v>
      </c>
      <c r="M179" s="108">
        <v>8853</v>
      </c>
      <c r="N179" s="108">
        <v>87931</v>
      </c>
      <c r="O179" s="108">
        <v>96784</v>
      </c>
      <c r="P179" s="108">
        <f t="shared" si="26"/>
        <v>11.900159842616501</v>
      </c>
      <c r="Q179" s="108">
        <v>29608</v>
      </c>
      <c r="R179" s="108">
        <v>27458</v>
      </c>
      <c r="S179" s="125">
        <f t="shared" si="22"/>
        <v>3.3761219722119757</v>
      </c>
      <c r="T179" s="108">
        <v>907</v>
      </c>
      <c r="U179" s="125">
        <f t="shared" si="23"/>
        <v>0.11152096397393335</v>
      </c>
      <c r="V179" s="108">
        <v>2268</v>
      </c>
      <c r="W179" s="108">
        <v>2178</v>
      </c>
      <c r="X179" s="108">
        <v>62200</v>
      </c>
      <c r="Y179" s="108">
        <v>17237</v>
      </c>
      <c r="Z179" s="125">
        <f t="shared" si="24"/>
        <v>7.6478544202631253</v>
      </c>
      <c r="AA179" s="125">
        <f t="shared" si="25"/>
        <v>11.132987291927689</v>
      </c>
      <c r="AB179" s="108">
        <v>17123</v>
      </c>
      <c r="AC179" s="78" t="s">
        <v>1643</v>
      </c>
      <c r="AD179" s="126">
        <v>4775</v>
      </c>
      <c r="AE179" s="108">
        <v>57066</v>
      </c>
      <c r="AF179" s="108">
        <v>5587</v>
      </c>
      <c r="AG179" s="108">
        <v>8133</v>
      </c>
    </row>
    <row r="180" spans="1:33" ht="15.75" thickBot="1" x14ac:dyDescent="0.3">
      <c r="A180" s="44" t="s">
        <v>1135</v>
      </c>
      <c r="B180" s="107" t="s">
        <v>1136</v>
      </c>
      <c r="C180" s="78" t="s">
        <v>808</v>
      </c>
      <c r="D180" s="108">
        <v>29404</v>
      </c>
      <c r="E180" s="108">
        <v>16888</v>
      </c>
      <c r="F180" s="108">
        <v>3649</v>
      </c>
      <c r="G180" s="108">
        <v>49941</v>
      </c>
      <c r="H180" s="125">
        <f t="shared" si="18"/>
        <v>4.1210932025227747</v>
      </c>
      <c r="I180" s="125">
        <f t="shared" si="19"/>
        <v>0.51142256482130344</v>
      </c>
      <c r="J180" s="125">
        <f t="shared" si="20"/>
        <v>6.9994393833216542</v>
      </c>
      <c r="K180" s="125">
        <f t="shared" si="21"/>
        <v>23.53487276154571</v>
      </c>
      <c r="L180" s="127">
        <v>0</v>
      </c>
      <c r="M180" s="108">
        <v>3649</v>
      </c>
      <c r="N180" s="108">
        <v>46292</v>
      </c>
      <c r="O180" s="108">
        <v>49941</v>
      </c>
      <c r="P180" s="108">
        <f t="shared" si="26"/>
        <v>6.9994393833216542</v>
      </c>
      <c r="Q180" s="108">
        <v>20006</v>
      </c>
      <c r="R180" s="108">
        <v>10936</v>
      </c>
      <c r="S180" s="125">
        <f t="shared" si="22"/>
        <v>1.5327259985984583</v>
      </c>
      <c r="T180" s="108">
        <v>26842</v>
      </c>
      <c r="U180" s="125">
        <f t="shared" si="23"/>
        <v>3.7620182200420462</v>
      </c>
      <c r="V180" s="108">
        <v>3111</v>
      </c>
      <c r="W180" s="108">
        <v>3269</v>
      </c>
      <c r="X180" s="108">
        <v>50280</v>
      </c>
      <c r="Y180" s="78" t="s">
        <v>3453</v>
      </c>
      <c r="Z180" s="125">
        <f t="shared" si="24"/>
        <v>7.0469516468114923</v>
      </c>
      <c r="AA180" s="125">
        <f t="shared" si="25"/>
        <v>23.694627709707824</v>
      </c>
      <c r="AB180" s="108">
        <v>4598</v>
      </c>
      <c r="AC180" s="78" t="s">
        <v>1643</v>
      </c>
      <c r="AD180" s="126">
        <v>16379</v>
      </c>
      <c r="AE180" s="108">
        <v>30942</v>
      </c>
      <c r="AF180" s="108">
        <v>2122</v>
      </c>
      <c r="AG180" s="108">
        <v>7135</v>
      </c>
    </row>
    <row r="181" spans="1:33" ht="15.75" thickBot="1" x14ac:dyDescent="0.3">
      <c r="A181" s="44" t="s">
        <v>1143</v>
      </c>
      <c r="B181" s="107" t="s">
        <v>1144</v>
      </c>
      <c r="C181" s="78" t="s">
        <v>808</v>
      </c>
      <c r="D181" s="108">
        <v>40522</v>
      </c>
      <c r="E181" s="108">
        <v>64051</v>
      </c>
      <c r="F181" s="108">
        <v>7487</v>
      </c>
      <c r="G181" s="108">
        <v>112060</v>
      </c>
      <c r="H181" s="125">
        <f t="shared" si="18"/>
        <v>3.4138163437236733</v>
      </c>
      <c r="I181" s="125">
        <f t="shared" si="19"/>
        <v>0.63074978938500426</v>
      </c>
      <c r="J181" s="125">
        <f t="shared" si="20"/>
        <v>9.4406065711878693</v>
      </c>
      <c r="K181" s="125">
        <f t="shared" si="21"/>
        <v>8.1486329261198378</v>
      </c>
      <c r="L181" s="126">
        <v>5782</v>
      </c>
      <c r="M181" s="108">
        <v>13269</v>
      </c>
      <c r="N181" s="108">
        <v>104573</v>
      </c>
      <c r="O181" s="108">
        <v>117842</v>
      </c>
      <c r="P181" s="108">
        <f t="shared" si="26"/>
        <v>9.9277169334456605</v>
      </c>
      <c r="Q181" s="108">
        <v>55226</v>
      </c>
      <c r="R181" s="108">
        <v>23744</v>
      </c>
      <c r="S181" s="125">
        <f t="shared" si="22"/>
        <v>2.0003369839932601</v>
      </c>
      <c r="T181" s="108">
        <v>6842</v>
      </c>
      <c r="U181" s="125">
        <f t="shared" si="23"/>
        <v>0.57641112047177756</v>
      </c>
      <c r="V181" s="108">
        <v>1100</v>
      </c>
      <c r="W181" s="108">
        <v>495</v>
      </c>
      <c r="X181" s="108">
        <v>49213</v>
      </c>
      <c r="Y181" s="108">
        <v>11221</v>
      </c>
      <c r="Z181" s="125">
        <f t="shared" si="24"/>
        <v>4.1459983150800337</v>
      </c>
      <c r="AA181" s="125">
        <f t="shared" si="25"/>
        <v>3.5786067481093657</v>
      </c>
      <c r="AB181" s="108">
        <v>11302</v>
      </c>
      <c r="AC181" s="78" t="s">
        <v>1643</v>
      </c>
      <c r="AD181" s="126">
        <v>15695</v>
      </c>
      <c r="AE181" s="108">
        <v>78970</v>
      </c>
      <c r="AF181" s="108">
        <v>13752</v>
      </c>
      <c r="AG181" s="108">
        <v>11870</v>
      </c>
    </row>
    <row r="182" spans="1:33" ht="15.75" thickBot="1" x14ac:dyDescent="0.3">
      <c r="A182" s="44" t="s">
        <v>1163</v>
      </c>
      <c r="B182" s="107" t="s">
        <v>1164</v>
      </c>
      <c r="C182" s="78" t="s">
        <v>808</v>
      </c>
      <c r="D182" s="108">
        <v>25148</v>
      </c>
      <c r="E182" s="108">
        <v>37722</v>
      </c>
      <c r="F182" s="108">
        <v>17394</v>
      </c>
      <c r="G182" s="108">
        <v>80264</v>
      </c>
      <c r="H182" s="125">
        <f t="shared" si="18"/>
        <v>2.8694659972615244</v>
      </c>
      <c r="I182" s="125">
        <f t="shared" si="19"/>
        <v>1.9847101780009129</v>
      </c>
      <c r="J182" s="125">
        <f t="shared" si="20"/>
        <v>9.1583751711547237</v>
      </c>
      <c r="K182" s="125">
        <f t="shared" si="21"/>
        <v>18.057142857142857</v>
      </c>
      <c r="L182" s="126">
        <v>7512</v>
      </c>
      <c r="M182" s="108">
        <v>24906</v>
      </c>
      <c r="N182" s="108">
        <v>62870</v>
      </c>
      <c r="O182" s="108">
        <v>87776</v>
      </c>
      <c r="P182" s="108">
        <f t="shared" si="26"/>
        <v>10.015518028297581</v>
      </c>
      <c r="Q182" s="108">
        <v>46197</v>
      </c>
      <c r="R182" s="108">
        <v>33714</v>
      </c>
      <c r="S182" s="125">
        <f t="shared" si="22"/>
        <v>3.8468735737106345</v>
      </c>
      <c r="T182" s="108">
        <v>395</v>
      </c>
      <c r="U182" s="125">
        <f t="shared" si="23"/>
        <v>4.5070743952533091E-2</v>
      </c>
      <c r="V182" s="108">
        <v>22526</v>
      </c>
      <c r="W182" s="108">
        <v>10851</v>
      </c>
      <c r="X182" s="108">
        <v>74590</v>
      </c>
      <c r="Y182" s="108">
        <v>750</v>
      </c>
      <c r="Z182" s="125">
        <f t="shared" si="24"/>
        <v>8.5109539023277048</v>
      </c>
      <c r="AA182" s="125">
        <f t="shared" si="25"/>
        <v>16.780652418447694</v>
      </c>
      <c r="AB182" s="108">
        <v>4424</v>
      </c>
      <c r="AC182" s="78" t="s">
        <v>1643</v>
      </c>
      <c r="AD182" s="126">
        <v>725</v>
      </c>
      <c r="AE182" s="108">
        <v>79911</v>
      </c>
      <c r="AF182" s="108">
        <v>4445</v>
      </c>
      <c r="AG182" s="108">
        <v>8764</v>
      </c>
    </row>
    <row r="183" spans="1:33" ht="15.75" thickBot="1" x14ac:dyDescent="0.3">
      <c r="A183" s="44" t="s">
        <v>1193</v>
      </c>
      <c r="B183" s="107" t="s">
        <v>1194</v>
      </c>
      <c r="C183" s="78" t="s">
        <v>808</v>
      </c>
      <c r="D183" s="108">
        <v>11500</v>
      </c>
      <c r="E183" s="108">
        <v>27100</v>
      </c>
      <c r="F183" s="108">
        <v>5475</v>
      </c>
      <c r="G183" s="108">
        <v>44075</v>
      </c>
      <c r="H183" s="125">
        <f t="shared" si="18"/>
        <v>1.2035583464154893</v>
      </c>
      <c r="I183" s="125">
        <f t="shared" si="19"/>
        <v>0.57299843014128726</v>
      </c>
      <c r="J183" s="125">
        <f t="shared" si="20"/>
        <v>4.6127681841967556</v>
      </c>
      <c r="K183" s="125">
        <f t="shared" si="21"/>
        <v>8.2383177570093462</v>
      </c>
      <c r="L183" s="127">
        <v>0</v>
      </c>
      <c r="M183" s="108">
        <v>5475</v>
      </c>
      <c r="N183" s="108">
        <v>38600</v>
      </c>
      <c r="O183" s="108">
        <v>44075</v>
      </c>
      <c r="P183" s="108">
        <f t="shared" si="26"/>
        <v>4.6127681841967556</v>
      </c>
      <c r="Q183" s="108">
        <v>22777</v>
      </c>
      <c r="R183" s="108">
        <v>20972</v>
      </c>
      <c r="S183" s="125">
        <f t="shared" si="22"/>
        <v>2.1948717948717951</v>
      </c>
      <c r="T183" s="108">
        <v>1200</v>
      </c>
      <c r="U183" s="125">
        <f t="shared" si="23"/>
        <v>0.12558869701726844</v>
      </c>
      <c r="V183" s="108">
        <v>2000</v>
      </c>
      <c r="W183" s="108">
        <v>2029</v>
      </c>
      <c r="X183" s="108">
        <v>29000</v>
      </c>
      <c r="Y183" s="108">
        <v>2000</v>
      </c>
      <c r="Z183" s="125">
        <f t="shared" si="24"/>
        <v>3.035060177917321</v>
      </c>
      <c r="AA183" s="125">
        <f t="shared" si="25"/>
        <v>5.4205607476635516</v>
      </c>
      <c r="AB183" s="108">
        <v>6200</v>
      </c>
      <c r="AC183" s="78" t="s">
        <v>1643</v>
      </c>
      <c r="AD183" s="126">
        <v>1000</v>
      </c>
      <c r="AE183" s="108">
        <v>43749</v>
      </c>
      <c r="AF183" s="108">
        <v>5350</v>
      </c>
      <c r="AG183" s="108">
        <v>9555</v>
      </c>
    </row>
    <row r="184" spans="1:33" ht="15.75" thickBot="1" x14ac:dyDescent="0.3">
      <c r="A184" s="44" t="s">
        <v>1199</v>
      </c>
      <c r="B184" s="107" t="s">
        <v>1200</v>
      </c>
      <c r="C184" s="78" t="s">
        <v>808</v>
      </c>
      <c r="D184" s="108">
        <v>1724</v>
      </c>
      <c r="E184" s="108">
        <v>4239</v>
      </c>
      <c r="F184" s="108">
        <v>902</v>
      </c>
      <c r="G184" s="108">
        <v>6865</v>
      </c>
      <c r="H184" s="125">
        <f t="shared" si="18"/>
        <v>0.18084548410783594</v>
      </c>
      <c r="I184" s="125">
        <f t="shared" si="19"/>
        <v>9.4618692961292356E-2</v>
      </c>
      <c r="J184" s="125">
        <f t="shared" si="20"/>
        <v>0.7201300744781286</v>
      </c>
      <c r="K184" s="125">
        <f t="shared" si="21"/>
        <v>4.3642720915448185</v>
      </c>
      <c r="L184" s="127">
        <v>0</v>
      </c>
      <c r="M184" s="108">
        <v>902</v>
      </c>
      <c r="N184" s="108">
        <v>5963</v>
      </c>
      <c r="O184" s="108">
        <v>6865</v>
      </c>
      <c r="P184" s="108">
        <f t="shared" si="26"/>
        <v>0.7201300744781286</v>
      </c>
      <c r="Q184" s="108">
        <v>24677</v>
      </c>
      <c r="R184" s="108">
        <v>12698</v>
      </c>
      <c r="S184" s="125">
        <f t="shared" si="22"/>
        <v>1.3320046155459981</v>
      </c>
      <c r="T184" s="108">
        <v>11</v>
      </c>
      <c r="U184" s="125">
        <f t="shared" si="23"/>
        <v>1.1538864995279555E-3</v>
      </c>
      <c r="V184" s="108">
        <v>232</v>
      </c>
      <c r="W184" s="108">
        <v>187</v>
      </c>
      <c r="X184" s="108">
        <v>4983</v>
      </c>
      <c r="Y184" s="108">
        <v>1612</v>
      </c>
      <c r="Z184" s="125">
        <f t="shared" si="24"/>
        <v>0.5227105842861639</v>
      </c>
      <c r="AA184" s="125">
        <f t="shared" si="25"/>
        <v>3.1678321678321679</v>
      </c>
      <c r="AB184" s="108">
        <v>1086</v>
      </c>
      <c r="AC184" s="78" t="s">
        <v>1643</v>
      </c>
      <c r="AD184" s="126">
        <v>75</v>
      </c>
      <c r="AE184" s="108">
        <v>37375</v>
      </c>
      <c r="AF184" s="108">
        <v>1573</v>
      </c>
      <c r="AG184" s="108">
        <v>9533</v>
      </c>
    </row>
    <row r="185" spans="1:33" ht="15.75" thickBot="1" x14ac:dyDescent="0.3">
      <c r="A185" s="44" t="s">
        <v>1217</v>
      </c>
      <c r="B185" s="107" t="s">
        <v>1218</v>
      </c>
      <c r="C185" s="78" t="s">
        <v>808</v>
      </c>
      <c r="D185" s="108">
        <v>7806</v>
      </c>
      <c r="E185" s="108">
        <v>17881</v>
      </c>
      <c r="F185" s="108">
        <v>1622</v>
      </c>
      <c r="G185" s="108">
        <v>27309</v>
      </c>
      <c r="H185" s="125">
        <f t="shared" si="18"/>
        <v>0.74555873925501437</v>
      </c>
      <c r="I185" s="125">
        <f t="shared" si="19"/>
        <v>0.15491881566380133</v>
      </c>
      <c r="J185" s="125">
        <f t="shared" si="20"/>
        <v>2.6083094555873925</v>
      </c>
      <c r="K185" s="125">
        <f t="shared" si="21"/>
        <v>6.8119231728610625</v>
      </c>
      <c r="L185" s="126">
        <v>0</v>
      </c>
      <c r="M185" s="108">
        <v>1622</v>
      </c>
      <c r="N185" s="108">
        <v>25687</v>
      </c>
      <c r="O185" s="108">
        <v>27309</v>
      </c>
      <c r="P185" s="108">
        <f t="shared" si="26"/>
        <v>2.6083094555873925</v>
      </c>
      <c r="Q185" s="108">
        <v>29494</v>
      </c>
      <c r="R185" s="108">
        <v>1622</v>
      </c>
      <c r="S185" s="125">
        <f t="shared" si="22"/>
        <v>0.15491881566380133</v>
      </c>
      <c r="T185" s="108">
        <v>4008</v>
      </c>
      <c r="U185" s="125">
        <f t="shared" si="23"/>
        <v>0.3828080229226361</v>
      </c>
      <c r="V185" s="108">
        <v>3595</v>
      </c>
      <c r="W185" s="108">
        <v>2521</v>
      </c>
      <c r="X185" s="108">
        <v>21213</v>
      </c>
      <c r="Y185" s="108">
        <v>0</v>
      </c>
      <c r="Z185" s="125">
        <f t="shared" si="24"/>
        <v>2.0260744985673353</v>
      </c>
      <c r="AA185" s="125">
        <f t="shared" si="25"/>
        <v>5.291344474931404</v>
      </c>
      <c r="AB185" s="108">
        <v>4018</v>
      </c>
      <c r="AC185" s="78" t="s">
        <v>1643</v>
      </c>
      <c r="AD185" s="126" t="s">
        <v>3453</v>
      </c>
      <c r="AE185" s="108">
        <v>31116</v>
      </c>
      <c r="AF185" s="108">
        <v>4009</v>
      </c>
      <c r="AG185" s="108">
        <v>10470</v>
      </c>
    </row>
    <row r="186" spans="1:33" ht="15.75" thickBot="1" x14ac:dyDescent="0.3">
      <c r="A186" s="44" t="s">
        <v>1229</v>
      </c>
      <c r="B186" s="107" t="s">
        <v>1230</v>
      </c>
      <c r="C186" s="78" t="s">
        <v>808</v>
      </c>
      <c r="D186" s="108">
        <v>12130</v>
      </c>
      <c r="E186" s="108">
        <v>12915</v>
      </c>
      <c r="F186" s="108">
        <v>2518</v>
      </c>
      <c r="G186" s="108">
        <v>27563</v>
      </c>
      <c r="H186" s="125">
        <f t="shared" si="18"/>
        <v>1.0474052327087471</v>
      </c>
      <c r="I186" s="125">
        <f t="shared" si="19"/>
        <v>0.21742509282445385</v>
      </c>
      <c r="J186" s="125">
        <f t="shared" si="20"/>
        <v>2.380018996632415</v>
      </c>
      <c r="K186" s="125">
        <f t="shared" si="21"/>
        <v>6.7539818671894141</v>
      </c>
      <c r="L186" s="126">
        <v>0</v>
      </c>
      <c r="M186" s="108">
        <v>2518</v>
      </c>
      <c r="N186" s="108">
        <v>25045</v>
      </c>
      <c r="O186" s="108">
        <v>27563</v>
      </c>
      <c r="P186" s="108">
        <f t="shared" si="26"/>
        <v>2.380018996632415</v>
      </c>
      <c r="Q186" s="108">
        <v>44690</v>
      </c>
      <c r="R186" s="108">
        <v>18395</v>
      </c>
      <c r="S186" s="125">
        <f t="shared" si="22"/>
        <v>1.5883775148950867</v>
      </c>
      <c r="T186" s="108">
        <v>1803</v>
      </c>
      <c r="U186" s="125">
        <f t="shared" si="23"/>
        <v>0.15568603747517484</v>
      </c>
      <c r="V186" s="108">
        <v>5563</v>
      </c>
      <c r="W186" s="108">
        <v>5538</v>
      </c>
      <c r="X186" s="108">
        <v>19004</v>
      </c>
      <c r="Y186" s="108">
        <v>8505</v>
      </c>
      <c r="Z186" s="125">
        <f t="shared" si="24"/>
        <v>1.6409636473534237</v>
      </c>
      <c r="AA186" s="125">
        <f t="shared" si="25"/>
        <v>4.6567017887772604</v>
      </c>
      <c r="AB186" s="108">
        <v>7496</v>
      </c>
      <c r="AC186" s="78" t="s">
        <v>1643</v>
      </c>
      <c r="AD186" s="126">
        <v>3323</v>
      </c>
      <c r="AE186" s="108">
        <v>63085</v>
      </c>
      <c r="AF186" s="108">
        <v>4081</v>
      </c>
      <c r="AG186" s="108">
        <v>11581</v>
      </c>
    </row>
    <row r="187" spans="1:33" ht="15.75" thickBot="1" x14ac:dyDescent="0.3">
      <c r="A187" s="44" t="s">
        <v>1251</v>
      </c>
      <c r="B187" s="107" t="s">
        <v>1252</v>
      </c>
      <c r="C187" s="78" t="s">
        <v>808</v>
      </c>
      <c r="D187" s="108">
        <v>14232</v>
      </c>
      <c r="E187" s="108">
        <v>28560</v>
      </c>
      <c r="F187" s="108">
        <v>5376</v>
      </c>
      <c r="G187" s="108">
        <v>48168</v>
      </c>
      <c r="H187" s="125">
        <f t="shared" si="18"/>
        <v>1.9463894967177242</v>
      </c>
      <c r="I187" s="125">
        <f t="shared" si="19"/>
        <v>0.73522975929978118</v>
      </c>
      <c r="J187" s="125">
        <f t="shared" si="20"/>
        <v>6.5875273522975926</v>
      </c>
      <c r="K187" s="125">
        <f t="shared" si="21"/>
        <v>19.814068284656521</v>
      </c>
      <c r="L187" s="126">
        <v>5376</v>
      </c>
      <c r="M187" s="108">
        <v>10752</v>
      </c>
      <c r="N187" s="108">
        <v>42792</v>
      </c>
      <c r="O187" s="108">
        <v>53544</v>
      </c>
      <c r="P187" s="108">
        <f t="shared" si="26"/>
        <v>7.3227571115973742</v>
      </c>
      <c r="Q187" s="108">
        <v>32906</v>
      </c>
      <c r="R187" s="108">
        <v>20314</v>
      </c>
      <c r="S187" s="125">
        <f t="shared" si="22"/>
        <v>2.7781728665207877</v>
      </c>
      <c r="T187" s="108">
        <v>5475</v>
      </c>
      <c r="U187" s="125">
        <f t="shared" si="23"/>
        <v>0.74876914660831506</v>
      </c>
      <c r="V187" s="108">
        <v>8706</v>
      </c>
      <c r="W187" s="108">
        <v>7695</v>
      </c>
      <c r="X187" s="108">
        <v>26472</v>
      </c>
      <c r="Y187" s="108">
        <v>71105</v>
      </c>
      <c r="Z187" s="125">
        <f t="shared" si="24"/>
        <v>3.6203501094091903</v>
      </c>
      <c r="AA187" s="125">
        <f t="shared" si="25"/>
        <v>10.889345948169478</v>
      </c>
      <c r="AB187" s="108">
        <v>5822</v>
      </c>
      <c r="AC187" s="78" t="s">
        <v>1643</v>
      </c>
      <c r="AD187" s="126">
        <v>14987</v>
      </c>
      <c r="AE187" s="108">
        <v>53220</v>
      </c>
      <c r="AF187" s="108">
        <v>2431</v>
      </c>
      <c r="AG187" s="108">
        <v>7312</v>
      </c>
    </row>
    <row r="188" spans="1:33" ht="15.75" thickBot="1" x14ac:dyDescent="0.3">
      <c r="A188" s="44" t="s">
        <v>1257</v>
      </c>
      <c r="B188" s="107" t="s">
        <v>1258</v>
      </c>
      <c r="C188" s="78" t="s">
        <v>808</v>
      </c>
      <c r="D188" s="108">
        <v>14976</v>
      </c>
      <c r="E188" s="108">
        <v>17488</v>
      </c>
      <c r="F188" s="108">
        <v>4109</v>
      </c>
      <c r="G188" s="108">
        <v>36573</v>
      </c>
      <c r="H188" s="125">
        <f t="shared" si="18"/>
        <v>1.7948226270373921</v>
      </c>
      <c r="I188" s="125">
        <f t="shared" si="19"/>
        <v>0.4924496644295302</v>
      </c>
      <c r="J188" s="125">
        <f t="shared" si="20"/>
        <v>4.3831495685522528</v>
      </c>
      <c r="K188" s="125">
        <f t="shared" si="21"/>
        <v>11.991147540983606</v>
      </c>
      <c r="L188" s="127">
        <v>0</v>
      </c>
      <c r="M188" s="108">
        <v>4109</v>
      </c>
      <c r="N188" s="108">
        <v>32464</v>
      </c>
      <c r="O188" s="108">
        <v>36573</v>
      </c>
      <c r="P188" s="108">
        <f t="shared" si="26"/>
        <v>4.3831495685522528</v>
      </c>
      <c r="Q188" s="108">
        <v>31668</v>
      </c>
      <c r="R188" s="108">
        <v>10317</v>
      </c>
      <c r="S188" s="125">
        <f t="shared" si="22"/>
        <v>1.2364573346116969</v>
      </c>
      <c r="T188" s="108">
        <v>3255</v>
      </c>
      <c r="U188" s="125">
        <f t="shared" si="23"/>
        <v>0.3901006711409396</v>
      </c>
      <c r="V188" s="108">
        <v>399</v>
      </c>
      <c r="W188" s="108">
        <v>420</v>
      </c>
      <c r="X188" s="108">
        <v>44896</v>
      </c>
      <c r="Y188" s="108">
        <v>4239</v>
      </c>
      <c r="Z188" s="125">
        <f t="shared" si="24"/>
        <v>5.3806327900287636</v>
      </c>
      <c r="AA188" s="125">
        <f t="shared" si="25"/>
        <v>14.72</v>
      </c>
      <c r="AB188" s="108">
        <v>2345</v>
      </c>
      <c r="AC188" s="78" t="s">
        <v>1643</v>
      </c>
      <c r="AD188" s="126">
        <v>2564</v>
      </c>
      <c r="AE188" s="108">
        <v>41985</v>
      </c>
      <c r="AF188" s="108">
        <v>3050</v>
      </c>
      <c r="AG188" s="108">
        <v>8344</v>
      </c>
    </row>
    <row r="189" spans="1:33" ht="15.75" thickBot="1" x14ac:dyDescent="0.3">
      <c r="A189" s="44" t="s">
        <v>1277</v>
      </c>
      <c r="B189" s="107" t="s">
        <v>1278</v>
      </c>
      <c r="C189" s="78" t="s">
        <v>808</v>
      </c>
      <c r="D189" s="108">
        <v>6941</v>
      </c>
      <c r="E189" s="108">
        <v>8178</v>
      </c>
      <c r="F189" s="108">
        <v>0</v>
      </c>
      <c r="G189" s="108">
        <v>15119</v>
      </c>
      <c r="H189" s="125">
        <f t="shared" si="18"/>
        <v>0.64778348110125994</v>
      </c>
      <c r="I189" s="125">
        <f t="shared" si="19"/>
        <v>0</v>
      </c>
      <c r="J189" s="125">
        <f t="shared" si="20"/>
        <v>1.4110125991600559</v>
      </c>
      <c r="K189" s="125">
        <f t="shared" si="21"/>
        <v>8.3208585580627403</v>
      </c>
      <c r="L189" s="126">
        <v>0</v>
      </c>
      <c r="M189" s="108">
        <v>0</v>
      </c>
      <c r="N189" s="108">
        <v>15119</v>
      </c>
      <c r="O189" s="108">
        <v>15119</v>
      </c>
      <c r="P189" s="108">
        <f t="shared" si="26"/>
        <v>1.4110125991600559</v>
      </c>
      <c r="Q189" s="108">
        <v>34477</v>
      </c>
      <c r="R189" s="108">
        <v>0</v>
      </c>
      <c r="S189" s="125">
        <f t="shared" si="22"/>
        <v>0</v>
      </c>
      <c r="T189" s="108">
        <v>7020</v>
      </c>
      <c r="U189" s="125">
        <f t="shared" si="23"/>
        <v>0.65515632291180592</v>
      </c>
      <c r="V189" s="108">
        <v>7455</v>
      </c>
      <c r="W189" s="108">
        <v>2307</v>
      </c>
      <c r="X189" s="108">
        <v>8100</v>
      </c>
      <c r="Y189" s="108">
        <v>0</v>
      </c>
      <c r="Z189" s="125">
        <f t="shared" si="24"/>
        <v>0.75594960335977601</v>
      </c>
      <c r="AA189" s="125">
        <f t="shared" si="25"/>
        <v>4.4578976334617497</v>
      </c>
      <c r="AB189" s="108">
        <v>5402</v>
      </c>
      <c r="AC189" s="78" t="s">
        <v>1643</v>
      </c>
      <c r="AD189" s="126">
        <v>569</v>
      </c>
      <c r="AE189" s="108">
        <v>34477</v>
      </c>
      <c r="AF189" s="108">
        <v>1817</v>
      </c>
      <c r="AG189" s="108">
        <v>10715</v>
      </c>
    </row>
    <row r="190" spans="1:33" ht="15.75" thickBot="1" x14ac:dyDescent="0.3">
      <c r="A190" s="44" t="s">
        <v>1289</v>
      </c>
      <c r="B190" s="107" t="s">
        <v>1290</v>
      </c>
      <c r="C190" s="78" t="s">
        <v>808</v>
      </c>
      <c r="D190" s="108">
        <v>11125</v>
      </c>
      <c r="E190" s="108">
        <v>20061</v>
      </c>
      <c r="F190" s="108">
        <v>2208</v>
      </c>
      <c r="G190" s="108">
        <v>33394</v>
      </c>
      <c r="H190" s="125">
        <f t="shared" si="18"/>
        <v>1.4985183189655173</v>
      </c>
      <c r="I190" s="125">
        <f t="shared" si="19"/>
        <v>0.29741379310344829</v>
      </c>
      <c r="J190" s="125">
        <f t="shared" si="20"/>
        <v>4.4981142241379306</v>
      </c>
      <c r="K190" s="125">
        <f t="shared" si="21"/>
        <v>9.6347374495095206</v>
      </c>
      <c r="L190" s="126">
        <v>0</v>
      </c>
      <c r="M190" s="108">
        <v>2208</v>
      </c>
      <c r="N190" s="108">
        <v>31186</v>
      </c>
      <c r="O190" s="108">
        <v>33394</v>
      </c>
      <c r="P190" s="108">
        <f t="shared" si="26"/>
        <v>4.4981142241379306</v>
      </c>
      <c r="Q190" s="108">
        <v>25027</v>
      </c>
      <c r="R190" s="108">
        <v>11895</v>
      </c>
      <c r="S190" s="125">
        <f t="shared" si="22"/>
        <v>1.6022359913793103</v>
      </c>
      <c r="T190" s="108">
        <v>1017</v>
      </c>
      <c r="U190" s="125">
        <f t="shared" si="23"/>
        <v>0.13698814655172414</v>
      </c>
      <c r="V190" s="108">
        <v>2345</v>
      </c>
      <c r="W190" s="108">
        <v>2086</v>
      </c>
      <c r="X190" s="108">
        <v>35761</v>
      </c>
      <c r="Y190" s="108">
        <v>50756</v>
      </c>
      <c r="Z190" s="125">
        <f t="shared" si="24"/>
        <v>4.8169450431034484</v>
      </c>
      <c r="AA190" s="125">
        <f t="shared" si="25"/>
        <v>10.317657241777265</v>
      </c>
      <c r="AB190" s="108">
        <v>4172</v>
      </c>
      <c r="AC190" s="78" t="s">
        <v>1643</v>
      </c>
      <c r="AD190" s="126">
        <v>41341</v>
      </c>
      <c r="AE190" s="108">
        <v>36922</v>
      </c>
      <c r="AF190" s="108">
        <v>3466</v>
      </c>
      <c r="AG190" s="108">
        <v>7424</v>
      </c>
    </row>
    <row r="191" spans="1:33" ht="15.75" thickBot="1" x14ac:dyDescent="0.3">
      <c r="A191" s="44" t="s">
        <v>1295</v>
      </c>
      <c r="B191" s="107" t="s">
        <v>1296</v>
      </c>
      <c r="C191" s="78" t="s">
        <v>808</v>
      </c>
      <c r="D191" s="108">
        <v>9806</v>
      </c>
      <c r="E191" s="108">
        <v>35460</v>
      </c>
      <c r="F191" s="108">
        <v>3852</v>
      </c>
      <c r="G191" s="108">
        <v>49118</v>
      </c>
      <c r="H191" s="125">
        <f t="shared" si="18"/>
        <v>1.0041986687147977</v>
      </c>
      <c r="I191" s="125">
        <f t="shared" si="19"/>
        <v>0.39447004608294933</v>
      </c>
      <c r="J191" s="125">
        <f t="shared" si="20"/>
        <v>5.0300051203277008</v>
      </c>
      <c r="K191" s="125">
        <f t="shared" si="21"/>
        <v>10.295116327813876</v>
      </c>
      <c r="L191" s="126">
        <v>0</v>
      </c>
      <c r="M191" s="108">
        <v>3852</v>
      </c>
      <c r="N191" s="108">
        <v>45266</v>
      </c>
      <c r="O191" s="108">
        <v>49118</v>
      </c>
      <c r="P191" s="108">
        <f t="shared" si="26"/>
        <v>5.0300051203277008</v>
      </c>
      <c r="Q191" s="108">
        <v>49590</v>
      </c>
      <c r="R191" s="108">
        <v>18068</v>
      </c>
      <c r="S191" s="125">
        <f t="shared" si="22"/>
        <v>1.8502816180235535</v>
      </c>
      <c r="T191" s="108">
        <v>39576</v>
      </c>
      <c r="U191" s="125">
        <f t="shared" si="23"/>
        <v>4.0528417818740401</v>
      </c>
      <c r="V191" s="108">
        <v>7740</v>
      </c>
      <c r="W191" s="108">
        <v>8912</v>
      </c>
      <c r="X191" s="108">
        <v>48262</v>
      </c>
      <c r="Y191" s="108">
        <v>46045</v>
      </c>
      <c r="Z191" s="125">
        <f t="shared" si="24"/>
        <v>4.9423451100870457</v>
      </c>
      <c r="AA191" s="125">
        <f t="shared" si="25"/>
        <v>10.115699014881576</v>
      </c>
      <c r="AB191" s="108">
        <v>16896</v>
      </c>
      <c r="AC191" s="78" t="s">
        <v>1643</v>
      </c>
      <c r="AD191" s="126">
        <v>13251</v>
      </c>
      <c r="AE191" s="108">
        <v>67658</v>
      </c>
      <c r="AF191" s="108">
        <v>4771</v>
      </c>
      <c r="AG191" s="108">
        <v>9765</v>
      </c>
    </row>
    <row r="192" spans="1:33" ht="15.75" thickBot="1" x14ac:dyDescent="0.3">
      <c r="A192" s="44" t="s">
        <v>1305</v>
      </c>
      <c r="B192" s="107" t="s">
        <v>1306</v>
      </c>
      <c r="C192" s="78" t="s">
        <v>808</v>
      </c>
      <c r="D192" s="108">
        <v>4782</v>
      </c>
      <c r="E192" s="108">
        <v>16001</v>
      </c>
      <c r="F192" s="108">
        <v>5198</v>
      </c>
      <c r="G192" s="108">
        <v>25981</v>
      </c>
      <c r="H192" s="125">
        <f t="shared" si="18"/>
        <v>0.49693442793307702</v>
      </c>
      <c r="I192" s="125">
        <f t="shared" si="19"/>
        <v>0.54016418996155047</v>
      </c>
      <c r="J192" s="125">
        <f t="shared" si="20"/>
        <v>2.6998856905330979</v>
      </c>
      <c r="K192" s="125">
        <f t="shared" si="21"/>
        <v>8.8611869031377903</v>
      </c>
      <c r="L192" s="126">
        <v>6912</v>
      </c>
      <c r="M192" s="108">
        <v>12110</v>
      </c>
      <c r="N192" s="108">
        <v>20783</v>
      </c>
      <c r="O192" s="108">
        <v>32893</v>
      </c>
      <c r="P192" s="108">
        <f t="shared" si="26"/>
        <v>3.4181648134677336</v>
      </c>
      <c r="Q192" s="108">
        <v>29481</v>
      </c>
      <c r="R192" s="108">
        <v>12711</v>
      </c>
      <c r="S192" s="125">
        <f t="shared" si="22"/>
        <v>1.3208978489036682</v>
      </c>
      <c r="T192" s="108">
        <v>12340</v>
      </c>
      <c r="U192" s="125">
        <f t="shared" si="23"/>
        <v>1.2823443832484671</v>
      </c>
      <c r="V192" s="108">
        <v>2986</v>
      </c>
      <c r="W192" s="108">
        <v>1914</v>
      </c>
      <c r="X192" s="108">
        <v>32860</v>
      </c>
      <c r="Y192" s="108">
        <v>4289</v>
      </c>
      <c r="Z192" s="125">
        <f t="shared" si="24"/>
        <v>3.4147355294606672</v>
      </c>
      <c r="AA192" s="125">
        <f t="shared" si="25"/>
        <v>11.207366984993179</v>
      </c>
      <c r="AB192" s="108">
        <v>1512</v>
      </c>
      <c r="AC192" s="78" t="s">
        <v>1643</v>
      </c>
      <c r="AD192" s="126">
        <v>2191</v>
      </c>
      <c r="AE192" s="108">
        <v>42192</v>
      </c>
      <c r="AF192" s="108">
        <v>2932</v>
      </c>
      <c r="AG192" s="108">
        <v>9623</v>
      </c>
    </row>
    <row r="193" spans="1:33" ht="15.75" thickBot="1" x14ac:dyDescent="0.3">
      <c r="A193" s="44" t="s">
        <v>1309</v>
      </c>
      <c r="B193" s="107" t="s">
        <v>1310</v>
      </c>
      <c r="C193" s="78" t="s">
        <v>808</v>
      </c>
      <c r="D193" s="108">
        <v>3278</v>
      </c>
      <c r="E193" s="108">
        <v>7361</v>
      </c>
      <c r="F193" s="108">
        <v>2909</v>
      </c>
      <c r="G193" s="108">
        <v>13548</v>
      </c>
      <c r="H193" s="125">
        <f t="shared" si="18"/>
        <v>0.42816091954022989</v>
      </c>
      <c r="I193" s="125">
        <f t="shared" si="19"/>
        <v>0.3799634273772205</v>
      </c>
      <c r="J193" s="125">
        <f t="shared" si="20"/>
        <v>1.7695924764890283</v>
      </c>
      <c r="K193" s="125">
        <f t="shared" si="21"/>
        <v>4.9086956521739129</v>
      </c>
      <c r="L193" s="126">
        <v>20</v>
      </c>
      <c r="M193" s="108">
        <v>2929</v>
      </c>
      <c r="N193" s="108">
        <v>10639</v>
      </c>
      <c r="O193" s="108">
        <v>13568</v>
      </c>
      <c r="P193" s="108">
        <f t="shared" si="26"/>
        <v>1.7722048066875653</v>
      </c>
      <c r="Q193" s="108">
        <v>34679</v>
      </c>
      <c r="R193" s="108">
        <v>11644</v>
      </c>
      <c r="S193" s="125">
        <f t="shared" si="22"/>
        <v>1.5208986415882968</v>
      </c>
      <c r="T193" s="108">
        <v>2417</v>
      </c>
      <c r="U193" s="125">
        <f t="shared" si="23"/>
        <v>0.31570010449320796</v>
      </c>
      <c r="V193" s="108">
        <v>1146</v>
      </c>
      <c r="W193" s="108">
        <v>1121</v>
      </c>
      <c r="X193" s="108">
        <v>12188</v>
      </c>
      <c r="Y193" s="108">
        <v>5151</v>
      </c>
      <c r="Z193" s="125">
        <f t="shared" si="24"/>
        <v>1.5919540229885059</v>
      </c>
      <c r="AA193" s="125">
        <f t="shared" si="25"/>
        <v>4.4159420289855076</v>
      </c>
      <c r="AB193" s="108">
        <v>2704</v>
      </c>
      <c r="AC193" s="78" t="s">
        <v>1643</v>
      </c>
      <c r="AD193" s="126">
        <v>3101</v>
      </c>
      <c r="AE193" s="108">
        <v>46323</v>
      </c>
      <c r="AF193" s="108">
        <v>2760</v>
      </c>
      <c r="AG193" s="108">
        <v>7656</v>
      </c>
    </row>
    <row r="194" spans="1:33" ht="15.75" thickBot="1" x14ac:dyDescent="0.3">
      <c r="A194" s="44" t="s">
        <v>1321</v>
      </c>
      <c r="B194" s="107" t="s">
        <v>1322</v>
      </c>
      <c r="C194" s="78" t="s">
        <v>808</v>
      </c>
      <c r="D194" s="108">
        <v>16874</v>
      </c>
      <c r="E194" s="108">
        <v>11702</v>
      </c>
      <c r="F194" s="108">
        <v>13918</v>
      </c>
      <c r="G194" s="108">
        <v>42494</v>
      </c>
      <c r="H194" s="125">
        <f t="shared" si="18"/>
        <v>2.0198707206128801</v>
      </c>
      <c r="I194" s="125">
        <f t="shared" si="19"/>
        <v>1.6660282499401484</v>
      </c>
      <c r="J194" s="125">
        <f t="shared" si="20"/>
        <v>5.08666507062485</v>
      </c>
      <c r="K194" s="125">
        <f t="shared" si="21"/>
        <v>5.5482438960699829</v>
      </c>
      <c r="L194" s="126">
        <v>6273</v>
      </c>
      <c r="M194" s="108">
        <v>20191</v>
      </c>
      <c r="N194" s="108">
        <v>28576</v>
      </c>
      <c r="O194" s="108">
        <v>48767</v>
      </c>
      <c r="P194" s="108">
        <f t="shared" si="26"/>
        <v>5.8375628441465164</v>
      </c>
      <c r="Q194" s="108">
        <v>21173</v>
      </c>
      <c r="R194" s="108">
        <v>61394</v>
      </c>
      <c r="S194" s="125">
        <f t="shared" si="22"/>
        <v>7.3490543452238448</v>
      </c>
      <c r="T194" s="108">
        <v>5045</v>
      </c>
      <c r="U194" s="125">
        <f t="shared" si="23"/>
        <v>0.60390232224084273</v>
      </c>
      <c r="V194" s="108">
        <v>2979</v>
      </c>
      <c r="W194" s="108">
        <v>3486</v>
      </c>
      <c r="X194" s="108">
        <v>16888</v>
      </c>
      <c r="Y194" s="108">
        <v>18465</v>
      </c>
      <c r="Z194" s="125">
        <f t="shared" si="24"/>
        <v>2.0215465645199906</v>
      </c>
      <c r="AA194" s="125">
        <f t="shared" si="25"/>
        <v>2.2049875962919443</v>
      </c>
      <c r="AB194" s="108">
        <v>22246</v>
      </c>
      <c r="AC194" s="78" t="s">
        <v>1643</v>
      </c>
      <c r="AD194" s="126">
        <v>46552</v>
      </c>
      <c r="AE194" s="108">
        <v>82567</v>
      </c>
      <c r="AF194" s="108">
        <v>7659</v>
      </c>
      <c r="AG194" s="108">
        <v>8354</v>
      </c>
    </row>
    <row r="195" spans="1:33" ht="15.75" thickBot="1" x14ac:dyDescent="0.3">
      <c r="A195" s="44" t="s">
        <v>1339</v>
      </c>
      <c r="B195" s="107" t="s">
        <v>1340</v>
      </c>
      <c r="C195" s="78" t="s">
        <v>808</v>
      </c>
      <c r="D195" s="108">
        <v>0</v>
      </c>
      <c r="E195" s="108">
        <v>16388</v>
      </c>
      <c r="F195" s="108">
        <v>3022</v>
      </c>
      <c r="G195" s="108">
        <v>19410</v>
      </c>
      <c r="H195" s="125">
        <f t="shared" si="18"/>
        <v>0</v>
      </c>
      <c r="I195" s="125">
        <f t="shared" si="19"/>
        <v>0.34976851851851853</v>
      </c>
      <c r="J195" s="125">
        <f t="shared" si="20"/>
        <v>2.2465277777777777</v>
      </c>
      <c r="K195" s="125">
        <f t="shared" si="21"/>
        <v>4.2472647702407</v>
      </c>
      <c r="L195" s="126">
        <v>0</v>
      </c>
      <c r="M195" s="108">
        <v>3022</v>
      </c>
      <c r="N195" s="108">
        <v>16388</v>
      </c>
      <c r="O195" s="108">
        <v>19410</v>
      </c>
      <c r="P195" s="108">
        <f t="shared" si="26"/>
        <v>2.2465277777777777</v>
      </c>
      <c r="Q195" s="108">
        <v>31207</v>
      </c>
      <c r="R195" s="108">
        <v>2415</v>
      </c>
      <c r="S195" s="125">
        <f t="shared" si="22"/>
        <v>0.2795138888888889</v>
      </c>
      <c r="T195" s="108">
        <v>1389</v>
      </c>
      <c r="U195" s="125">
        <f t="shared" si="23"/>
        <v>0.1607638888888889</v>
      </c>
      <c r="V195" s="108">
        <v>2452</v>
      </c>
      <c r="W195" s="108">
        <v>7055</v>
      </c>
      <c r="X195" s="108">
        <v>20998</v>
      </c>
      <c r="Y195" s="108">
        <v>0</v>
      </c>
      <c r="Z195" s="125">
        <f t="shared" si="24"/>
        <v>2.4303240740740741</v>
      </c>
      <c r="AA195" s="125">
        <f t="shared" si="25"/>
        <v>4.5947483588621445</v>
      </c>
      <c r="AB195" s="108">
        <v>1896</v>
      </c>
      <c r="AC195" s="78" t="s">
        <v>1643</v>
      </c>
      <c r="AD195" s="126" t="s">
        <v>3453</v>
      </c>
      <c r="AE195" s="108">
        <v>33622</v>
      </c>
      <c r="AF195" s="108">
        <v>4570</v>
      </c>
      <c r="AG195" s="108">
        <v>8640</v>
      </c>
    </row>
    <row r="196" spans="1:33" ht="15.75" thickBot="1" x14ac:dyDescent="0.3">
      <c r="A196" s="44" t="s">
        <v>1349</v>
      </c>
      <c r="B196" s="107" t="s">
        <v>1350</v>
      </c>
      <c r="C196" s="78" t="s">
        <v>808</v>
      </c>
      <c r="D196" s="108">
        <v>14379</v>
      </c>
      <c r="E196" s="108">
        <v>46250</v>
      </c>
      <c r="F196" s="108">
        <v>7925</v>
      </c>
      <c r="G196" s="108">
        <v>68554</v>
      </c>
      <c r="H196" s="125">
        <f t="shared" ref="H196:H259" si="27">D196/AG196</f>
        <v>1.4423713511886849</v>
      </c>
      <c r="I196" s="125">
        <f t="shared" ref="I196:I259" si="28">F196/AG196</f>
        <v>0.79496438960778415</v>
      </c>
      <c r="J196" s="125">
        <f t="shared" ref="J196:J259" si="29">G196/AG196</f>
        <v>6.876717825258301</v>
      </c>
      <c r="K196" s="125">
        <f t="shared" ref="K196:K259" si="30">G196/AF196</f>
        <v>8.4959722394348738</v>
      </c>
      <c r="L196" s="126">
        <v>0</v>
      </c>
      <c r="M196" s="108">
        <v>7925</v>
      </c>
      <c r="N196" s="108">
        <v>60629</v>
      </c>
      <c r="O196" s="108">
        <v>68554</v>
      </c>
      <c r="P196" s="108">
        <f t="shared" si="26"/>
        <v>6.876717825258301</v>
      </c>
      <c r="Q196" s="108">
        <v>38828</v>
      </c>
      <c r="R196" s="108">
        <v>23266</v>
      </c>
      <c r="S196" s="125">
        <f t="shared" ref="S196:S259" si="31">R196/AG196</f>
        <v>2.3338348881532753</v>
      </c>
      <c r="T196" s="108">
        <v>14182</v>
      </c>
      <c r="U196" s="125">
        <f t="shared" ref="U196:U259" si="32">T196/AG196</f>
        <v>1.4226100912829773</v>
      </c>
      <c r="V196" s="108">
        <v>1804</v>
      </c>
      <c r="W196" s="108">
        <v>1995</v>
      </c>
      <c r="X196" s="108">
        <v>106638</v>
      </c>
      <c r="Y196" s="108">
        <v>20127</v>
      </c>
      <c r="Z196" s="125">
        <f t="shared" ref="Z196:Z259" si="33">X196/AG196</f>
        <v>10.696960577791153</v>
      </c>
      <c r="AA196" s="125">
        <f t="shared" ref="AA196:AA259" si="34">X196/AF196</f>
        <v>13.215764035196431</v>
      </c>
      <c r="AB196" s="108">
        <v>5998</v>
      </c>
      <c r="AC196" s="78" t="s">
        <v>1643</v>
      </c>
      <c r="AD196" s="126">
        <v>6345</v>
      </c>
      <c r="AE196" s="108">
        <v>62094</v>
      </c>
      <c r="AF196" s="108">
        <v>8069</v>
      </c>
      <c r="AG196" s="108">
        <v>9969</v>
      </c>
    </row>
    <row r="197" spans="1:33" ht="15.75" thickBot="1" x14ac:dyDescent="0.3">
      <c r="A197" s="44" t="s">
        <v>1353</v>
      </c>
      <c r="B197" s="107" t="s">
        <v>1354</v>
      </c>
      <c r="C197" s="78" t="s">
        <v>808</v>
      </c>
      <c r="D197" s="108">
        <v>63522</v>
      </c>
      <c r="E197" s="108">
        <v>34371</v>
      </c>
      <c r="F197" s="108">
        <v>8294</v>
      </c>
      <c r="G197" s="108">
        <v>106187</v>
      </c>
      <c r="H197" s="125">
        <f t="shared" si="27"/>
        <v>9.0307079897640037</v>
      </c>
      <c r="I197" s="125">
        <f t="shared" si="28"/>
        <v>1.1791299402900199</v>
      </c>
      <c r="J197" s="125">
        <f t="shared" si="29"/>
        <v>15.096246801251066</v>
      </c>
      <c r="K197" s="125">
        <f t="shared" si="30"/>
        <v>23.660204991087344</v>
      </c>
      <c r="L197" s="126">
        <v>6240</v>
      </c>
      <c r="M197" s="108">
        <v>14534</v>
      </c>
      <c r="N197" s="108">
        <v>97893</v>
      </c>
      <c r="O197" s="108">
        <v>112427</v>
      </c>
      <c r="P197" s="108">
        <f t="shared" ref="P197:P260" si="35">O197/AG197</f>
        <v>15.983366505544499</v>
      </c>
      <c r="Q197" s="108">
        <v>44986</v>
      </c>
      <c r="R197" s="108">
        <v>11173</v>
      </c>
      <c r="S197" s="125">
        <f t="shared" si="31"/>
        <v>1.5884276371907875</v>
      </c>
      <c r="T197" s="108">
        <v>5345</v>
      </c>
      <c r="U197" s="125">
        <f t="shared" si="32"/>
        <v>0.75988058003980663</v>
      </c>
      <c r="V197" s="108">
        <v>4004</v>
      </c>
      <c r="W197" s="108">
        <v>5460</v>
      </c>
      <c r="X197" s="108">
        <v>25189</v>
      </c>
      <c r="Y197" s="108">
        <v>7520</v>
      </c>
      <c r="Z197" s="125">
        <f t="shared" si="33"/>
        <v>3.5810349729883422</v>
      </c>
      <c r="AA197" s="125">
        <f t="shared" si="34"/>
        <v>5.6125222816399285</v>
      </c>
      <c r="AB197" s="108">
        <v>780</v>
      </c>
      <c r="AC197" s="78" t="s">
        <v>1643</v>
      </c>
      <c r="AD197" s="126">
        <v>5942</v>
      </c>
      <c r="AE197" s="108">
        <v>56159</v>
      </c>
      <c r="AF197" s="108">
        <v>4488</v>
      </c>
      <c r="AG197" s="108">
        <v>7034</v>
      </c>
    </row>
    <row r="198" spans="1:33" ht="15.75" thickBot="1" x14ac:dyDescent="0.3">
      <c r="A198" s="44" t="s">
        <v>1361</v>
      </c>
      <c r="B198" s="107" t="s">
        <v>1362</v>
      </c>
      <c r="C198" s="78" t="s">
        <v>808</v>
      </c>
      <c r="D198" s="108">
        <v>16305</v>
      </c>
      <c r="E198" s="108">
        <v>35263</v>
      </c>
      <c r="F198" s="108">
        <v>8835</v>
      </c>
      <c r="G198" s="108">
        <v>60403</v>
      </c>
      <c r="H198" s="125">
        <f t="shared" si="27"/>
        <v>1.8459187139137325</v>
      </c>
      <c r="I198" s="125">
        <f t="shared" si="28"/>
        <v>1.0002264236386278</v>
      </c>
      <c r="J198" s="125">
        <f t="shared" si="29"/>
        <v>6.838333522019699</v>
      </c>
      <c r="K198" s="125">
        <f t="shared" si="30"/>
        <v>9.4012451361867697</v>
      </c>
      <c r="L198" s="126">
        <v>0</v>
      </c>
      <c r="M198" s="108">
        <v>8835</v>
      </c>
      <c r="N198" s="108">
        <v>51568</v>
      </c>
      <c r="O198" s="108">
        <v>60403</v>
      </c>
      <c r="P198" s="108">
        <f t="shared" si="35"/>
        <v>6.838333522019699</v>
      </c>
      <c r="Q198" s="108">
        <v>41856</v>
      </c>
      <c r="R198" s="108">
        <v>18754</v>
      </c>
      <c r="S198" s="125">
        <f t="shared" si="31"/>
        <v>2.1231744594135629</v>
      </c>
      <c r="T198" s="108">
        <v>6025</v>
      </c>
      <c r="U198" s="125">
        <f t="shared" si="32"/>
        <v>0.68210121136646662</v>
      </c>
      <c r="V198" s="108">
        <v>1558</v>
      </c>
      <c r="W198" s="108">
        <v>2362</v>
      </c>
      <c r="X198" s="108">
        <v>69621</v>
      </c>
      <c r="Y198" s="108">
        <v>45560</v>
      </c>
      <c r="Z198" s="125">
        <f t="shared" si="33"/>
        <v>7.8819200724555643</v>
      </c>
      <c r="AA198" s="125">
        <f t="shared" si="34"/>
        <v>10.835953307392996</v>
      </c>
      <c r="AB198" s="108">
        <v>9931</v>
      </c>
      <c r="AC198" s="78" t="s">
        <v>1643</v>
      </c>
      <c r="AD198" s="126">
        <v>10668</v>
      </c>
      <c r="AE198" s="108">
        <v>60610</v>
      </c>
      <c r="AF198" s="108">
        <v>6425</v>
      </c>
      <c r="AG198" s="108">
        <v>8833</v>
      </c>
    </row>
    <row r="199" spans="1:33" ht="15.75" thickBot="1" x14ac:dyDescent="0.3">
      <c r="A199" s="44" t="s">
        <v>1369</v>
      </c>
      <c r="B199" s="107" t="s">
        <v>1370</v>
      </c>
      <c r="C199" s="78" t="s">
        <v>808</v>
      </c>
      <c r="D199" s="108">
        <v>32147</v>
      </c>
      <c r="E199" s="108">
        <v>47150</v>
      </c>
      <c r="F199" s="108">
        <v>15139</v>
      </c>
      <c r="G199" s="108">
        <v>94436</v>
      </c>
      <c r="H199" s="125">
        <f t="shared" si="27"/>
        <v>2.7946622620186039</v>
      </c>
      <c r="I199" s="125">
        <f t="shared" si="28"/>
        <v>1.3160914544031992</v>
      </c>
      <c r="J199" s="125">
        <f t="shared" si="29"/>
        <v>8.2096844301486573</v>
      </c>
      <c r="K199" s="125">
        <f t="shared" si="30"/>
        <v>6.5498682202802057</v>
      </c>
      <c r="L199" s="126">
        <v>17019</v>
      </c>
      <c r="M199" s="108">
        <v>32158</v>
      </c>
      <c r="N199" s="108">
        <v>79297</v>
      </c>
      <c r="O199" s="108">
        <v>111455</v>
      </c>
      <c r="P199" s="108">
        <f t="shared" si="35"/>
        <v>9.6892115100408596</v>
      </c>
      <c r="Q199" s="108">
        <v>74468</v>
      </c>
      <c r="R199" s="108">
        <v>17223</v>
      </c>
      <c r="S199" s="125">
        <f t="shared" si="31"/>
        <v>1.4972615839346257</v>
      </c>
      <c r="T199" s="108">
        <v>133791</v>
      </c>
      <c r="U199" s="125">
        <f t="shared" si="32"/>
        <v>11.630965834999566</v>
      </c>
      <c r="V199" s="108">
        <v>2868</v>
      </c>
      <c r="W199" s="108">
        <v>3486</v>
      </c>
      <c r="X199" s="108">
        <v>190376</v>
      </c>
      <c r="Y199" s="108">
        <v>844248</v>
      </c>
      <c r="Z199" s="125">
        <f t="shared" si="33"/>
        <v>16.550117360688517</v>
      </c>
      <c r="AA199" s="125">
        <f t="shared" si="34"/>
        <v>13.204050492440006</v>
      </c>
      <c r="AB199" s="108">
        <v>65445</v>
      </c>
      <c r="AC199" s="78" t="s">
        <v>1643</v>
      </c>
      <c r="AD199" s="126" t="s">
        <v>3453</v>
      </c>
      <c r="AE199" s="108">
        <v>91691</v>
      </c>
      <c r="AF199" s="108">
        <v>14418</v>
      </c>
      <c r="AG199" s="108">
        <v>11503</v>
      </c>
    </row>
    <row r="200" spans="1:33" ht="15.75" thickBot="1" x14ac:dyDescent="0.3">
      <c r="A200" s="44" t="s">
        <v>1395</v>
      </c>
      <c r="B200" s="107" t="s">
        <v>1396</v>
      </c>
      <c r="C200" s="78" t="s">
        <v>808</v>
      </c>
      <c r="D200" s="108">
        <v>6702</v>
      </c>
      <c r="E200" s="108">
        <v>20285</v>
      </c>
      <c r="F200" s="108">
        <v>3309</v>
      </c>
      <c r="G200" s="108">
        <v>30296</v>
      </c>
      <c r="H200" s="125">
        <f t="shared" si="27"/>
        <v>0.75379597345630411</v>
      </c>
      <c r="I200" s="125">
        <f t="shared" si="28"/>
        <v>0.37217410864919581</v>
      </c>
      <c r="J200" s="125">
        <f t="shared" si="29"/>
        <v>3.4074907209537737</v>
      </c>
      <c r="K200" s="125">
        <f t="shared" si="30"/>
        <v>5.9579154375614554</v>
      </c>
      <c r="L200" s="126">
        <v>2812</v>
      </c>
      <c r="M200" s="108">
        <v>6121</v>
      </c>
      <c r="N200" s="108">
        <v>26987</v>
      </c>
      <c r="O200" s="108">
        <v>33108</v>
      </c>
      <c r="P200" s="108">
        <f t="shared" si="35"/>
        <v>3.7237656056686537</v>
      </c>
      <c r="Q200" s="108">
        <v>24341</v>
      </c>
      <c r="R200" s="108">
        <v>10177</v>
      </c>
      <c r="S200" s="125">
        <f t="shared" si="31"/>
        <v>1.1446406478461366</v>
      </c>
      <c r="T200" s="108">
        <v>733</v>
      </c>
      <c r="U200" s="125">
        <f t="shared" si="32"/>
        <v>8.2442919806545945E-2</v>
      </c>
      <c r="V200" s="108">
        <v>3304</v>
      </c>
      <c r="W200" s="108">
        <v>1957</v>
      </c>
      <c r="X200" s="108">
        <v>34916</v>
      </c>
      <c r="Y200" s="108">
        <v>5052</v>
      </c>
      <c r="Z200" s="125">
        <f t="shared" si="33"/>
        <v>3.9271173096389607</v>
      </c>
      <c r="AA200" s="125">
        <f t="shared" si="34"/>
        <v>6.8664700098328417</v>
      </c>
      <c r="AB200" s="108">
        <v>3195</v>
      </c>
      <c r="AC200" s="78" t="s">
        <v>1643</v>
      </c>
      <c r="AD200" s="126">
        <v>1122</v>
      </c>
      <c r="AE200" s="108">
        <v>34518</v>
      </c>
      <c r="AF200" s="108">
        <v>5085</v>
      </c>
      <c r="AG200" s="108">
        <v>8891</v>
      </c>
    </row>
    <row r="201" spans="1:33" ht="15.75" thickBot="1" x14ac:dyDescent="0.3">
      <c r="A201" s="44" t="s">
        <v>1403</v>
      </c>
      <c r="B201" s="107" t="s">
        <v>1404</v>
      </c>
      <c r="C201" s="78" t="s">
        <v>808</v>
      </c>
      <c r="D201" s="108">
        <v>11676</v>
      </c>
      <c r="E201" s="108">
        <v>12426</v>
      </c>
      <c r="F201" s="108">
        <v>1322</v>
      </c>
      <c r="G201" s="108">
        <v>25424</v>
      </c>
      <c r="H201" s="125">
        <f t="shared" si="27"/>
        <v>1.366732997775957</v>
      </c>
      <c r="I201" s="125">
        <f t="shared" si="28"/>
        <v>0.15474657614421164</v>
      </c>
      <c r="J201" s="125">
        <f t="shared" si="29"/>
        <v>2.9760037457567599</v>
      </c>
      <c r="K201" s="125">
        <f t="shared" si="30"/>
        <v>2.6852555978031263</v>
      </c>
      <c r="L201" s="126">
        <v>2101</v>
      </c>
      <c r="M201" s="108">
        <v>3423</v>
      </c>
      <c r="N201" s="108">
        <v>24102</v>
      </c>
      <c r="O201" s="108">
        <v>27525</v>
      </c>
      <c r="P201" s="108">
        <f t="shared" si="35"/>
        <v>3.2219360880252839</v>
      </c>
      <c r="Q201" s="108">
        <v>19767</v>
      </c>
      <c r="R201" s="108">
        <v>23488</v>
      </c>
      <c r="S201" s="125">
        <f t="shared" si="31"/>
        <v>2.7493854617815754</v>
      </c>
      <c r="T201" s="108">
        <v>5840</v>
      </c>
      <c r="U201" s="125">
        <f t="shared" si="32"/>
        <v>0.68360060868547345</v>
      </c>
      <c r="V201" s="108">
        <v>2104</v>
      </c>
      <c r="W201" s="108">
        <v>3687</v>
      </c>
      <c r="X201" s="108">
        <v>27864</v>
      </c>
      <c r="Y201" s="108">
        <v>14000</v>
      </c>
      <c r="Z201" s="125">
        <f t="shared" si="33"/>
        <v>3.2616176987006904</v>
      </c>
      <c r="AA201" s="125">
        <f t="shared" si="34"/>
        <v>2.9429657794676807</v>
      </c>
      <c r="AB201" s="108">
        <v>5128</v>
      </c>
      <c r="AC201" s="78" t="s">
        <v>1643</v>
      </c>
      <c r="AD201" s="126">
        <v>8100</v>
      </c>
      <c r="AE201" s="108">
        <v>43255</v>
      </c>
      <c r="AF201" s="108">
        <v>9468</v>
      </c>
      <c r="AG201" s="108">
        <v>8543</v>
      </c>
    </row>
    <row r="202" spans="1:33" ht="15.75" thickBot="1" x14ac:dyDescent="0.3">
      <c r="A202" s="44" t="s">
        <v>1411</v>
      </c>
      <c r="B202" s="107" t="s">
        <v>1412</v>
      </c>
      <c r="C202" s="78" t="s">
        <v>808</v>
      </c>
      <c r="D202" s="108">
        <v>36745</v>
      </c>
      <c r="E202" s="108">
        <v>45723</v>
      </c>
      <c r="F202" s="108">
        <v>7937</v>
      </c>
      <c r="G202" s="108">
        <v>90405</v>
      </c>
      <c r="H202" s="125">
        <f t="shared" si="27"/>
        <v>4.8476253298153038</v>
      </c>
      <c r="I202" s="125">
        <f t="shared" si="28"/>
        <v>1.0470976253298152</v>
      </c>
      <c r="J202" s="125">
        <f t="shared" si="29"/>
        <v>11.926781002638522</v>
      </c>
      <c r="K202" s="125">
        <f t="shared" si="30"/>
        <v>28.26923076923077</v>
      </c>
      <c r="L202" s="126">
        <v>833</v>
      </c>
      <c r="M202" s="108">
        <v>8770</v>
      </c>
      <c r="N202" s="108">
        <v>82468</v>
      </c>
      <c r="O202" s="108">
        <v>91238</v>
      </c>
      <c r="P202" s="108">
        <f t="shared" si="35"/>
        <v>12.036675461741424</v>
      </c>
      <c r="Q202" s="108">
        <v>39308</v>
      </c>
      <c r="R202" s="108">
        <v>10684</v>
      </c>
      <c r="S202" s="125">
        <f t="shared" si="31"/>
        <v>1.4094986807387864</v>
      </c>
      <c r="T202" s="108">
        <v>2500</v>
      </c>
      <c r="U202" s="125">
        <f t="shared" si="32"/>
        <v>0.32981530343007914</v>
      </c>
      <c r="V202" s="108">
        <v>2443</v>
      </c>
      <c r="W202" s="108">
        <v>3281</v>
      </c>
      <c r="X202" s="108">
        <v>51600</v>
      </c>
      <c r="Y202" s="108">
        <v>42433</v>
      </c>
      <c r="Z202" s="125">
        <f t="shared" si="33"/>
        <v>6.8073878627968334</v>
      </c>
      <c r="AA202" s="125">
        <f t="shared" si="34"/>
        <v>16.135084427767353</v>
      </c>
      <c r="AB202" s="108">
        <v>1900</v>
      </c>
      <c r="AC202" s="78" t="s">
        <v>1643</v>
      </c>
      <c r="AD202" s="126">
        <v>5233</v>
      </c>
      <c r="AE202" s="108">
        <v>49992</v>
      </c>
      <c r="AF202" s="108">
        <v>3198</v>
      </c>
      <c r="AG202" s="108">
        <v>7580</v>
      </c>
    </row>
    <row r="203" spans="1:33" ht="15.75" thickBot="1" x14ac:dyDescent="0.3">
      <c r="A203" s="44" t="s">
        <v>1419</v>
      </c>
      <c r="B203" s="107" t="s">
        <v>1420</v>
      </c>
      <c r="C203" s="78" t="s">
        <v>808</v>
      </c>
      <c r="D203" s="108">
        <v>9348</v>
      </c>
      <c r="E203" s="108">
        <v>6521</v>
      </c>
      <c r="F203" s="108">
        <v>201</v>
      </c>
      <c r="G203" s="108">
        <v>16070</v>
      </c>
      <c r="H203" s="125">
        <f t="shared" si="27"/>
        <v>1.1828419587498418</v>
      </c>
      <c r="I203" s="125">
        <f t="shared" si="28"/>
        <v>2.5433379729216752E-2</v>
      </c>
      <c r="J203" s="125">
        <f t="shared" si="29"/>
        <v>2.0334050360622546</v>
      </c>
      <c r="K203" s="125">
        <f t="shared" si="30"/>
        <v>9.2836510687463889</v>
      </c>
      <c r="L203" s="126">
        <v>0</v>
      </c>
      <c r="M203" s="108">
        <v>201</v>
      </c>
      <c r="N203" s="108">
        <v>15869</v>
      </c>
      <c r="O203" s="108">
        <v>16070</v>
      </c>
      <c r="P203" s="108">
        <f t="shared" si="35"/>
        <v>2.0334050360622546</v>
      </c>
      <c r="Q203" s="108">
        <v>28355</v>
      </c>
      <c r="R203" s="108">
        <v>201</v>
      </c>
      <c r="S203" s="125">
        <f t="shared" si="31"/>
        <v>2.5433379729216752E-2</v>
      </c>
      <c r="T203" s="108">
        <v>3735</v>
      </c>
      <c r="U203" s="125">
        <f t="shared" si="32"/>
        <v>0.47260533974440089</v>
      </c>
      <c r="V203" s="108">
        <v>7686</v>
      </c>
      <c r="W203" s="108">
        <v>815</v>
      </c>
      <c r="X203" s="108">
        <v>14404</v>
      </c>
      <c r="Y203" s="108">
        <v>24504</v>
      </c>
      <c r="Z203" s="125">
        <f t="shared" si="33"/>
        <v>1.8225990130330254</v>
      </c>
      <c r="AA203" s="125">
        <f t="shared" si="34"/>
        <v>8.3212016175621031</v>
      </c>
      <c r="AB203" s="108">
        <v>5025</v>
      </c>
      <c r="AC203" s="78" t="s">
        <v>1643</v>
      </c>
      <c r="AD203" s="126">
        <v>606</v>
      </c>
      <c r="AE203" s="108">
        <v>28556</v>
      </c>
      <c r="AF203" s="108">
        <v>1731</v>
      </c>
      <c r="AG203" s="108">
        <v>7903</v>
      </c>
    </row>
    <row r="204" spans="1:33" ht="15.75" thickBot="1" x14ac:dyDescent="0.3">
      <c r="A204" s="44" t="s">
        <v>1435</v>
      </c>
      <c r="B204" s="107" t="s">
        <v>1436</v>
      </c>
      <c r="C204" s="78" t="s">
        <v>808</v>
      </c>
      <c r="D204" s="108">
        <v>26250</v>
      </c>
      <c r="E204" s="108">
        <v>34325</v>
      </c>
      <c r="F204" s="108">
        <v>6393</v>
      </c>
      <c r="G204" s="108">
        <v>66968</v>
      </c>
      <c r="H204" s="125">
        <f t="shared" si="27"/>
        <v>2.2865853658536586</v>
      </c>
      <c r="I204" s="125">
        <f t="shared" si="28"/>
        <v>0.55688153310104527</v>
      </c>
      <c r="J204" s="125">
        <f t="shared" si="29"/>
        <v>5.8334494773519161</v>
      </c>
      <c r="K204" s="125">
        <f t="shared" si="30"/>
        <v>12.014352350197345</v>
      </c>
      <c r="L204" s="126">
        <v>0</v>
      </c>
      <c r="M204" s="108">
        <v>6393</v>
      </c>
      <c r="N204" s="108">
        <v>60575</v>
      </c>
      <c r="O204" s="108">
        <v>66968</v>
      </c>
      <c r="P204" s="108">
        <f t="shared" si="35"/>
        <v>5.8334494773519161</v>
      </c>
      <c r="Q204" s="108">
        <v>47715</v>
      </c>
      <c r="R204" s="108">
        <v>703496</v>
      </c>
      <c r="S204" s="125">
        <f t="shared" si="31"/>
        <v>61.280139372822298</v>
      </c>
      <c r="T204" s="108">
        <v>14768</v>
      </c>
      <c r="U204" s="125">
        <f t="shared" si="32"/>
        <v>1.286411149825784</v>
      </c>
      <c r="V204" s="108">
        <v>4527</v>
      </c>
      <c r="W204" s="108">
        <v>9403</v>
      </c>
      <c r="X204" s="108">
        <v>45344</v>
      </c>
      <c r="Y204" s="108">
        <v>15097</v>
      </c>
      <c r="Z204" s="125">
        <f t="shared" si="33"/>
        <v>3.9498257839721256</v>
      </c>
      <c r="AA204" s="125">
        <f t="shared" si="34"/>
        <v>8.1349120918550408</v>
      </c>
      <c r="AB204" s="108">
        <v>7610</v>
      </c>
      <c r="AC204" s="78" t="s">
        <v>1643</v>
      </c>
      <c r="AD204" s="126">
        <v>3912</v>
      </c>
      <c r="AE204" s="108">
        <v>751211</v>
      </c>
      <c r="AF204" s="108">
        <v>5574</v>
      </c>
      <c r="AG204" s="108">
        <v>11480</v>
      </c>
    </row>
    <row r="205" spans="1:33" ht="15.75" thickBot="1" x14ac:dyDescent="0.3">
      <c r="A205" s="44" t="s">
        <v>1437</v>
      </c>
      <c r="B205" s="107" t="s">
        <v>1438</v>
      </c>
      <c r="C205" s="78" t="s">
        <v>808</v>
      </c>
      <c r="D205" s="108">
        <v>8536</v>
      </c>
      <c r="E205" s="108">
        <v>21897</v>
      </c>
      <c r="F205" s="108">
        <v>4225</v>
      </c>
      <c r="G205" s="108">
        <v>34658</v>
      </c>
      <c r="H205" s="125">
        <f t="shared" si="27"/>
        <v>1.0946396511926135</v>
      </c>
      <c r="I205" s="125">
        <f t="shared" si="28"/>
        <v>0.54180559117722493</v>
      </c>
      <c r="J205" s="125">
        <f t="shared" si="29"/>
        <v>4.444472941779944</v>
      </c>
      <c r="K205" s="125">
        <f t="shared" si="30"/>
        <v>12.13515406162465</v>
      </c>
      <c r="L205" s="126">
        <v>0</v>
      </c>
      <c r="M205" s="108">
        <v>4225</v>
      </c>
      <c r="N205" s="108">
        <v>30433</v>
      </c>
      <c r="O205" s="108">
        <v>34658</v>
      </c>
      <c r="P205" s="108">
        <f t="shared" si="35"/>
        <v>4.444472941779944</v>
      </c>
      <c r="Q205" s="108">
        <v>28935</v>
      </c>
      <c r="R205" s="108">
        <v>16116</v>
      </c>
      <c r="S205" s="125">
        <f t="shared" si="31"/>
        <v>2.0666837650679661</v>
      </c>
      <c r="T205" s="108">
        <v>5447</v>
      </c>
      <c r="U205" s="125">
        <f t="shared" si="32"/>
        <v>0.69851243908694538</v>
      </c>
      <c r="V205" s="108">
        <v>2893</v>
      </c>
      <c r="W205" s="108">
        <v>3402</v>
      </c>
      <c r="X205" s="108">
        <v>36317</v>
      </c>
      <c r="Y205" s="108">
        <v>5206</v>
      </c>
      <c r="Z205" s="125">
        <f t="shared" si="33"/>
        <v>4.6572197999487051</v>
      </c>
      <c r="AA205" s="125">
        <f t="shared" si="34"/>
        <v>12.716036414565826</v>
      </c>
      <c r="AB205" s="108">
        <v>1530</v>
      </c>
      <c r="AC205" s="78" t="s">
        <v>1643</v>
      </c>
      <c r="AD205" s="126">
        <v>2500</v>
      </c>
      <c r="AE205" s="108">
        <v>45051</v>
      </c>
      <c r="AF205" s="108">
        <v>2856</v>
      </c>
      <c r="AG205" s="108">
        <v>7798</v>
      </c>
    </row>
    <row r="206" spans="1:33" ht="15.75" thickBot="1" x14ac:dyDescent="0.3">
      <c r="A206" s="44" t="s">
        <v>1445</v>
      </c>
      <c r="B206" s="107" t="s">
        <v>1446</v>
      </c>
      <c r="C206" s="78" t="s">
        <v>808</v>
      </c>
      <c r="D206" s="108">
        <v>31728</v>
      </c>
      <c r="E206" s="108">
        <v>21737</v>
      </c>
      <c r="F206" s="108">
        <v>15786</v>
      </c>
      <c r="G206" s="108">
        <v>69251</v>
      </c>
      <c r="H206" s="125">
        <f t="shared" si="27"/>
        <v>4.3126274296588285</v>
      </c>
      <c r="I206" s="125">
        <f t="shared" si="28"/>
        <v>2.1457115672148972</v>
      </c>
      <c r="J206" s="125">
        <f t="shared" si="29"/>
        <v>9.4129400570884876</v>
      </c>
      <c r="K206" s="125">
        <f t="shared" si="30"/>
        <v>37.032620320855614</v>
      </c>
      <c r="L206" s="126">
        <v>0</v>
      </c>
      <c r="M206" s="108">
        <v>15786</v>
      </c>
      <c r="N206" s="108">
        <v>53465</v>
      </c>
      <c r="O206" s="108">
        <v>69251</v>
      </c>
      <c r="P206" s="108">
        <f t="shared" si="35"/>
        <v>9.4129400570884876</v>
      </c>
      <c r="Q206" s="108">
        <v>17048</v>
      </c>
      <c r="R206" s="108">
        <v>19303</v>
      </c>
      <c r="S206" s="125">
        <f t="shared" si="31"/>
        <v>2.6237596846540709</v>
      </c>
      <c r="T206" s="108">
        <v>5779</v>
      </c>
      <c r="U206" s="125">
        <f t="shared" si="32"/>
        <v>0.78551039826016034</v>
      </c>
      <c r="V206" s="108">
        <v>3693</v>
      </c>
      <c r="W206" s="108">
        <v>4685</v>
      </c>
      <c r="X206" s="108">
        <v>18654</v>
      </c>
      <c r="Y206" s="108">
        <v>15389</v>
      </c>
      <c r="Z206" s="125">
        <f t="shared" si="33"/>
        <v>2.5355443795025145</v>
      </c>
      <c r="AA206" s="125">
        <f t="shared" si="34"/>
        <v>9.9754010695187159</v>
      </c>
      <c r="AB206" s="108">
        <v>2274</v>
      </c>
      <c r="AC206" s="78" t="s">
        <v>1643</v>
      </c>
      <c r="AD206" s="126">
        <v>4054</v>
      </c>
      <c r="AE206" s="108">
        <v>36351</v>
      </c>
      <c r="AF206" s="108">
        <v>1870</v>
      </c>
      <c r="AG206" s="108">
        <v>7357</v>
      </c>
    </row>
    <row r="207" spans="1:33" ht="15.75" thickBot="1" x14ac:dyDescent="0.3">
      <c r="A207" s="44" t="s">
        <v>1451</v>
      </c>
      <c r="B207" s="107" t="s">
        <v>1452</v>
      </c>
      <c r="C207" s="78" t="s">
        <v>808</v>
      </c>
      <c r="D207" s="108">
        <v>29310</v>
      </c>
      <c r="E207" s="108">
        <v>25670</v>
      </c>
      <c r="F207" s="108">
        <v>4056</v>
      </c>
      <c r="G207" s="108">
        <v>59036</v>
      </c>
      <c r="H207" s="125">
        <f t="shared" si="27"/>
        <v>4.126425454033507</v>
      </c>
      <c r="I207" s="125">
        <f t="shared" si="28"/>
        <v>0.57102632690412503</v>
      </c>
      <c r="J207" s="125">
        <f t="shared" si="29"/>
        <v>8.3114177108264116</v>
      </c>
      <c r="K207" s="125">
        <f t="shared" si="30"/>
        <v>24.598333333333333</v>
      </c>
      <c r="L207" s="126">
        <v>17145</v>
      </c>
      <c r="M207" s="108">
        <v>21201</v>
      </c>
      <c r="N207" s="108">
        <v>54980</v>
      </c>
      <c r="O207" s="108">
        <v>76181</v>
      </c>
      <c r="P207" s="108">
        <f t="shared" si="35"/>
        <v>10.725186540898212</v>
      </c>
      <c r="Q207" s="108">
        <v>30916</v>
      </c>
      <c r="R207" s="108">
        <v>11652</v>
      </c>
      <c r="S207" s="125">
        <f t="shared" si="31"/>
        <v>1.6404336195973532</v>
      </c>
      <c r="T207" s="108">
        <v>7500</v>
      </c>
      <c r="U207" s="125">
        <f t="shared" si="32"/>
        <v>1.0558918766718288</v>
      </c>
      <c r="V207" s="108">
        <v>6576</v>
      </c>
      <c r="W207" s="108">
        <v>2791</v>
      </c>
      <c r="X207" s="108">
        <v>37000</v>
      </c>
      <c r="Y207" s="108">
        <v>0</v>
      </c>
      <c r="Z207" s="125">
        <f t="shared" si="33"/>
        <v>5.2090665915810224</v>
      </c>
      <c r="AA207" s="125">
        <f t="shared" si="34"/>
        <v>15.416666666666666</v>
      </c>
      <c r="AB207" s="108">
        <v>3876</v>
      </c>
      <c r="AC207" s="78" t="s">
        <v>1643</v>
      </c>
      <c r="AD207" s="126">
        <v>148365</v>
      </c>
      <c r="AE207" s="108">
        <v>42568</v>
      </c>
      <c r="AF207" s="108">
        <v>2400</v>
      </c>
      <c r="AG207" s="108">
        <v>7103</v>
      </c>
    </row>
    <row r="208" spans="1:33" ht="15.75" thickBot="1" x14ac:dyDescent="0.3">
      <c r="A208" s="44" t="s">
        <v>1455</v>
      </c>
      <c r="B208" s="107" t="s">
        <v>1456</v>
      </c>
      <c r="C208" s="78" t="s">
        <v>808</v>
      </c>
      <c r="D208" s="108">
        <v>18500</v>
      </c>
      <c r="E208" s="108">
        <v>35000</v>
      </c>
      <c r="F208" s="108">
        <v>13000</v>
      </c>
      <c r="G208" s="108">
        <v>66500</v>
      </c>
      <c r="H208" s="125">
        <f t="shared" si="27"/>
        <v>1.8468603374263752</v>
      </c>
      <c r="I208" s="125">
        <f t="shared" si="28"/>
        <v>1.2977937506239392</v>
      </c>
      <c r="J208" s="125">
        <f t="shared" si="29"/>
        <v>6.6387141858839973</v>
      </c>
      <c r="K208" s="125">
        <f t="shared" si="30"/>
        <v>14.712389380530974</v>
      </c>
      <c r="L208" s="126">
        <v>0</v>
      </c>
      <c r="M208" s="108">
        <v>13000</v>
      </c>
      <c r="N208" s="108">
        <v>53500</v>
      </c>
      <c r="O208" s="108">
        <v>66500</v>
      </c>
      <c r="P208" s="108">
        <f t="shared" si="35"/>
        <v>6.6387141858839973</v>
      </c>
      <c r="Q208" s="108">
        <v>47814</v>
      </c>
      <c r="R208" s="108">
        <v>954394</v>
      </c>
      <c r="S208" s="125">
        <f t="shared" si="31"/>
        <v>95.277428371767996</v>
      </c>
      <c r="T208" s="108">
        <v>3000</v>
      </c>
      <c r="U208" s="125">
        <f t="shared" si="32"/>
        <v>0.29949086552860138</v>
      </c>
      <c r="V208" s="108">
        <v>7017</v>
      </c>
      <c r="W208" s="108">
        <v>5408</v>
      </c>
      <c r="X208" s="108">
        <v>74694</v>
      </c>
      <c r="Y208" s="108">
        <v>30795</v>
      </c>
      <c r="Z208" s="125">
        <f t="shared" si="33"/>
        <v>7.4567235699311167</v>
      </c>
      <c r="AA208" s="125">
        <f t="shared" si="34"/>
        <v>16.525221238938052</v>
      </c>
      <c r="AB208" s="108">
        <v>1610</v>
      </c>
      <c r="AC208" s="78" t="s">
        <v>1643</v>
      </c>
      <c r="AD208" s="126">
        <v>13226</v>
      </c>
      <c r="AE208" s="108">
        <v>1002208</v>
      </c>
      <c r="AF208" s="108">
        <v>4520</v>
      </c>
      <c r="AG208" s="108">
        <v>10017</v>
      </c>
    </row>
    <row r="209" spans="1:33" ht="15.75" thickBot="1" x14ac:dyDescent="0.3">
      <c r="A209" s="44" t="s">
        <v>1461</v>
      </c>
      <c r="B209" s="107" t="s">
        <v>1462</v>
      </c>
      <c r="C209" s="78" t="s">
        <v>808</v>
      </c>
      <c r="D209" s="108">
        <v>4987</v>
      </c>
      <c r="E209" s="108">
        <v>14215</v>
      </c>
      <c r="F209" s="108">
        <v>2368</v>
      </c>
      <c r="G209" s="108">
        <v>21570</v>
      </c>
      <c r="H209" s="125">
        <f t="shared" si="27"/>
        <v>0.68578107810781075</v>
      </c>
      <c r="I209" s="125">
        <f t="shared" si="28"/>
        <v>0.32563256325632561</v>
      </c>
      <c r="J209" s="125">
        <f t="shared" si="29"/>
        <v>2.9661716171617161</v>
      </c>
      <c r="K209" s="125">
        <f t="shared" si="30"/>
        <v>6.0066833751044282</v>
      </c>
      <c r="L209" s="126">
        <v>618</v>
      </c>
      <c r="M209" s="108">
        <v>2986</v>
      </c>
      <c r="N209" s="108">
        <v>19202</v>
      </c>
      <c r="O209" s="108">
        <v>22188</v>
      </c>
      <c r="P209" s="108">
        <f t="shared" si="35"/>
        <v>3.0511551155115511</v>
      </c>
      <c r="Q209" s="108">
        <v>29745</v>
      </c>
      <c r="R209" s="108">
        <v>18037</v>
      </c>
      <c r="S209" s="125">
        <f t="shared" si="31"/>
        <v>2.4803355335533555</v>
      </c>
      <c r="T209" s="108">
        <v>3361</v>
      </c>
      <c r="U209" s="125">
        <f t="shared" si="32"/>
        <v>0.46218371837183719</v>
      </c>
      <c r="V209" s="108">
        <v>797</v>
      </c>
      <c r="W209" s="108">
        <v>1555</v>
      </c>
      <c r="X209" s="108">
        <v>25787</v>
      </c>
      <c r="Y209" s="108">
        <v>37923</v>
      </c>
      <c r="Z209" s="125">
        <f t="shared" si="33"/>
        <v>3.5460671067106713</v>
      </c>
      <c r="AA209" s="125">
        <f t="shared" si="34"/>
        <v>7.1810080757449182</v>
      </c>
      <c r="AB209" s="108">
        <v>1804</v>
      </c>
      <c r="AC209" s="78" t="s">
        <v>1643</v>
      </c>
      <c r="AD209" s="126">
        <v>62</v>
      </c>
      <c r="AE209" s="108">
        <v>47782</v>
      </c>
      <c r="AF209" s="108">
        <v>3591</v>
      </c>
      <c r="AG209" s="108">
        <v>7272</v>
      </c>
    </row>
    <row r="210" spans="1:33" ht="15.75" thickBot="1" x14ac:dyDescent="0.3">
      <c r="A210" s="44" t="s">
        <v>1467</v>
      </c>
      <c r="B210" s="107" t="s">
        <v>1468</v>
      </c>
      <c r="C210" s="78" t="s">
        <v>808</v>
      </c>
      <c r="D210" s="108">
        <v>13139</v>
      </c>
      <c r="E210" s="108">
        <v>28824</v>
      </c>
      <c r="F210" s="108">
        <v>4852</v>
      </c>
      <c r="G210" s="108">
        <v>46815</v>
      </c>
      <c r="H210" s="125">
        <f t="shared" si="27"/>
        <v>1.1548738683308428</v>
      </c>
      <c r="I210" s="125">
        <f t="shared" si="28"/>
        <v>0.42647446602795114</v>
      </c>
      <c r="J210" s="125">
        <f t="shared" si="29"/>
        <v>4.1148809000615278</v>
      </c>
      <c r="K210" s="125">
        <f t="shared" si="30"/>
        <v>10.210468920392584</v>
      </c>
      <c r="L210" s="126">
        <v>0</v>
      </c>
      <c r="M210" s="108">
        <v>4852</v>
      </c>
      <c r="N210" s="108">
        <v>41963</v>
      </c>
      <c r="O210" s="108">
        <v>46815</v>
      </c>
      <c r="P210" s="108">
        <f t="shared" si="35"/>
        <v>4.1148809000615278</v>
      </c>
      <c r="Q210" s="108">
        <v>43454</v>
      </c>
      <c r="R210" s="108">
        <v>17619</v>
      </c>
      <c r="S210" s="125">
        <f t="shared" si="31"/>
        <v>1.5486507866748704</v>
      </c>
      <c r="T210" s="108">
        <v>0</v>
      </c>
      <c r="U210" s="125">
        <f t="shared" si="32"/>
        <v>0</v>
      </c>
      <c r="V210" s="108">
        <v>1298</v>
      </c>
      <c r="W210" s="108">
        <v>2147</v>
      </c>
      <c r="X210" s="108">
        <v>24663</v>
      </c>
      <c r="Y210" s="108">
        <v>0</v>
      </c>
      <c r="Z210" s="125">
        <f t="shared" si="33"/>
        <v>2.1677946734640061</v>
      </c>
      <c r="AA210" s="125">
        <f t="shared" si="34"/>
        <v>5.3790621592148309</v>
      </c>
      <c r="AB210" s="108">
        <v>4875</v>
      </c>
      <c r="AC210" s="78" t="s">
        <v>1643</v>
      </c>
      <c r="AD210" s="126" t="s">
        <v>3453</v>
      </c>
      <c r="AE210" s="108">
        <v>61073</v>
      </c>
      <c r="AF210" s="108">
        <v>4585</v>
      </c>
      <c r="AG210" s="108">
        <v>11377</v>
      </c>
    </row>
    <row r="211" spans="1:33" ht="15.75" thickBot="1" x14ac:dyDescent="0.3">
      <c r="A211" s="44" t="s">
        <v>1480</v>
      </c>
      <c r="B211" s="107" t="s">
        <v>1481</v>
      </c>
      <c r="C211" s="78" t="s">
        <v>808</v>
      </c>
      <c r="D211" s="108">
        <v>12687</v>
      </c>
      <c r="E211" s="108">
        <v>31576</v>
      </c>
      <c r="F211" s="108">
        <v>9233</v>
      </c>
      <c r="G211" s="108">
        <v>53496</v>
      </c>
      <c r="H211" s="125">
        <f t="shared" si="27"/>
        <v>1.5128786072024802</v>
      </c>
      <c r="I211" s="125">
        <f t="shared" si="28"/>
        <v>1.1010016694490818</v>
      </c>
      <c r="J211" s="125">
        <f t="shared" si="29"/>
        <v>6.3792034342952544</v>
      </c>
      <c r="K211" s="125">
        <f t="shared" si="30"/>
        <v>7.1385108086469176</v>
      </c>
      <c r="L211" s="126">
        <v>0</v>
      </c>
      <c r="M211" s="108">
        <v>9233</v>
      </c>
      <c r="N211" s="108">
        <v>44263</v>
      </c>
      <c r="O211" s="108">
        <v>53496</v>
      </c>
      <c r="P211" s="108">
        <f t="shared" si="35"/>
        <v>6.3792034342952544</v>
      </c>
      <c r="Q211" s="108">
        <v>47742</v>
      </c>
      <c r="R211" s="108">
        <v>16112</v>
      </c>
      <c r="S211" s="125">
        <f t="shared" si="31"/>
        <v>1.9212974004292869</v>
      </c>
      <c r="T211" s="108">
        <v>4675</v>
      </c>
      <c r="U211" s="125">
        <f t="shared" si="32"/>
        <v>0.55747674695921778</v>
      </c>
      <c r="V211" s="108">
        <v>3132</v>
      </c>
      <c r="W211" s="108">
        <v>3735</v>
      </c>
      <c r="X211" s="108">
        <v>66245</v>
      </c>
      <c r="Y211" s="108">
        <v>0</v>
      </c>
      <c r="Z211" s="125">
        <f t="shared" si="33"/>
        <v>7.8994753160028619</v>
      </c>
      <c r="AA211" s="125">
        <f t="shared" si="34"/>
        <v>8.8397384574326132</v>
      </c>
      <c r="AB211" s="108">
        <v>10482</v>
      </c>
      <c r="AC211" s="78" t="s">
        <v>1643</v>
      </c>
      <c r="AD211" s="126">
        <v>7258</v>
      </c>
      <c r="AE211" s="108">
        <v>63854</v>
      </c>
      <c r="AF211" s="108">
        <v>7494</v>
      </c>
      <c r="AG211" s="108">
        <v>8386</v>
      </c>
    </row>
    <row r="212" spans="1:33" ht="15.75" thickBot="1" x14ac:dyDescent="0.3">
      <c r="A212" s="44" t="s">
        <v>1486</v>
      </c>
      <c r="B212" s="107" t="s">
        <v>1487</v>
      </c>
      <c r="C212" s="78" t="s">
        <v>808</v>
      </c>
      <c r="D212" s="108">
        <v>16519</v>
      </c>
      <c r="E212" s="108">
        <v>17270</v>
      </c>
      <c r="F212" s="108">
        <v>2358</v>
      </c>
      <c r="G212" s="108">
        <v>36147</v>
      </c>
      <c r="H212" s="125">
        <f t="shared" si="27"/>
        <v>1.8132821075740944</v>
      </c>
      <c r="I212" s="125">
        <f t="shared" si="28"/>
        <v>0.2588364434687157</v>
      </c>
      <c r="J212" s="125">
        <f t="shared" si="29"/>
        <v>3.9678375411635565</v>
      </c>
      <c r="K212" s="125">
        <f t="shared" si="30"/>
        <v>16.267776777677767</v>
      </c>
      <c r="L212" s="126">
        <v>10540</v>
      </c>
      <c r="M212" s="108">
        <v>12898</v>
      </c>
      <c r="N212" s="108">
        <v>33789</v>
      </c>
      <c r="O212" s="108">
        <v>46687</v>
      </c>
      <c r="P212" s="108">
        <f t="shared" si="35"/>
        <v>5.1248079034028544</v>
      </c>
      <c r="Q212" s="108">
        <v>39006</v>
      </c>
      <c r="R212" s="108">
        <v>14393</v>
      </c>
      <c r="S212" s="125">
        <f t="shared" si="31"/>
        <v>1.5799121844127333</v>
      </c>
      <c r="T212" s="108">
        <v>8641</v>
      </c>
      <c r="U212" s="125">
        <f t="shared" si="32"/>
        <v>0.94851811196487379</v>
      </c>
      <c r="V212" s="108">
        <v>2984</v>
      </c>
      <c r="W212" s="108">
        <v>2372</v>
      </c>
      <c r="X212" s="108">
        <v>27000</v>
      </c>
      <c r="Y212" s="108">
        <v>32723</v>
      </c>
      <c r="Z212" s="125">
        <f t="shared" si="33"/>
        <v>2.9637760702524698</v>
      </c>
      <c r="AA212" s="125">
        <f t="shared" si="34"/>
        <v>12.151215121512152</v>
      </c>
      <c r="AB212" s="108">
        <v>5573</v>
      </c>
      <c r="AC212" s="78" t="s">
        <v>1643</v>
      </c>
      <c r="AD212" s="126">
        <v>7800</v>
      </c>
      <c r="AE212" s="108">
        <v>53399</v>
      </c>
      <c r="AF212" s="108">
        <v>2222</v>
      </c>
      <c r="AG212" s="108">
        <v>9110</v>
      </c>
    </row>
    <row r="213" spans="1:33" ht="15.75" thickBot="1" x14ac:dyDescent="0.3">
      <c r="A213" s="44" t="s">
        <v>1488</v>
      </c>
      <c r="B213" s="107" t="s">
        <v>1489</v>
      </c>
      <c r="C213" s="78" t="s">
        <v>808</v>
      </c>
      <c r="D213" s="108">
        <v>17460</v>
      </c>
      <c r="E213" s="108">
        <v>51669</v>
      </c>
      <c r="F213" s="108">
        <v>3710</v>
      </c>
      <c r="G213" s="108">
        <v>72839</v>
      </c>
      <c r="H213" s="125">
        <f t="shared" si="27"/>
        <v>1.8102643856920684</v>
      </c>
      <c r="I213" s="125">
        <f t="shared" si="28"/>
        <v>0.38465526179367548</v>
      </c>
      <c r="J213" s="125">
        <f t="shared" si="29"/>
        <v>7.5519958527734579</v>
      </c>
      <c r="K213" s="125">
        <f t="shared" si="30"/>
        <v>13.727666792310592</v>
      </c>
      <c r="L213" s="126">
        <v>1337</v>
      </c>
      <c r="M213" s="108">
        <v>5047</v>
      </c>
      <c r="N213" s="108">
        <v>69129</v>
      </c>
      <c r="O213" s="108">
        <v>74176</v>
      </c>
      <c r="P213" s="108">
        <f t="shared" si="35"/>
        <v>7.6906168999481599</v>
      </c>
      <c r="Q213" s="108">
        <v>60300</v>
      </c>
      <c r="R213" s="108">
        <v>12711</v>
      </c>
      <c r="S213" s="125">
        <f t="shared" si="31"/>
        <v>1.3178849144634526</v>
      </c>
      <c r="T213" s="108">
        <v>7200</v>
      </c>
      <c r="U213" s="125">
        <f t="shared" si="32"/>
        <v>0.74650077760497668</v>
      </c>
      <c r="V213" s="108">
        <v>4147</v>
      </c>
      <c r="W213" s="108">
        <v>5968</v>
      </c>
      <c r="X213" s="108">
        <v>50374</v>
      </c>
      <c r="Y213" s="108">
        <v>21287</v>
      </c>
      <c r="Z213" s="125">
        <f t="shared" si="33"/>
        <v>5.2228097459823744</v>
      </c>
      <c r="AA213" s="125">
        <f t="shared" si="34"/>
        <v>9.4937806257067479</v>
      </c>
      <c r="AB213" s="108">
        <v>7477</v>
      </c>
      <c r="AC213" s="78" t="s">
        <v>1643</v>
      </c>
      <c r="AD213" s="126">
        <v>5188</v>
      </c>
      <c r="AE213" s="108">
        <v>73011</v>
      </c>
      <c r="AF213" s="108">
        <v>5306</v>
      </c>
      <c r="AG213" s="108">
        <v>9645</v>
      </c>
    </row>
    <row r="214" spans="1:33" ht="15.75" thickBot="1" x14ac:dyDescent="0.3">
      <c r="A214" s="44" t="s">
        <v>1504</v>
      </c>
      <c r="B214" s="107" t="s">
        <v>1505</v>
      </c>
      <c r="C214" s="78" t="s">
        <v>808</v>
      </c>
      <c r="D214" s="108">
        <v>1986</v>
      </c>
      <c r="E214" s="108">
        <v>18339</v>
      </c>
      <c r="F214" s="108">
        <v>3109</v>
      </c>
      <c r="G214" s="108">
        <v>23434</v>
      </c>
      <c r="H214" s="125">
        <f t="shared" si="27"/>
        <v>0.21352542737340072</v>
      </c>
      <c r="I214" s="125">
        <f t="shared" si="28"/>
        <v>0.33426513278142134</v>
      </c>
      <c r="J214" s="125">
        <f t="shared" si="29"/>
        <v>2.5195140307493817</v>
      </c>
      <c r="K214" s="125">
        <f t="shared" si="30"/>
        <v>3.8517422748191978</v>
      </c>
      <c r="L214" s="126">
        <v>0</v>
      </c>
      <c r="M214" s="108">
        <v>3109</v>
      </c>
      <c r="N214" s="108">
        <v>20325</v>
      </c>
      <c r="O214" s="108">
        <v>23434</v>
      </c>
      <c r="P214" s="108">
        <f t="shared" si="35"/>
        <v>2.5195140307493817</v>
      </c>
      <c r="Q214" s="108">
        <v>18187</v>
      </c>
      <c r="R214" s="108">
        <v>28388</v>
      </c>
      <c r="S214" s="125">
        <f t="shared" si="31"/>
        <v>3.0521449306526178</v>
      </c>
      <c r="T214" s="108">
        <v>4173</v>
      </c>
      <c r="U214" s="125">
        <f t="shared" si="32"/>
        <v>0.44866143425438126</v>
      </c>
      <c r="V214" s="108">
        <v>1725</v>
      </c>
      <c r="W214" s="108">
        <v>2323</v>
      </c>
      <c r="X214" s="108">
        <v>28972</v>
      </c>
      <c r="Y214" s="108">
        <v>0</v>
      </c>
      <c r="Z214" s="125">
        <f t="shared" si="33"/>
        <v>3.1149338780776259</v>
      </c>
      <c r="AA214" s="125">
        <f t="shared" si="34"/>
        <v>4.761998685075608</v>
      </c>
      <c r="AB214" s="108">
        <v>23849</v>
      </c>
      <c r="AC214" s="78" t="s">
        <v>1643</v>
      </c>
      <c r="AD214" s="126" t="s">
        <v>3453</v>
      </c>
      <c r="AE214" s="108">
        <v>46575</v>
      </c>
      <c r="AF214" s="108">
        <v>6084</v>
      </c>
      <c r="AG214" s="108">
        <v>9301</v>
      </c>
    </row>
    <row r="215" spans="1:33" ht="15.75" thickBot="1" x14ac:dyDescent="0.3">
      <c r="A215" s="44" t="s">
        <v>1508</v>
      </c>
      <c r="B215" s="107" t="s">
        <v>1509</v>
      </c>
      <c r="C215" s="78" t="s">
        <v>808</v>
      </c>
      <c r="D215" s="108">
        <v>5789</v>
      </c>
      <c r="E215" s="108">
        <v>10409</v>
      </c>
      <c r="F215" s="108">
        <v>1061</v>
      </c>
      <c r="G215" s="108">
        <v>17259</v>
      </c>
      <c r="H215" s="125">
        <f t="shared" si="27"/>
        <v>0.73735829830594823</v>
      </c>
      <c r="I215" s="125">
        <f t="shared" si="28"/>
        <v>0.13514202012482487</v>
      </c>
      <c r="J215" s="125">
        <f t="shared" si="29"/>
        <v>2.1983186855177683</v>
      </c>
      <c r="K215" s="125">
        <f t="shared" si="30"/>
        <v>7.4104765993988835</v>
      </c>
      <c r="L215" s="126">
        <v>0</v>
      </c>
      <c r="M215" s="108">
        <v>1061</v>
      </c>
      <c r="N215" s="108">
        <v>16198</v>
      </c>
      <c r="O215" s="108">
        <v>17259</v>
      </c>
      <c r="P215" s="108">
        <f t="shared" si="35"/>
        <v>2.1983186855177683</v>
      </c>
      <c r="Q215" s="108">
        <v>29372</v>
      </c>
      <c r="R215" s="108">
        <v>28489</v>
      </c>
      <c r="S215" s="125">
        <f t="shared" si="31"/>
        <v>3.6287097185071966</v>
      </c>
      <c r="T215" s="108">
        <v>1020</v>
      </c>
      <c r="U215" s="125">
        <f t="shared" si="32"/>
        <v>0.12991975544516621</v>
      </c>
      <c r="V215" s="108">
        <v>3159</v>
      </c>
      <c r="W215" s="108">
        <v>1222</v>
      </c>
      <c r="X215" s="108">
        <v>33041</v>
      </c>
      <c r="Y215" s="108">
        <v>2700</v>
      </c>
      <c r="Z215" s="125">
        <f t="shared" si="33"/>
        <v>4.2085084702585656</v>
      </c>
      <c r="AA215" s="125">
        <f t="shared" si="34"/>
        <v>14.186775440103048</v>
      </c>
      <c r="AB215" s="108">
        <v>15920</v>
      </c>
      <c r="AC215" s="78" t="s">
        <v>1643</v>
      </c>
      <c r="AD215" s="126">
        <v>4244</v>
      </c>
      <c r="AE215" s="108">
        <v>57861</v>
      </c>
      <c r="AF215" s="108">
        <v>2329</v>
      </c>
      <c r="AG215" s="108">
        <v>7851</v>
      </c>
    </row>
    <row r="216" spans="1:33" ht="15.75" thickBot="1" x14ac:dyDescent="0.3">
      <c r="A216" s="44" t="s">
        <v>1510</v>
      </c>
      <c r="B216" s="107" t="s">
        <v>1511</v>
      </c>
      <c r="C216" s="78" t="s">
        <v>808</v>
      </c>
      <c r="D216" s="108">
        <v>15510</v>
      </c>
      <c r="E216" s="108">
        <v>35033</v>
      </c>
      <c r="F216" s="108">
        <v>6224</v>
      </c>
      <c r="G216" s="108">
        <v>56767</v>
      </c>
      <c r="H216" s="125">
        <f t="shared" si="27"/>
        <v>1.5131707317073171</v>
      </c>
      <c r="I216" s="125">
        <f t="shared" si="28"/>
        <v>0.60721951219512194</v>
      </c>
      <c r="J216" s="125">
        <f t="shared" si="29"/>
        <v>5.5382439024390244</v>
      </c>
      <c r="K216" s="125">
        <f t="shared" si="30"/>
        <v>20.094513274336283</v>
      </c>
      <c r="L216" s="126">
        <v>2022</v>
      </c>
      <c r="M216" s="108">
        <v>8246</v>
      </c>
      <c r="N216" s="108">
        <v>50543</v>
      </c>
      <c r="O216" s="108">
        <v>58789</v>
      </c>
      <c r="P216" s="108">
        <f t="shared" si="35"/>
        <v>5.7355121951219514</v>
      </c>
      <c r="Q216" s="108">
        <v>35035</v>
      </c>
      <c r="R216" s="108">
        <v>19289</v>
      </c>
      <c r="S216" s="125">
        <f t="shared" si="31"/>
        <v>1.8818536585365853</v>
      </c>
      <c r="T216" s="108">
        <v>3011</v>
      </c>
      <c r="U216" s="125">
        <f t="shared" si="32"/>
        <v>0.29375609756097559</v>
      </c>
      <c r="V216" s="108">
        <v>6907</v>
      </c>
      <c r="W216" s="108">
        <v>2852</v>
      </c>
      <c r="X216" s="108">
        <v>52340</v>
      </c>
      <c r="Y216" s="108">
        <v>11602</v>
      </c>
      <c r="Z216" s="125">
        <f t="shared" si="33"/>
        <v>5.1063414634146342</v>
      </c>
      <c r="AA216" s="125">
        <f t="shared" si="34"/>
        <v>18.527433628318583</v>
      </c>
      <c r="AB216" s="108">
        <v>3361</v>
      </c>
      <c r="AC216" s="78" t="s">
        <v>1643</v>
      </c>
      <c r="AD216" s="126">
        <v>12146</v>
      </c>
      <c r="AE216" s="108">
        <v>54324</v>
      </c>
      <c r="AF216" s="108">
        <v>2825</v>
      </c>
      <c r="AG216" s="108">
        <v>10250</v>
      </c>
    </row>
    <row r="217" spans="1:33" ht="15.75" thickBot="1" x14ac:dyDescent="0.3">
      <c r="A217" s="44" t="s">
        <v>1520</v>
      </c>
      <c r="B217" s="107" t="s">
        <v>1521</v>
      </c>
      <c r="C217" s="78" t="s">
        <v>808</v>
      </c>
      <c r="D217" s="108">
        <v>5512</v>
      </c>
      <c r="E217" s="108">
        <v>15775</v>
      </c>
      <c r="F217" s="108">
        <v>1260</v>
      </c>
      <c r="G217" s="108">
        <v>22547</v>
      </c>
      <c r="H217" s="125">
        <f t="shared" si="27"/>
        <v>0.51697617707747134</v>
      </c>
      <c r="I217" s="125">
        <f t="shared" si="28"/>
        <v>0.11817670230725942</v>
      </c>
      <c r="J217" s="125">
        <f t="shared" si="29"/>
        <v>2.1147064340649036</v>
      </c>
      <c r="K217" s="125">
        <f t="shared" si="30"/>
        <v>7.0327510917030569</v>
      </c>
      <c r="L217" s="126">
        <v>114</v>
      </c>
      <c r="M217" s="108">
        <v>1374</v>
      </c>
      <c r="N217" s="108">
        <v>21287</v>
      </c>
      <c r="O217" s="108">
        <v>22661</v>
      </c>
      <c r="P217" s="108">
        <f t="shared" si="35"/>
        <v>2.1253986118927028</v>
      </c>
      <c r="Q217" s="108">
        <v>31194</v>
      </c>
      <c r="R217" s="108">
        <v>18288</v>
      </c>
      <c r="S217" s="125">
        <f t="shared" si="31"/>
        <v>1.7152504220596512</v>
      </c>
      <c r="T217" s="108">
        <v>3130</v>
      </c>
      <c r="U217" s="125">
        <f t="shared" si="32"/>
        <v>0.29356593509660478</v>
      </c>
      <c r="V217" s="108">
        <v>882</v>
      </c>
      <c r="W217" s="108">
        <v>1724</v>
      </c>
      <c r="X217" s="108">
        <v>31640</v>
      </c>
      <c r="Y217" s="78" t="s">
        <v>3453</v>
      </c>
      <c r="Z217" s="125">
        <f t="shared" si="33"/>
        <v>2.9675483023822924</v>
      </c>
      <c r="AA217" s="125">
        <f t="shared" si="34"/>
        <v>9.8689956331877724</v>
      </c>
      <c r="AB217" s="108">
        <v>4393</v>
      </c>
      <c r="AC217" s="78" t="s">
        <v>1643</v>
      </c>
      <c r="AD217" s="126">
        <v>8778</v>
      </c>
      <c r="AE217" s="108">
        <v>49482</v>
      </c>
      <c r="AF217" s="108">
        <v>3206</v>
      </c>
      <c r="AG217" s="108">
        <v>10662</v>
      </c>
    </row>
    <row r="218" spans="1:33" ht="15.75" thickBot="1" x14ac:dyDescent="0.3">
      <c r="A218" s="44" t="s">
        <v>1524</v>
      </c>
      <c r="B218" s="107" t="s">
        <v>1525</v>
      </c>
      <c r="C218" s="78" t="s">
        <v>808</v>
      </c>
      <c r="D218" s="108">
        <v>17585</v>
      </c>
      <c r="E218" s="108">
        <v>27342</v>
      </c>
      <c r="F218" s="108">
        <v>3909</v>
      </c>
      <c r="G218" s="108">
        <v>48836</v>
      </c>
      <c r="H218" s="125">
        <f t="shared" si="27"/>
        <v>1.4672507300792657</v>
      </c>
      <c r="I218" s="125">
        <f t="shared" si="28"/>
        <v>0.32615769712140175</v>
      </c>
      <c r="J218" s="125">
        <f t="shared" si="29"/>
        <v>4.0747601168126826</v>
      </c>
      <c r="K218" s="125">
        <f t="shared" si="30"/>
        <v>4.3436805123187758</v>
      </c>
      <c r="L218" s="126">
        <v>30</v>
      </c>
      <c r="M218" s="108">
        <v>3939</v>
      </c>
      <c r="N218" s="108">
        <v>44927</v>
      </c>
      <c r="O218" s="108">
        <v>48866</v>
      </c>
      <c r="P218" s="108">
        <f t="shared" si="35"/>
        <v>4.0772632457238212</v>
      </c>
      <c r="Q218" s="108">
        <v>78473</v>
      </c>
      <c r="R218" s="108">
        <v>12006</v>
      </c>
      <c r="S218" s="125">
        <f t="shared" si="31"/>
        <v>1.0017521902377973</v>
      </c>
      <c r="T218" s="108">
        <v>6560</v>
      </c>
      <c r="U218" s="125">
        <f t="shared" si="32"/>
        <v>0.54735085523571125</v>
      </c>
      <c r="V218" s="108">
        <v>1167</v>
      </c>
      <c r="W218" s="108">
        <v>1194</v>
      </c>
      <c r="X218" s="108">
        <v>31160</v>
      </c>
      <c r="Y218" s="108">
        <v>4745</v>
      </c>
      <c r="Z218" s="125">
        <f t="shared" si="33"/>
        <v>2.5999165623696285</v>
      </c>
      <c r="AA218" s="125">
        <f t="shared" si="34"/>
        <v>2.7715022680779153</v>
      </c>
      <c r="AB218" s="108">
        <v>4330</v>
      </c>
      <c r="AC218" s="78" t="s">
        <v>1643</v>
      </c>
      <c r="AD218" s="126">
        <v>309</v>
      </c>
      <c r="AE218" s="108">
        <v>90479</v>
      </c>
      <c r="AF218" s="108">
        <v>11243</v>
      </c>
      <c r="AG218" s="108">
        <v>11985</v>
      </c>
    </row>
    <row r="219" spans="1:33" ht="15.75" thickBot="1" x14ac:dyDescent="0.3">
      <c r="A219" s="44" t="s">
        <v>1526</v>
      </c>
      <c r="B219" s="107" t="s">
        <v>1527</v>
      </c>
      <c r="C219" s="78" t="s">
        <v>808</v>
      </c>
      <c r="D219" s="108">
        <v>7261</v>
      </c>
      <c r="E219" s="108">
        <v>12449</v>
      </c>
      <c r="F219" s="108">
        <v>5411</v>
      </c>
      <c r="G219" s="108">
        <v>25121</v>
      </c>
      <c r="H219" s="125">
        <f t="shared" si="27"/>
        <v>0.89124831226218237</v>
      </c>
      <c r="I219" s="125">
        <f t="shared" si="28"/>
        <v>0.66417086043942553</v>
      </c>
      <c r="J219" s="125">
        <f t="shared" si="29"/>
        <v>3.0834663066159322</v>
      </c>
      <c r="K219" s="125">
        <f t="shared" si="30"/>
        <v>3.9436420722135006</v>
      </c>
      <c r="L219" s="127">
        <v>0</v>
      </c>
      <c r="M219" s="108">
        <v>5411</v>
      </c>
      <c r="N219" s="108">
        <v>19710</v>
      </c>
      <c r="O219" s="108">
        <v>25121</v>
      </c>
      <c r="P219" s="108">
        <f t="shared" si="35"/>
        <v>3.0834663066159322</v>
      </c>
      <c r="Q219" s="108">
        <v>28727</v>
      </c>
      <c r="R219" s="108">
        <v>17962</v>
      </c>
      <c r="S219" s="125">
        <f t="shared" si="31"/>
        <v>2.2047379403461398</v>
      </c>
      <c r="T219" s="108">
        <v>785</v>
      </c>
      <c r="U219" s="125">
        <f t="shared" si="32"/>
        <v>9.6354486313980608E-2</v>
      </c>
      <c r="V219" s="108">
        <v>1867</v>
      </c>
      <c r="W219" s="108">
        <v>2028</v>
      </c>
      <c r="X219" s="108">
        <v>27500</v>
      </c>
      <c r="Y219" s="108">
        <v>3800</v>
      </c>
      <c r="Z219" s="125">
        <f t="shared" si="33"/>
        <v>3.3754756352031423</v>
      </c>
      <c r="AA219" s="125">
        <f t="shared" si="34"/>
        <v>4.3171114599686025</v>
      </c>
      <c r="AB219" s="108">
        <v>2281</v>
      </c>
      <c r="AC219" s="78" t="s">
        <v>1643</v>
      </c>
      <c r="AD219" s="126">
        <v>1565</v>
      </c>
      <c r="AE219" s="108">
        <v>46689</v>
      </c>
      <c r="AF219" s="108">
        <v>6370</v>
      </c>
      <c r="AG219" s="108">
        <v>8147</v>
      </c>
    </row>
    <row r="220" spans="1:33" ht="15.75" thickBot="1" x14ac:dyDescent="0.3">
      <c r="A220" s="44" t="s">
        <v>1534</v>
      </c>
      <c r="B220" s="107" t="s">
        <v>1535</v>
      </c>
      <c r="C220" s="78" t="s">
        <v>808</v>
      </c>
      <c r="D220" s="108">
        <v>19461</v>
      </c>
      <c r="E220" s="108">
        <v>21275</v>
      </c>
      <c r="F220" s="108">
        <v>1998</v>
      </c>
      <c r="G220" s="108">
        <v>42734</v>
      </c>
      <c r="H220" s="125">
        <f t="shared" si="27"/>
        <v>2.003397158739963</v>
      </c>
      <c r="I220" s="125">
        <f t="shared" si="28"/>
        <v>0.20568252007411983</v>
      </c>
      <c r="J220" s="125">
        <f t="shared" si="29"/>
        <v>4.3992176240477665</v>
      </c>
      <c r="K220" s="125">
        <f t="shared" si="30"/>
        <v>14.220965058236272</v>
      </c>
      <c r="L220" s="126">
        <v>0</v>
      </c>
      <c r="M220" s="108">
        <v>1998</v>
      </c>
      <c r="N220" s="108">
        <v>40736</v>
      </c>
      <c r="O220" s="108">
        <v>42734</v>
      </c>
      <c r="P220" s="108">
        <f t="shared" si="35"/>
        <v>4.3992176240477665</v>
      </c>
      <c r="Q220" s="108">
        <v>34955</v>
      </c>
      <c r="R220" s="108">
        <v>17178</v>
      </c>
      <c r="S220" s="125">
        <f t="shared" si="31"/>
        <v>1.7683755404570722</v>
      </c>
      <c r="T220" s="108">
        <v>2600</v>
      </c>
      <c r="U220" s="125">
        <f t="shared" si="32"/>
        <v>0.26765493102738314</v>
      </c>
      <c r="V220" s="108">
        <v>3821</v>
      </c>
      <c r="W220" s="108">
        <v>3940</v>
      </c>
      <c r="X220" s="108">
        <v>38713</v>
      </c>
      <c r="Y220" s="108">
        <v>18246</v>
      </c>
      <c r="Z220" s="125">
        <f t="shared" si="33"/>
        <v>3.9852789787934939</v>
      </c>
      <c r="AA220" s="125">
        <f t="shared" si="34"/>
        <v>12.882861896838602</v>
      </c>
      <c r="AB220" s="108">
        <v>6065</v>
      </c>
      <c r="AC220" s="78" t="s">
        <v>1643</v>
      </c>
      <c r="AD220" s="126">
        <v>20189</v>
      </c>
      <c r="AE220" s="108">
        <v>52133</v>
      </c>
      <c r="AF220" s="108">
        <v>3005</v>
      </c>
      <c r="AG220" s="108">
        <v>9714</v>
      </c>
    </row>
    <row r="221" spans="1:33" ht="15.75" thickBot="1" x14ac:dyDescent="0.3">
      <c r="A221" s="44" t="s">
        <v>1562</v>
      </c>
      <c r="B221" s="107" t="s">
        <v>1563</v>
      </c>
      <c r="C221" s="78" t="s">
        <v>808</v>
      </c>
      <c r="D221" s="108">
        <v>4104</v>
      </c>
      <c r="E221" s="108">
        <v>8917</v>
      </c>
      <c r="F221" s="108">
        <v>981</v>
      </c>
      <c r="G221" s="108">
        <v>14002</v>
      </c>
      <c r="H221" s="125">
        <f t="shared" si="27"/>
        <v>0.4313643052343914</v>
      </c>
      <c r="I221" s="125">
        <f t="shared" si="28"/>
        <v>0.1031112045406769</v>
      </c>
      <c r="J221" s="125">
        <f t="shared" si="29"/>
        <v>1.4717258776539837</v>
      </c>
      <c r="K221" s="125">
        <f t="shared" si="30"/>
        <v>1.2347442680776015</v>
      </c>
      <c r="L221" s="126">
        <v>2</v>
      </c>
      <c r="M221" s="108">
        <v>983</v>
      </c>
      <c r="N221" s="108">
        <v>13021</v>
      </c>
      <c r="O221" s="108">
        <v>14004</v>
      </c>
      <c r="P221" s="108">
        <f t="shared" si="35"/>
        <v>1.4719360941770023</v>
      </c>
      <c r="Q221" s="108">
        <v>33550</v>
      </c>
      <c r="R221" s="108">
        <v>29013</v>
      </c>
      <c r="S221" s="125">
        <f t="shared" si="31"/>
        <v>3.0495059911709061</v>
      </c>
      <c r="T221" s="108">
        <v>5940</v>
      </c>
      <c r="U221" s="125">
        <f t="shared" si="32"/>
        <v>0.62434307336556649</v>
      </c>
      <c r="V221" s="108">
        <v>0</v>
      </c>
      <c r="W221" s="108">
        <v>82</v>
      </c>
      <c r="X221" s="108">
        <v>8774</v>
      </c>
      <c r="Y221" s="78" t="s">
        <v>3453</v>
      </c>
      <c r="Z221" s="125">
        <f t="shared" si="33"/>
        <v>0.92221988648307762</v>
      </c>
      <c r="AA221" s="125">
        <f t="shared" si="34"/>
        <v>0.77372134038800711</v>
      </c>
      <c r="AB221" s="108">
        <v>4800</v>
      </c>
      <c r="AC221" s="78" t="s">
        <v>1643</v>
      </c>
      <c r="AD221" s="126">
        <v>950</v>
      </c>
      <c r="AE221" s="108">
        <v>62563</v>
      </c>
      <c r="AF221" s="108">
        <v>11340</v>
      </c>
      <c r="AG221" s="108">
        <v>9514</v>
      </c>
    </row>
    <row r="222" spans="1:33" ht="15.75" thickBot="1" x14ac:dyDescent="0.3">
      <c r="A222" s="44" t="s">
        <v>1576</v>
      </c>
      <c r="B222" s="107" t="s">
        <v>1577</v>
      </c>
      <c r="C222" s="78" t="s">
        <v>808</v>
      </c>
      <c r="D222" s="108">
        <v>12140</v>
      </c>
      <c r="E222" s="108">
        <v>44256</v>
      </c>
      <c r="F222" s="108">
        <v>17039</v>
      </c>
      <c r="G222" s="108">
        <v>73435</v>
      </c>
      <c r="H222" s="125">
        <f t="shared" si="27"/>
        <v>1.328518275333771</v>
      </c>
      <c r="I222" s="125">
        <f t="shared" si="28"/>
        <v>1.8646312103304881</v>
      </c>
      <c r="J222" s="125">
        <f t="shared" si="29"/>
        <v>8.0362223681330711</v>
      </c>
      <c r="K222" s="125">
        <f t="shared" si="30"/>
        <v>46.714376590330787</v>
      </c>
      <c r="L222" s="126">
        <v>0</v>
      </c>
      <c r="M222" s="108">
        <v>17039</v>
      </c>
      <c r="N222" s="108">
        <v>56396</v>
      </c>
      <c r="O222" s="108">
        <v>73435</v>
      </c>
      <c r="P222" s="108">
        <f t="shared" si="35"/>
        <v>8.0362223681330711</v>
      </c>
      <c r="Q222" s="108">
        <v>32577</v>
      </c>
      <c r="R222" s="108">
        <v>11632</v>
      </c>
      <c r="S222" s="125">
        <f t="shared" si="31"/>
        <v>1.2729262420660976</v>
      </c>
      <c r="T222" s="108">
        <v>5564</v>
      </c>
      <c r="U222" s="125">
        <f t="shared" si="32"/>
        <v>0.60888597067191941</v>
      </c>
      <c r="V222" s="108">
        <v>3174</v>
      </c>
      <c r="W222" s="108">
        <v>2798</v>
      </c>
      <c r="X222" s="108">
        <v>53555</v>
      </c>
      <c r="Y222" s="108">
        <v>27296</v>
      </c>
      <c r="Z222" s="125">
        <f t="shared" si="33"/>
        <v>5.8606916174217556</v>
      </c>
      <c r="AA222" s="125">
        <f t="shared" si="34"/>
        <v>34.068066157760818</v>
      </c>
      <c r="AB222" s="108">
        <v>20595</v>
      </c>
      <c r="AC222" s="78" t="s">
        <v>1643</v>
      </c>
      <c r="AD222" s="126">
        <v>2728</v>
      </c>
      <c r="AE222" s="108">
        <v>44209</v>
      </c>
      <c r="AF222" s="108">
        <v>1572</v>
      </c>
      <c r="AG222" s="108">
        <v>9138</v>
      </c>
    </row>
    <row r="223" spans="1:33" ht="15.75" thickBot="1" x14ac:dyDescent="0.3">
      <c r="A223" s="44" t="s">
        <v>1578</v>
      </c>
      <c r="B223" s="107" t="s">
        <v>1579</v>
      </c>
      <c r="C223" s="78" t="s">
        <v>808</v>
      </c>
      <c r="D223" s="108">
        <v>18078</v>
      </c>
      <c r="E223" s="108">
        <v>40114</v>
      </c>
      <c r="F223" s="108">
        <v>2612</v>
      </c>
      <c r="G223" s="108">
        <v>60804</v>
      </c>
      <c r="H223" s="125">
        <f t="shared" si="27"/>
        <v>2.4529172320217096</v>
      </c>
      <c r="I223" s="125">
        <f t="shared" si="28"/>
        <v>0.35440976933514245</v>
      </c>
      <c r="J223" s="125">
        <f t="shared" si="29"/>
        <v>8.2502035278154686</v>
      </c>
      <c r="K223" s="125">
        <f t="shared" si="30"/>
        <v>11.005248868778281</v>
      </c>
      <c r="L223" s="126">
        <v>285</v>
      </c>
      <c r="M223" s="108">
        <v>2897</v>
      </c>
      <c r="N223" s="108">
        <v>58192</v>
      </c>
      <c r="O223" s="108">
        <v>61089</v>
      </c>
      <c r="P223" s="108">
        <f t="shared" si="35"/>
        <v>8.2888738127544102</v>
      </c>
      <c r="Q223" s="108">
        <v>68995</v>
      </c>
      <c r="R223" s="108">
        <v>12768</v>
      </c>
      <c r="S223" s="125">
        <f t="shared" si="31"/>
        <v>1.7324287652645862</v>
      </c>
      <c r="T223" s="108">
        <v>20763</v>
      </c>
      <c r="U223" s="125">
        <f t="shared" si="32"/>
        <v>2.8172320217096338</v>
      </c>
      <c r="V223" s="108">
        <v>5273</v>
      </c>
      <c r="W223" s="108">
        <v>3305</v>
      </c>
      <c r="X223" s="108">
        <v>51219</v>
      </c>
      <c r="Y223" s="108">
        <v>5373</v>
      </c>
      <c r="Z223" s="125">
        <f t="shared" si="33"/>
        <v>6.9496607869742197</v>
      </c>
      <c r="AA223" s="125">
        <f t="shared" si="34"/>
        <v>9.2704072398190043</v>
      </c>
      <c r="AB223" s="108">
        <v>6063</v>
      </c>
      <c r="AC223" s="78" t="s">
        <v>1643</v>
      </c>
      <c r="AD223" s="126">
        <v>4269</v>
      </c>
      <c r="AE223" s="108">
        <v>81763</v>
      </c>
      <c r="AF223" s="108">
        <v>5525</v>
      </c>
      <c r="AG223" s="108">
        <v>7370</v>
      </c>
    </row>
    <row r="224" spans="1:33" ht="15.75" thickBot="1" x14ac:dyDescent="0.3">
      <c r="A224" s="44" t="s">
        <v>1582</v>
      </c>
      <c r="B224" s="107" t="s">
        <v>1583</v>
      </c>
      <c r="C224" s="78" t="s">
        <v>808</v>
      </c>
      <c r="D224" s="108">
        <v>8152</v>
      </c>
      <c r="E224" s="108">
        <v>47069</v>
      </c>
      <c r="F224" s="108">
        <v>144</v>
      </c>
      <c r="G224" s="108">
        <v>55365</v>
      </c>
      <c r="H224" s="125">
        <f t="shared" si="27"/>
        <v>0.95534981835227939</v>
      </c>
      <c r="I224" s="125">
        <f t="shared" si="28"/>
        <v>1.6875659205437713E-2</v>
      </c>
      <c r="J224" s="125">
        <f t="shared" si="29"/>
        <v>6.4883393882573541</v>
      </c>
      <c r="K224" s="125">
        <f t="shared" si="30"/>
        <v>26.326676176890157</v>
      </c>
      <c r="L224" s="126">
        <v>0</v>
      </c>
      <c r="M224" s="108">
        <v>144</v>
      </c>
      <c r="N224" s="108">
        <v>55221</v>
      </c>
      <c r="O224" s="108">
        <v>55365</v>
      </c>
      <c r="P224" s="108">
        <f t="shared" si="35"/>
        <v>6.4883393882573541</v>
      </c>
      <c r="Q224" s="108">
        <v>64645</v>
      </c>
      <c r="R224" s="108">
        <v>12116</v>
      </c>
      <c r="S224" s="125">
        <f t="shared" si="31"/>
        <v>1.4198992148130787</v>
      </c>
      <c r="T224" s="108">
        <v>1363</v>
      </c>
      <c r="U224" s="125">
        <f t="shared" si="32"/>
        <v>0.15973280206258056</v>
      </c>
      <c r="V224" s="108">
        <v>6038</v>
      </c>
      <c r="W224" s="108">
        <v>2548</v>
      </c>
      <c r="X224" s="108">
        <v>43666</v>
      </c>
      <c r="Y224" s="108">
        <v>25088</v>
      </c>
      <c r="Z224" s="125">
        <f t="shared" si="33"/>
        <v>5.1173092698933553</v>
      </c>
      <c r="AA224" s="125">
        <f t="shared" si="34"/>
        <v>20.763670946267236</v>
      </c>
      <c r="AB224" s="108">
        <v>3442</v>
      </c>
      <c r="AC224" s="78" t="s">
        <v>1643</v>
      </c>
      <c r="AD224" s="126">
        <v>4236</v>
      </c>
      <c r="AE224" s="108">
        <v>76761</v>
      </c>
      <c r="AF224" s="108">
        <v>2103</v>
      </c>
      <c r="AG224" s="108">
        <v>8533</v>
      </c>
    </row>
    <row r="225" spans="1:33" ht="15.75" thickBot="1" x14ac:dyDescent="0.3">
      <c r="A225" s="44" t="s">
        <v>1584</v>
      </c>
      <c r="B225" s="107" t="s">
        <v>1585</v>
      </c>
      <c r="C225" s="78" t="s">
        <v>808</v>
      </c>
      <c r="D225" s="108">
        <v>21791</v>
      </c>
      <c r="E225" s="108">
        <v>38385</v>
      </c>
      <c r="F225" s="108">
        <v>5891</v>
      </c>
      <c r="G225" s="108">
        <v>66067</v>
      </c>
      <c r="H225" s="125">
        <f t="shared" si="27"/>
        <v>1.8449750232833799</v>
      </c>
      <c r="I225" s="125">
        <f t="shared" si="28"/>
        <v>0.49877233087799511</v>
      </c>
      <c r="J225" s="125">
        <f t="shared" si="29"/>
        <v>5.5936838540343743</v>
      </c>
      <c r="K225" s="125">
        <f t="shared" si="30"/>
        <v>20.1485208905154</v>
      </c>
      <c r="L225" s="126">
        <v>3891</v>
      </c>
      <c r="M225" s="108">
        <v>9782</v>
      </c>
      <c r="N225" s="108">
        <v>60176</v>
      </c>
      <c r="O225" s="108">
        <v>69958</v>
      </c>
      <c r="P225" s="108">
        <f t="shared" si="35"/>
        <v>5.9231225129116929</v>
      </c>
      <c r="Q225" s="108">
        <v>44979</v>
      </c>
      <c r="R225" s="108">
        <v>22600</v>
      </c>
      <c r="S225" s="125">
        <f t="shared" si="31"/>
        <v>1.9134704936076539</v>
      </c>
      <c r="T225" s="108">
        <v>4750</v>
      </c>
      <c r="U225" s="125">
        <f t="shared" si="32"/>
        <v>0.40216747100160866</v>
      </c>
      <c r="V225" s="108">
        <v>7055</v>
      </c>
      <c r="W225" s="108">
        <v>6623</v>
      </c>
      <c r="X225" s="108">
        <v>72004</v>
      </c>
      <c r="Y225" s="108">
        <v>49737</v>
      </c>
      <c r="Z225" s="125">
        <f t="shared" si="33"/>
        <v>6.0963508593683855</v>
      </c>
      <c r="AA225" s="125">
        <f t="shared" si="34"/>
        <v>21.959133882281183</v>
      </c>
      <c r="AB225" s="108">
        <v>6718</v>
      </c>
      <c r="AC225" s="78" t="s">
        <v>1643</v>
      </c>
      <c r="AD225" s="126">
        <v>12020</v>
      </c>
      <c r="AE225" s="108">
        <v>67579</v>
      </c>
      <c r="AF225" s="108">
        <v>3279</v>
      </c>
      <c r="AG225" s="108">
        <v>11811</v>
      </c>
    </row>
    <row r="226" spans="1:33" ht="15.75" thickBot="1" x14ac:dyDescent="0.3">
      <c r="A226" s="44" t="s">
        <v>1590</v>
      </c>
      <c r="B226" s="107" t="s">
        <v>1591</v>
      </c>
      <c r="C226" s="78" t="s">
        <v>808</v>
      </c>
      <c r="D226" s="108">
        <v>10724</v>
      </c>
      <c r="E226" s="108">
        <v>17812</v>
      </c>
      <c r="F226" s="108">
        <v>6436</v>
      </c>
      <c r="G226" s="108">
        <v>34972</v>
      </c>
      <c r="H226" s="125">
        <f t="shared" si="27"/>
        <v>1.0709007389654484</v>
      </c>
      <c r="I226" s="125">
        <f t="shared" si="28"/>
        <v>0.64270021969243063</v>
      </c>
      <c r="J226" s="125">
        <f t="shared" si="29"/>
        <v>3.4923107649290994</v>
      </c>
      <c r="K226" s="125">
        <f t="shared" si="30"/>
        <v>6.3206217242002527</v>
      </c>
      <c r="L226" s="126">
        <v>21</v>
      </c>
      <c r="M226" s="108">
        <v>6457</v>
      </c>
      <c r="N226" s="108">
        <v>28536</v>
      </c>
      <c r="O226" s="108">
        <v>34993</v>
      </c>
      <c r="P226" s="108">
        <f t="shared" si="35"/>
        <v>3.494407829039345</v>
      </c>
      <c r="Q226" s="108">
        <v>28950</v>
      </c>
      <c r="R226" s="108">
        <v>37065</v>
      </c>
      <c r="S226" s="125">
        <f t="shared" si="31"/>
        <v>3.7013181545835829</v>
      </c>
      <c r="T226" s="108">
        <v>1700</v>
      </c>
      <c r="U226" s="125">
        <f t="shared" si="32"/>
        <v>0.16976233273417216</v>
      </c>
      <c r="V226" s="108">
        <v>1556</v>
      </c>
      <c r="W226" s="108">
        <v>1343</v>
      </c>
      <c r="X226" s="108">
        <v>21073</v>
      </c>
      <c r="Y226" s="108">
        <v>8938</v>
      </c>
      <c r="Z226" s="125">
        <f t="shared" si="33"/>
        <v>2.104353904533653</v>
      </c>
      <c r="AA226" s="125">
        <f t="shared" si="34"/>
        <v>3.8086029278872222</v>
      </c>
      <c r="AB226" s="108">
        <v>2297</v>
      </c>
      <c r="AC226" s="78" t="s">
        <v>1643</v>
      </c>
      <c r="AD226" s="126">
        <v>221</v>
      </c>
      <c r="AE226" s="108">
        <v>66015</v>
      </c>
      <c r="AF226" s="108">
        <v>5533</v>
      </c>
      <c r="AG226" s="108">
        <v>10014</v>
      </c>
    </row>
    <row r="227" spans="1:33" ht="15.75" thickBot="1" x14ac:dyDescent="0.3">
      <c r="A227" s="44" t="s">
        <v>801</v>
      </c>
      <c r="B227" s="107" t="s">
        <v>802</v>
      </c>
      <c r="C227" s="78" t="s">
        <v>803</v>
      </c>
      <c r="D227" s="108">
        <v>23369</v>
      </c>
      <c r="E227" s="108">
        <v>43560</v>
      </c>
      <c r="F227" s="108">
        <v>6717</v>
      </c>
      <c r="G227" s="108">
        <v>73646</v>
      </c>
      <c r="H227" s="125">
        <f t="shared" si="27"/>
        <v>1.1058060852694838</v>
      </c>
      <c r="I227" s="125">
        <f t="shared" si="28"/>
        <v>0.31784413003359674</v>
      </c>
      <c r="J227" s="125">
        <f t="shared" si="29"/>
        <v>3.4848814650073345</v>
      </c>
      <c r="K227" s="125">
        <f t="shared" si="30"/>
        <v>8.8103840172269408</v>
      </c>
      <c r="L227" s="126">
        <v>3316</v>
      </c>
      <c r="M227" s="108">
        <v>10033</v>
      </c>
      <c r="N227" s="108">
        <v>66929</v>
      </c>
      <c r="O227" s="108">
        <v>76962</v>
      </c>
      <c r="P227" s="108">
        <f t="shared" si="35"/>
        <v>3.641792457294279</v>
      </c>
      <c r="Q227" s="108">
        <v>74853</v>
      </c>
      <c r="R227" s="108">
        <v>13964</v>
      </c>
      <c r="S227" s="125">
        <f t="shared" si="31"/>
        <v>0.66076751999242889</v>
      </c>
      <c r="T227" s="108">
        <v>8844</v>
      </c>
      <c r="U227" s="125">
        <f t="shared" si="32"/>
        <v>0.41849240524298492</v>
      </c>
      <c r="V227" s="108">
        <v>3753</v>
      </c>
      <c r="W227" s="108">
        <v>4877</v>
      </c>
      <c r="X227" s="108">
        <v>135745</v>
      </c>
      <c r="Y227" s="108">
        <v>14674</v>
      </c>
      <c r="Z227" s="125">
        <f t="shared" si="33"/>
        <v>6.4233662991529838</v>
      </c>
      <c r="AA227" s="125">
        <f t="shared" si="34"/>
        <v>16.239382701280057</v>
      </c>
      <c r="AB227" s="108">
        <v>18564</v>
      </c>
      <c r="AC227" s="78" t="s">
        <v>1643</v>
      </c>
      <c r="AD227" s="126">
        <v>23400</v>
      </c>
      <c r="AE227" s="108">
        <v>88817</v>
      </c>
      <c r="AF227" s="108">
        <v>8359</v>
      </c>
      <c r="AG227" s="108">
        <v>21133</v>
      </c>
    </row>
    <row r="228" spans="1:33" ht="15.75" thickBot="1" x14ac:dyDescent="0.3">
      <c r="A228" s="44" t="s">
        <v>818</v>
      </c>
      <c r="B228" s="107" t="s">
        <v>819</v>
      </c>
      <c r="C228" s="78" t="s">
        <v>803</v>
      </c>
      <c r="D228" s="108">
        <v>18096</v>
      </c>
      <c r="E228" s="108">
        <v>37569</v>
      </c>
      <c r="F228" s="108">
        <v>8847</v>
      </c>
      <c r="G228" s="108">
        <v>64512</v>
      </c>
      <c r="H228" s="125">
        <f t="shared" si="27"/>
        <v>1.0399402333199241</v>
      </c>
      <c r="I228" s="125">
        <f t="shared" si="28"/>
        <v>0.50841905637607032</v>
      </c>
      <c r="J228" s="125">
        <f t="shared" si="29"/>
        <v>3.7073731394747429</v>
      </c>
      <c r="K228" s="125">
        <f t="shared" si="30"/>
        <v>7.525898273448437</v>
      </c>
      <c r="L228" s="126">
        <v>8921</v>
      </c>
      <c r="M228" s="108">
        <v>17768</v>
      </c>
      <c r="N228" s="108">
        <v>55665</v>
      </c>
      <c r="O228" s="108">
        <v>73433</v>
      </c>
      <c r="P228" s="108">
        <f t="shared" si="35"/>
        <v>4.2200448250100573</v>
      </c>
      <c r="Q228" s="108">
        <v>44379</v>
      </c>
      <c r="R228" s="108">
        <v>15208</v>
      </c>
      <c r="S228" s="125">
        <f t="shared" si="31"/>
        <v>0.87397276018619618</v>
      </c>
      <c r="T228" s="108">
        <v>2800</v>
      </c>
      <c r="U228" s="125">
        <f t="shared" si="32"/>
        <v>0.1609102925119246</v>
      </c>
      <c r="V228" s="108">
        <v>2499</v>
      </c>
      <c r="W228" s="108">
        <v>4526</v>
      </c>
      <c r="X228" s="108">
        <v>70344</v>
      </c>
      <c r="Y228" s="108">
        <v>17431</v>
      </c>
      <c r="Z228" s="125">
        <f t="shared" si="33"/>
        <v>4.0425262915924369</v>
      </c>
      <c r="AA228" s="125">
        <f t="shared" si="34"/>
        <v>8.206252916472236</v>
      </c>
      <c r="AB228" s="108">
        <v>10325</v>
      </c>
      <c r="AC228" s="78" t="s">
        <v>1643</v>
      </c>
      <c r="AD228" s="126">
        <v>10482</v>
      </c>
      <c r="AE228" s="108">
        <v>59587</v>
      </c>
      <c r="AF228" s="108">
        <v>8572</v>
      </c>
      <c r="AG228" s="108">
        <v>17401</v>
      </c>
    </row>
    <row r="229" spans="1:33" ht="15.75" thickBot="1" x14ac:dyDescent="0.3">
      <c r="A229" s="44" t="s">
        <v>846</v>
      </c>
      <c r="B229" s="107" t="s">
        <v>847</v>
      </c>
      <c r="C229" s="78" t="s">
        <v>803</v>
      </c>
      <c r="D229" s="108">
        <v>41261</v>
      </c>
      <c r="E229" s="108">
        <v>76628</v>
      </c>
      <c r="F229" s="108">
        <v>19803</v>
      </c>
      <c r="G229" s="108">
        <v>137692</v>
      </c>
      <c r="H229" s="125">
        <f t="shared" si="27"/>
        <v>1.9270035494115449</v>
      </c>
      <c r="I229" s="125">
        <f t="shared" si="28"/>
        <v>0.92485522137119369</v>
      </c>
      <c r="J229" s="125">
        <f t="shared" si="29"/>
        <v>6.4305996637399589</v>
      </c>
      <c r="K229" s="125">
        <f t="shared" si="30"/>
        <v>13.57240019714145</v>
      </c>
      <c r="L229" s="126">
        <v>14365</v>
      </c>
      <c r="M229" s="108">
        <v>34168</v>
      </c>
      <c r="N229" s="108">
        <v>117889</v>
      </c>
      <c r="O229" s="108">
        <v>152057</v>
      </c>
      <c r="P229" s="108">
        <f t="shared" si="35"/>
        <v>7.1014851485148514</v>
      </c>
      <c r="Q229" s="108">
        <v>64884</v>
      </c>
      <c r="R229" s="108">
        <v>88334</v>
      </c>
      <c r="S229" s="125">
        <f t="shared" si="31"/>
        <v>4.1254436764431164</v>
      </c>
      <c r="T229" s="108">
        <v>11893</v>
      </c>
      <c r="U229" s="125">
        <f t="shared" si="32"/>
        <v>0.55543620399775828</v>
      </c>
      <c r="V229" s="108">
        <v>28375</v>
      </c>
      <c r="W229" s="108">
        <v>13016</v>
      </c>
      <c r="X229" s="108">
        <v>118017</v>
      </c>
      <c r="Y229" s="108">
        <v>62643</v>
      </c>
      <c r="Z229" s="125">
        <f t="shared" si="33"/>
        <v>5.5117223986549595</v>
      </c>
      <c r="AA229" s="125">
        <f t="shared" si="34"/>
        <v>11.633021192705767</v>
      </c>
      <c r="AB229" s="108">
        <v>36594</v>
      </c>
      <c r="AC229" s="78" t="s">
        <v>1643</v>
      </c>
      <c r="AD229" s="126">
        <v>9852</v>
      </c>
      <c r="AE229" s="108">
        <v>153218</v>
      </c>
      <c r="AF229" s="108">
        <v>10145</v>
      </c>
      <c r="AG229" s="108">
        <v>21412</v>
      </c>
    </row>
    <row r="230" spans="1:33" ht="15.75" thickBot="1" x14ac:dyDescent="0.3">
      <c r="A230" s="44" t="s">
        <v>851</v>
      </c>
      <c r="B230" s="107" t="s">
        <v>852</v>
      </c>
      <c r="C230" s="78" t="s">
        <v>803</v>
      </c>
      <c r="D230" s="108">
        <v>31762</v>
      </c>
      <c r="E230" s="108">
        <v>67685</v>
      </c>
      <c r="F230" s="108">
        <v>12224</v>
      </c>
      <c r="G230" s="108">
        <v>111671</v>
      </c>
      <c r="H230" s="125">
        <f t="shared" si="27"/>
        <v>1.2271375033805973</v>
      </c>
      <c r="I230" s="125">
        <f t="shared" si="28"/>
        <v>0.47227910211335627</v>
      </c>
      <c r="J230" s="125">
        <f t="shared" si="29"/>
        <v>4.3144535022988064</v>
      </c>
      <c r="K230" s="125">
        <f t="shared" si="30"/>
        <v>16.179513184584177</v>
      </c>
      <c r="L230" s="126">
        <v>3740</v>
      </c>
      <c r="M230" s="108">
        <v>15964</v>
      </c>
      <c r="N230" s="108">
        <v>99447</v>
      </c>
      <c r="O230" s="108">
        <v>115411</v>
      </c>
      <c r="P230" s="108">
        <f t="shared" si="35"/>
        <v>4.4589498898891167</v>
      </c>
      <c r="Q230" s="108">
        <v>63000</v>
      </c>
      <c r="R230" s="108">
        <v>451450</v>
      </c>
      <c r="S230" s="125">
        <f t="shared" si="31"/>
        <v>17.441950314878493</v>
      </c>
      <c r="T230" s="108">
        <v>8320</v>
      </c>
      <c r="U230" s="125">
        <f t="shared" si="32"/>
        <v>0.32144650929181318</v>
      </c>
      <c r="V230" s="108">
        <v>13827</v>
      </c>
      <c r="W230" s="108">
        <v>16858</v>
      </c>
      <c r="X230" s="108">
        <v>132809</v>
      </c>
      <c r="Y230" s="108">
        <v>52282</v>
      </c>
      <c r="Z230" s="125">
        <f t="shared" si="33"/>
        <v>5.1311285399683193</v>
      </c>
      <c r="AA230" s="125">
        <f t="shared" si="34"/>
        <v>19.242103738046943</v>
      </c>
      <c r="AB230" s="108">
        <v>22530</v>
      </c>
      <c r="AC230" s="78" t="s">
        <v>1643</v>
      </c>
      <c r="AD230" s="126">
        <v>10250</v>
      </c>
      <c r="AE230" s="108">
        <v>514450</v>
      </c>
      <c r="AF230" s="108">
        <v>6902</v>
      </c>
      <c r="AG230" s="108">
        <v>25883</v>
      </c>
    </row>
    <row r="231" spans="1:33" ht="15.75" thickBot="1" x14ac:dyDescent="0.3">
      <c r="A231" s="44" t="s">
        <v>871</v>
      </c>
      <c r="B231" s="107" t="s">
        <v>872</v>
      </c>
      <c r="C231" s="78" t="s">
        <v>803</v>
      </c>
      <c r="D231" s="108">
        <v>30008</v>
      </c>
      <c r="E231" s="108">
        <v>23264</v>
      </c>
      <c r="F231" s="108">
        <v>1832</v>
      </c>
      <c r="G231" s="108">
        <v>55104</v>
      </c>
      <c r="H231" s="125">
        <f t="shared" si="27"/>
        <v>1.2106346068503651</v>
      </c>
      <c r="I231" s="125">
        <f t="shared" si="28"/>
        <v>7.3909710735466178E-2</v>
      </c>
      <c r="J231" s="125">
        <f t="shared" si="29"/>
        <v>2.2231008189776897</v>
      </c>
      <c r="K231" s="125">
        <f t="shared" si="30"/>
        <v>7.0528606169205172</v>
      </c>
      <c r="L231" s="127">
        <v>0</v>
      </c>
      <c r="M231" s="108">
        <v>1832</v>
      </c>
      <c r="N231" s="108">
        <v>53272</v>
      </c>
      <c r="O231" s="108">
        <v>55104</v>
      </c>
      <c r="P231" s="108">
        <f t="shared" si="35"/>
        <v>2.2231008189776897</v>
      </c>
      <c r="Q231" s="108">
        <v>120526</v>
      </c>
      <c r="R231" s="108">
        <v>19351</v>
      </c>
      <c r="S231" s="125">
        <f t="shared" si="31"/>
        <v>0.78069149150764516</v>
      </c>
      <c r="T231" s="108">
        <v>37442</v>
      </c>
      <c r="U231" s="125">
        <f t="shared" si="32"/>
        <v>1.5105498850203736</v>
      </c>
      <c r="V231" s="108">
        <v>0</v>
      </c>
      <c r="W231" s="108">
        <v>32</v>
      </c>
      <c r="X231" s="108">
        <v>69278</v>
      </c>
      <c r="Y231" s="78" t="s">
        <v>3453</v>
      </c>
      <c r="Z231" s="125">
        <f t="shared" si="33"/>
        <v>2.7949328276919352</v>
      </c>
      <c r="AA231" s="125">
        <f t="shared" si="34"/>
        <v>8.8670165109432997</v>
      </c>
      <c r="AB231" s="108">
        <v>14714</v>
      </c>
      <c r="AC231" s="78" t="s">
        <v>1643</v>
      </c>
      <c r="AD231" s="126">
        <v>15811</v>
      </c>
      <c r="AE231" s="108">
        <v>139877</v>
      </c>
      <c r="AF231" s="108">
        <v>7813</v>
      </c>
      <c r="AG231" s="108">
        <v>24787</v>
      </c>
    </row>
    <row r="232" spans="1:33" ht="15.75" thickBot="1" x14ac:dyDescent="0.3">
      <c r="A232" s="44" t="s">
        <v>877</v>
      </c>
      <c r="B232" s="107" t="s">
        <v>878</v>
      </c>
      <c r="C232" s="78" t="s">
        <v>803</v>
      </c>
      <c r="D232" s="108">
        <v>39754</v>
      </c>
      <c r="E232" s="108">
        <v>97877</v>
      </c>
      <c r="F232" s="108">
        <v>19625</v>
      </c>
      <c r="G232" s="108">
        <v>157256</v>
      </c>
      <c r="H232" s="125">
        <f t="shared" si="27"/>
        <v>2.6555778223112894</v>
      </c>
      <c r="I232" s="125">
        <f t="shared" si="28"/>
        <v>1.3109552438209753</v>
      </c>
      <c r="J232" s="125">
        <f t="shared" si="29"/>
        <v>10.504742818971275</v>
      </c>
      <c r="K232" s="125">
        <f t="shared" si="30"/>
        <v>24.694723618090453</v>
      </c>
      <c r="L232" s="126">
        <v>0</v>
      </c>
      <c r="M232" s="108">
        <v>19625</v>
      </c>
      <c r="N232" s="108">
        <v>137631</v>
      </c>
      <c r="O232" s="108">
        <v>157256</v>
      </c>
      <c r="P232" s="108">
        <f t="shared" si="35"/>
        <v>10.504742818971275</v>
      </c>
      <c r="Q232" s="108">
        <v>72702</v>
      </c>
      <c r="R232" s="108">
        <v>62073</v>
      </c>
      <c r="S232" s="125">
        <f t="shared" si="31"/>
        <v>4.1464929859719435</v>
      </c>
      <c r="T232" s="108">
        <v>12710</v>
      </c>
      <c r="U232" s="125">
        <f t="shared" si="32"/>
        <v>0.84903139612558454</v>
      </c>
      <c r="V232" s="108">
        <v>16660</v>
      </c>
      <c r="W232" s="108">
        <v>17191</v>
      </c>
      <c r="X232" s="108">
        <v>111901</v>
      </c>
      <c r="Y232" s="108">
        <v>60000</v>
      </c>
      <c r="Z232" s="125">
        <f t="shared" si="33"/>
        <v>7.4750167000668002</v>
      </c>
      <c r="AA232" s="125">
        <f t="shared" si="34"/>
        <v>17.572393216080403</v>
      </c>
      <c r="AB232" s="108">
        <v>16108</v>
      </c>
      <c r="AC232" s="78" t="s">
        <v>1643</v>
      </c>
      <c r="AD232" s="126">
        <v>22000</v>
      </c>
      <c r="AE232" s="108">
        <v>134775</v>
      </c>
      <c r="AF232" s="108">
        <v>6368</v>
      </c>
      <c r="AG232" s="108">
        <v>14970</v>
      </c>
    </row>
    <row r="233" spans="1:33" ht="15.75" thickBot="1" x14ac:dyDescent="0.3">
      <c r="A233" s="44" t="s">
        <v>887</v>
      </c>
      <c r="B233" s="107" t="s">
        <v>888</v>
      </c>
      <c r="C233" s="78" t="s">
        <v>803</v>
      </c>
      <c r="D233" s="108">
        <v>37512</v>
      </c>
      <c r="E233" s="108">
        <v>66108</v>
      </c>
      <c r="F233" s="108">
        <v>7662</v>
      </c>
      <c r="G233" s="108">
        <v>111282</v>
      </c>
      <c r="H233" s="125">
        <f t="shared" si="27"/>
        <v>1.8732584269662922</v>
      </c>
      <c r="I233" s="125">
        <f t="shared" si="28"/>
        <v>0.38262172284644197</v>
      </c>
      <c r="J233" s="125">
        <f t="shared" si="29"/>
        <v>5.5571535580524341</v>
      </c>
      <c r="K233" s="125">
        <f t="shared" si="30"/>
        <v>19.762386787426745</v>
      </c>
      <c r="L233" s="127">
        <v>0</v>
      </c>
      <c r="M233" s="108">
        <v>7662</v>
      </c>
      <c r="N233" s="108">
        <v>103620</v>
      </c>
      <c r="O233" s="108">
        <v>111282</v>
      </c>
      <c r="P233" s="108">
        <f t="shared" si="35"/>
        <v>5.5571535580524341</v>
      </c>
      <c r="Q233" s="108">
        <v>48803</v>
      </c>
      <c r="R233" s="108">
        <v>1485</v>
      </c>
      <c r="S233" s="125">
        <f t="shared" si="31"/>
        <v>7.415730337078652E-2</v>
      </c>
      <c r="T233" s="108">
        <v>3988</v>
      </c>
      <c r="U233" s="125">
        <f t="shared" si="32"/>
        <v>0.19915106117353309</v>
      </c>
      <c r="V233" s="108">
        <v>4562</v>
      </c>
      <c r="W233" s="108">
        <v>5024</v>
      </c>
      <c r="X233" s="108">
        <v>35909</v>
      </c>
      <c r="Y233" s="108">
        <v>14364</v>
      </c>
      <c r="Z233" s="125">
        <f t="shared" si="33"/>
        <v>1.7932084893882647</v>
      </c>
      <c r="AA233" s="125">
        <f t="shared" si="34"/>
        <v>6.3770200674835733</v>
      </c>
      <c r="AB233" s="108">
        <v>7278</v>
      </c>
      <c r="AC233" s="78" t="s">
        <v>1643</v>
      </c>
      <c r="AD233" s="126">
        <v>6480</v>
      </c>
      <c r="AE233" s="108">
        <v>50288</v>
      </c>
      <c r="AF233" s="108">
        <v>5631</v>
      </c>
      <c r="AG233" s="108">
        <v>20025</v>
      </c>
    </row>
    <row r="234" spans="1:33" ht="15.75" thickBot="1" x14ac:dyDescent="0.3">
      <c r="A234" s="44" t="s">
        <v>899</v>
      </c>
      <c r="B234" s="107" t="s">
        <v>900</v>
      </c>
      <c r="C234" s="78" t="s">
        <v>803</v>
      </c>
      <c r="D234" s="108">
        <v>42306</v>
      </c>
      <c r="E234" s="108">
        <v>55086</v>
      </c>
      <c r="F234" s="108">
        <v>15058</v>
      </c>
      <c r="G234" s="108">
        <v>112450</v>
      </c>
      <c r="H234" s="125">
        <f t="shared" si="27"/>
        <v>2.7878747940691926</v>
      </c>
      <c r="I234" s="125">
        <f t="shared" si="28"/>
        <v>0.99228995057660629</v>
      </c>
      <c r="J234" s="125">
        <f t="shared" si="29"/>
        <v>7.4102141680395386</v>
      </c>
      <c r="K234" s="125">
        <f t="shared" si="30"/>
        <v>18.023721750280494</v>
      </c>
      <c r="L234" s="126">
        <v>2425</v>
      </c>
      <c r="M234" s="108">
        <v>17483</v>
      </c>
      <c r="N234" s="108">
        <v>97392</v>
      </c>
      <c r="O234" s="108">
        <v>114875</v>
      </c>
      <c r="P234" s="108">
        <f t="shared" si="35"/>
        <v>7.5700164744645795</v>
      </c>
      <c r="Q234" s="108">
        <v>55574</v>
      </c>
      <c r="R234" s="108">
        <v>100329</v>
      </c>
      <c r="S234" s="125">
        <f t="shared" si="31"/>
        <v>6.611466227347611</v>
      </c>
      <c r="T234" s="108">
        <v>16996</v>
      </c>
      <c r="U234" s="125">
        <f t="shared" si="32"/>
        <v>1.1200000000000001</v>
      </c>
      <c r="V234" s="108">
        <v>3328</v>
      </c>
      <c r="W234" s="108">
        <v>4571</v>
      </c>
      <c r="X234" s="108">
        <v>67104</v>
      </c>
      <c r="Y234" s="108">
        <v>66313</v>
      </c>
      <c r="Z234" s="125">
        <f t="shared" si="33"/>
        <v>4.4220098846787481</v>
      </c>
      <c r="AA234" s="125">
        <f t="shared" si="34"/>
        <v>10.755569802853021</v>
      </c>
      <c r="AB234" s="108">
        <v>9368</v>
      </c>
      <c r="AC234" s="78" t="s">
        <v>1643</v>
      </c>
      <c r="AD234" s="126">
        <v>6791</v>
      </c>
      <c r="AE234" s="108">
        <v>155903</v>
      </c>
      <c r="AF234" s="108">
        <v>6239</v>
      </c>
      <c r="AG234" s="108">
        <v>15175</v>
      </c>
    </row>
    <row r="235" spans="1:33" ht="15.75" thickBot="1" x14ac:dyDescent="0.3">
      <c r="A235" s="44" t="s">
        <v>901</v>
      </c>
      <c r="B235" s="107" t="s">
        <v>902</v>
      </c>
      <c r="C235" s="78" t="s">
        <v>803</v>
      </c>
      <c r="D235" s="108">
        <v>7561</v>
      </c>
      <c r="E235" s="108">
        <v>6361</v>
      </c>
      <c r="F235" s="108">
        <v>1590</v>
      </c>
      <c r="G235" s="108">
        <v>15512</v>
      </c>
      <c r="H235" s="125">
        <f t="shared" si="27"/>
        <v>0.59690534459619482</v>
      </c>
      <c r="I235" s="125">
        <f t="shared" si="28"/>
        <v>0.12552301255230125</v>
      </c>
      <c r="J235" s="125">
        <f t="shared" si="29"/>
        <v>1.2245993526486145</v>
      </c>
      <c r="K235" s="125">
        <f t="shared" si="30"/>
        <v>2.4049612403100777</v>
      </c>
      <c r="L235" s="126">
        <v>347</v>
      </c>
      <c r="M235" s="108">
        <v>1937</v>
      </c>
      <c r="N235" s="108">
        <v>13922</v>
      </c>
      <c r="O235" s="108">
        <v>15859</v>
      </c>
      <c r="P235" s="108">
        <f t="shared" si="35"/>
        <v>1.2519933685955633</v>
      </c>
      <c r="Q235" s="108">
        <v>36715</v>
      </c>
      <c r="R235" s="108">
        <v>10107</v>
      </c>
      <c r="S235" s="125">
        <f t="shared" si="31"/>
        <v>0.7979000552617036</v>
      </c>
      <c r="T235" s="108">
        <v>8282</v>
      </c>
      <c r="U235" s="125">
        <f t="shared" si="32"/>
        <v>0.65382489934475407</v>
      </c>
      <c r="V235" s="108">
        <v>3292</v>
      </c>
      <c r="W235" s="108">
        <v>2008</v>
      </c>
      <c r="X235" s="108">
        <v>61254</v>
      </c>
      <c r="Y235" s="108">
        <v>12076</v>
      </c>
      <c r="Z235" s="125">
        <f t="shared" si="33"/>
        <v>4.8357148496092206</v>
      </c>
      <c r="AA235" s="125">
        <f t="shared" si="34"/>
        <v>9.4967441860465112</v>
      </c>
      <c r="AB235" s="108">
        <v>21175</v>
      </c>
      <c r="AC235" s="78" t="s">
        <v>1643</v>
      </c>
      <c r="AD235" s="127" t="s">
        <v>3453</v>
      </c>
      <c r="AE235" s="108">
        <v>46822</v>
      </c>
      <c r="AF235" s="108">
        <v>6450</v>
      </c>
      <c r="AG235" s="108">
        <v>12667</v>
      </c>
    </row>
    <row r="236" spans="1:33" ht="15.75" thickBot="1" x14ac:dyDescent="0.3">
      <c r="A236" s="44" t="s">
        <v>905</v>
      </c>
      <c r="B236" s="107" t="s">
        <v>906</v>
      </c>
      <c r="C236" s="78" t="s">
        <v>803</v>
      </c>
      <c r="D236" s="108">
        <v>35384</v>
      </c>
      <c r="E236" s="108">
        <v>40154</v>
      </c>
      <c r="F236" s="108">
        <v>9042</v>
      </c>
      <c r="G236" s="108">
        <v>84580</v>
      </c>
      <c r="H236" s="125">
        <f t="shared" si="27"/>
        <v>1.8299544890359951</v>
      </c>
      <c r="I236" s="125">
        <f t="shared" si="28"/>
        <v>0.46762515515101366</v>
      </c>
      <c r="J236" s="125">
        <f t="shared" si="29"/>
        <v>4.3742242449317335</v>
      </c>
      <c r="K236" s="125">
        <f t="shared" si="30"/>
        <v>12.674958789150308</v>
      </c>
      <c r="L236" s="126">
        <v>327</v>
      </c>
      <c r="M236" s="108">
        <v>9369</v>
      </c>
      <c r="N236" s="108">
        <v>75538</v>
      </c>
      <c r="O236" s="108">
        <v>84907</v>
      </c>
      <c r="P236" s="108">
        <f t="shared" si="35"/>
        <v>4.3911357054199422</v>
      </c>
      <c r="Q236" s="108">
        <v>41252</v>
      </c>
      <c r="R236" s="108">
        <v>12743</v>
      </c>
      <c r="S236" s="125">
        <f t="shared" si="31"/>
        <v>0.65902978899462139</v>
      </c>
      <c r="T236" s="108">
        <v>6171</v>
      </c>
      <c r="U236" s="125">
        <f t="shared" si="32"/>
        <v>0.31914563508481592</v>
      </c>
      <c r="V236" s="108">
        <v>4187</v>
      </c>
      <c r="W236" s="108">
        <v>4095</v>
      </c>
      <c r="X236" s="108">
        <v>89010</v>
      </c>
      <c r="Y236" s="108">
        <v>26071</v>
      </c>
      <c r="Z236" s="125">
        <f t="shared" si="33"/>
        <v>4.6033305750930902</v>
      </c>
      <c r="AA236" s="125">
        <f t="shared" si="34"/>
        <v>13.338828113292372</v>
      </c>
      <c r="AB236" s="108">
        <v>3506</v>
      </c>
      <c r="AC236" s="78" t="s">
        <v>1643</v>
      </c>
      <c r="AD236" s="126">
        <v>7048</v>
      </c>
      <c r="AE236" s="108">
        <v>53995</v>
      </c>
      <c r="AF236" s="108">
        <v>6673</v>
      </c>
      <c r="AG236" s="108">
        <v>19336</v>
      </c>
    </row>
    <row r="237" spans="1:33" ht="15.75" thickBot="1" x14ac:dyDescent="0.3">
      <c r="A237" s="44" t="s">
        <v>941</v>
      </c>
      <c r="B237" s="107" t="s">
        <v>942</v>
      </c>
      <c r="C237" s="78" t="s">
        <v>803</v>
      </c>
      <c r="D237" s="108">
        <v>83251</v>
      </c>
      <c r="E237" s="108">
        <v>71480</v>
      </c>
      <c r="F237" s="108">
        <v>12006</v>
      </c>
      <c r="G237" s="108">
        <v>166737</v>
      </c>
      <c r="H237" s="125">
        <f t="shared" si="27"/>
        <v>5.5250199097425003</v>
      </c>
      <c r="I237" s="125">
        <f t="shared" si="28"/>
        <v>0.79678789487655954</v>
      </c>
      <c r="J237" s="125">
        <f t="shared" si="29"/>
        <v>11.065635784443854</v>
      </c>
      <c r="K237" s="125">
        <f t="shared" si="30"/>
        <v>17.350364203954214</v>
      </c>
      <c r="L237" s="126">
        <v>2509</v>
      </c>
      <c r="M237" s="108">
        <v>14515</v>
      </c>
      <c r="N237" s="108">
        <v>154731</v>
      </c>
      <c r="O237" s="108">
        <v>169246</v>
      </c>
      <c r="P237" s="108">
        <f t="shared" si="35"/>
        <v>11.232147597557738</v>
      </c>
      <c r="Q237" s="108">
        <v>54557</v>
      </c>
      <c r="R237" s="108">
        <v>20665</v>
      </c>
      <c r="S237" s="125">
        <f t="shared" si="31"/>
        <v>1.3714494292540482</v>
      </c>
      <c r="T237" s="108">
        <v>4855</v>
      </c>
      <c r="U237" s="125">
        <f t="shared" si="32"/>
        <v>0.32220599946907352</v>
      </c>
      <c r="V237" s="108">
        <v>3675</v>
      </c>
      <c r="W237" s="108">
        <v>4797</v>
      </c>
      <c r="X237" s="108">
        <v>75122</v>
      </c>
      <c r="Y237" s="108">
        <v>21172</v>
      </c>
      <c r="Z237" s="125">
        <f t="shared" si="33"/>
        <v>4.9855322537828508</v>
      </c>
      <c r="AA237" s="125">
        <f t="shared" si="34"/>
        <v>7.8170655567117588</v>
      </c>
      <c r="AB237" s="108">
        <v>13247</v>
      </c>
      <c r="AC237" s="78" t="s">
        <v>1643</v>
      </c>
      <c r="AD237" s="126">
        <v>10000</v>
      </c>
      <c r="AE237" s="108">
        <v>75222</v>
      </c>
      <c r="AF237" s="108">
        <v>9610</v>
      </c>
      <c r="AG237" s="108">
        <v>15068</v>
      </c>
    </row>
    <row r="238" spans="1:33" ht="15.75" thickBot="1" x14ac:dyDescent="0.3">
      <c r="A238" s="44" t="s">
        <v>945</v>
      </c>
      <c r="B238" s="107" t="s">
        <v>946</v>
      </c>
      <c r="C238" s="78" t="s">
        <v>803</v>
      </c>
      <c r="D238" s="108">
        <v>24593</v>
      </c>
      <c r="E238" s="108">
        <v>40507</v>
      </c>
      <c r="F238" s="108">
        <v>11507</v>
      </c>
      <c r="G238" s="108">
        <v>76607</v>
      </c>
      <c r="H238" s="125">
        <f t="shared" si="27"/>
        <v>1.0091505949938449</v>
      </c>
      <c r="I238" s="125">
        <f t="shared" si="28"/>
        <v>0.47217890849405009</v>
      </c>
      <c r="J238" s="125">
        <f t="shared" si="29"/>
        <v>3.1434961017644647</v>
      </c>
      <c r="K238" s="125">
        <f t="shared" si="30"/>
        <v>10.653177583089974</v>
      </c>
      <c r="L238" s="126">
        <v>0</v>
      </c>
      <c r="M238" s="108">
        <v>11507</v>
      </c>
      <c r="N238" s="108">
        <v>65100</v>
      </c>
      <c r="O238" s="108">
        <v>76607</v>
      </c>
      <c r="P238" s="108">
        <f t="shared" si="35"/>
        <v>3.1434961017644647</v>
      </c>
      <c r="Q238" s="108">
        <v>56904</v>
      </c>
      <c r="R238" s="108">
        <v>11507</v>
      </c>
      <c r="S238" s="125">
        <f t="shared" si="31"/>
        <v>0.47217890849405009</v>
      </c>
      <c r="T238" s="108">
        <v>8955</v>
      </c>
      <c r="U238" s="125">
        <f t="shared" si="32"/>
        <v>0.36745999179318833</v>
      </c>
      <c r="V238" s="108">
        <v>2034</v>
      </c>
      <c r="W238" s="108">
        <v>3010</v>
      </c>
      <c r="X238" s="108">
        <v>81700</v>
      </c>
      <c r="Y238" s="108">
        <v>24000</v>
      </c>
      <c r="Z238" s="125">
        <f t="shared" si="33"/>
        <v>3.3524825605252357</v>
      </c>
      <c r="AA238" s="125">
        <f t="shared" si="34"/>
        <v>11.361424002225004</v>
      </c>
      <c r="AB238" s="108">
        <v>8556</v>
      </c>
      <c r="AC238" s="78" t="s">
        <v>1643</v>
      </c>
      <c r="AD238" s="126">
        <v>4368</v>
      </c>
      <c r="AE238" s="108">
        <v>68411</v>
      </c>
      <c r="AF238" s="108">
        <v>7191</v>
      </c>
      <c r="AG238" s="108">
        <v>24370</v>
      </c>
    </row>
    <row r="239" spans="1:33" ht="15.75" thickBot="1" x14ac:dyDescent="0.3">
      <c r="A239" s="44" t="s">
        <v>949</v>
      </c>
      <c r="B239" s="107" t="s">
        <v>950</v>
      </c>
      <c r="C239" s="78" t="s">
        <v>803</v>
      </c>
      <c r="D239" s="108">
        <v>41335</v>
      </c>
      <c r="E239" s="108">
        <v>90261</v>
      </c>
      <c r="F239" s="108">
        <v>8544</v>
      </c>
      <c r="G239" s="108">
        <v>140140</v>
      </c>
      <c r="H239" s="125">
        <f t="shared" si="27"/>
        <v>2.9750251907298115</v>
      </c>
      <c r="I239" s="125">
        <f t="shared" si="28"/>
        <v>0.61494170145386495</v>
      </c>
      <c r="J239" s="125">
        <f t="shared" si="29"/>
        <v>10.086368216496329</v>
      </c>
      <c r="K239" s="125">
        <f t="shared" si="30"/>
        <v>31.922551252847381</v>
      </c>
      <c r="L239" s="126">
        <v>0</v>
      </c>
      <c r="M239" s="108">
        <v>8544</v>
      </c>
      <c r="N239" s="108">
        <v>131596</v>
      </c>
      <c r="O239" s="108">
        <v>140140</v>
      </c>
      <c r="P239" s="108">
        <f t="shared" si="35"/>
        <v>10.086368216496329</v>
      </c>
      <c r="Q239" s="108">
        <v>67893</v>
      </c>
      <c r="R239" s="108">
        <v>19126</v>
      </c>
      <c r="S239" s="125">
        <f t="shared" si="31"/>
        <v>1.3765654239239959</v>
      </c>
      <c r="T239" s="108">
        <v>0</v>
      </c>
      <c r="U239" s="125">
        <f t="shared" si="32"/>
        <v>0</v>
      </c>
      <c r="V239" s="108">
        <v>6591</v>
      </c>
      <c r="W239" s="108">
        <v>9236</v>
      </c>
      <c r="X239" s="108">
        <v>105814</v>
      </c>
      <c r="Y239" s="108">
        <v>34913</v>
      </c>
      <c r="Z239" s="125">
        <f t="shared" si="33"/>
        <v>7.6158053836188282</v>
      </c>
      <c r="AA239" s="125">
        <f t="shared" si="34"/>
        <v>24.103416856492029</v>
      </c>
      <c r="AB239" s="108">
        <v>8280</v>
      </c>
      <c r="AC239" s="78" t="s">
        <v>1643</v>
      </c>
      <c r="AD239" s="126" t="s">
        <v>3453</v>
      </c>
      <c r="AE239" s="108">
        <v>87019</v>
      </c>
      <c r="AF239" s="108">
        <v>4390</v>
      </c>
      <c r="AG239" s="108">
        <v>13894</v>
      </c>
    </row>
    <row r="240" spans="1:33" ht="15.75" thickBot="1" x14ac:dyDescent="0.3">
      <c r="A240" s="44" t="s">
        <v>951</v>
      </c>
      <c r="B240" s="107" t="s">
        <v>952</v>
      </c>
      <c r="C240" s="78" t="s">
        <v>803</v>
      </c>
      <c r="D240" s="108">
        <v>109007</v>
      </c>
      <c r="E240" s="108">
        <v>144498</v>
      </c>
      <c r="F240" s="108">
        <v>27808</v>
      </c>
      <c r="G240" s="108">
        <v>281313</v>
      </c>
      <c r="H240" s="125">
        <f t="shared" si="27"/>
        <v>7.2622918054630246</v>
      </c>
      <c r="I240" s="125">
        <f t="shared" si="28"/>
        <v>1.8526315789473684</v>
      </c>
      <c r="J240" s="125">
        <f t="shared" si="29"/>
        <v>18.741705529646904</v>
      </c>
      <c r="K240" s="125">
        <f t="shared" si="30"/>
        <v>33.893132530120482</v>
      </c>
      <c r="L240" s="126">
        <v>2544</v>
      </c>
      <c r="M240" s="108">
        <v>30352</v>
      </c>
      <c r="N240" s="108">
        <v>253505</v>
      </c>
      <c r="O240" s="108">
        <v>283857</v>
      </c>
      <c r="P240" s="108">
        <f t="shared" si="35"/>
        <v>18.911192538307795</v>
      </c>
      <c r="Q240" s="108">
        <v>61110</v>
      </c>
      <c r="R240" s="108">
        <v>58329</v>
      </c>
      <c r="S240" s="125">
        <f t="shared" si="31"/>
        <v>3.8860093271152567</v>
      </c>
      <c r="T240" s="108">
        <v>24319</v>
      </c>
      <c r="U240" s="125">
        <f t="shared" si="32"/>
        <v>1.6201865423051298</v>
      </c>
      <c r="V240" s="108">
        <v>16596</v>
      </c>
      <c r="W240" s="108">
        <v>75475</v>
      </c>
      <c r="X240" s="108">
        <v>165071</v>
      </c>
      <c r="Y240" s="108">
        <v>70422</v>
      </c>
      <c r="Z240" s="125">
        <f t="shared" si="33"/>
        <v>10.997401732178547</v>
      </c>
      <c r="AA240" s="125">
        <f t="shared" si="34"/>
        <v>19.888072289156625</v>
      </c>
      <c r="AB240" s="108">
        <v>14421</v>
      </c>
      <c r="AC240" s="78" t="s">
        <v>1643</v>
      </c>
      <c r="AD240" s="126">
        <v>76534</v>
      </c>
      <c r="AE240" s="108">
        <v>119439</v>
      </c>
      <c r="AF240" s="108">
        <v>8300</v>
      </c>
      <c r="AG240" s="108">
        <v>15010</v>
      </c>
    </row>
    <row r="241" spans="1:33" ht="15.75" thickBot="1" x14ac:dyDescent="0.3">
      <c r="A241" s="44" t="s">
        <v>965</v>
      </c>
      <c r="B241" s="107" t="s">
        <v>966</v>
      </c>
      <c r="C241" s="78" t="s">
        <v>803</v>
      </c>
      <c r="D241" s="108">
        <v>17289</v>
      </c>
      <c r="E241" s="108">
        <v>57414</v>
      </c>
      <c r="F241" s="108">
        <v>6663</v>
      </c>
      <c r="G241" s="108">
        <v>81366</v>
      </c>
      <c r="H241" s="125">
        <f t="shared" si="27"/>
        <v>1.3317670620859652</v>
      </c>
      <c r="I241" s="125">
        <f t="shared" si="28"/>
        <v>0.51324911415806507</v>
      </c>
      <c r="J241" s="125">
        <f t="shared" si="29"/>
        <v>6.2676012940995225</v>
      </c>
      <c r="K241" s="125">
        <f t="shared" si="30"/>
        <v>6.22540168324407</v>
      </c>
      <c r="L241" s="126">
        <v>2118</v>
      </c>
      <c r="M241" s="108">
        <v>8781</v>
      </c>
      <c r="N241" s="108">
        <v>74703</v>
      </c>
      <c r="O241" s="108">
        <v>83484</v>
      </c>
      <c r="P241" s="108">
        <f t="shared" si="35"/>
        <v>6.4307502696040668</v>
      </c>
      <c r="Q241" s="108">
        <v>64777</v>
      </c>
      <c r="R241" s="108">
        <v>19351</v>
      </c>
      <c r="S241" s="125">
        <f t="shared" si="31"/>
        <v>1.4906023725157911</v>
      </c>
      <c r="T241" s="108">
        <v>2718</v>
      </c>
      <c r="U241" s="125">
        <f t="shared" si="32"/>
        <v>0.20936681559081805</v>
      </c>
      <c r="V241" s="108">
        <v>1276</v>
      </c>
      <c r="W241" s="108">
        <v>2475</v>
      </c>
      <c r="X241" s="108">
        <v>49719</v>
      </c>
      <c r="Y241" s="108">
        <v>8278</v>
      </c>
      <c r="Z241" s="125">
        <f t="shared" si="33"/>
        <v>3.829841318749037</v>
      </c>
      <c r="AA241" s="125">
        <f t="shared" si="34"/>
        <v>3.8040550879877584</v>
      </c>
      <c r="AB241" s="108">
        <v>10760</v>
      </c>
      <c r="AC241" s="78" t="s">
        <v>1643</v>
      </c>
      <c r="AD241" s="126">
        <v>10123</v>
      </c>
      <c r="AE241" s="108">
        <v>84128</v>
      </c>
      <c r="AF241" s="108">
        <v>13070</v>
      </c>
      <c r="AG241" s="108">
        <v>12982</v>
      </c>
    </row>
    <row r="242" spans="1:33" ht="15.75" thickBot="1" x14ac:dyDescent="0.3">
      <c r="A242" s="44" t="s">
        <v>975</v>
      </c>
      <c r="B242" s="107" t="s">
        <v>976</v>
      </c>
      <c r="C242" s="78" t="s">
        <v>803</v>
      </c>
      <c r="D242" s="108">
        <v>40192</v>
      </c>
      <c r="E242" s="108">
        <v>61281</v>
      </c>
      <c r="F242" s="108">
        <v>6706</v>
      </c>
      <c r="G242" s="108">
        <v>108179</v>
      </c>
      <c r="H242" s="125">
        <f t="shared" si="27"/>
        <v>2.7058031506664872</v>
      </c>
      <c r="I242" s="125">
        <f t="shared" si="28"/>
        <v>0.45146088595664469</v>
      </c>
      <c r="J242" s="125">
        <f t="shared" si="29"/>
        <v>7.2828194425743904</v>
      </c>
      <c r="K242" s="125">
        <f t="shared" si="30"/>
        <v>50.409599254426844</v>
      </c>
      <c r="L242" s="126">
        <v>996</v>
      </c>
      <c r="M242" s="108">
        <v>7702</v>
      </c>
      <c r="N242" s="108">
        <v>101473</v>
      </c>
      <c r="O242" s="108">
        <v>109175</v>
      </c>
      <c r="P242" s="108">
        <f t="shared" si="35"/>
        <v>7.3498720883263768</v>
      </c>
      <c r="Q242" s="108">
        <v>97298</v>
      </c>
      <c r="R242" s="108">
        <v>613969</v>
      </c>
      <c r="S242" s="125">
        <f t="shared" si="31"/>
        <v>41.333580180422778</v>
      </c>
      <c r="T242" s="108">
        <v>13053</v>
      </c>
      <c r="U242" s="125">
        <f t="shared" si="32"/>
        <v>0.87875319779184058</v>
      </c>
      <c r="V242" s="108">
        <v>788</v>
      </c>
      <c r="W242" s="108">
        <v>1014</v>
      </c>
      <c r="X242" s="108">
        <v>61299</v>
      </c>
      <c r="Y242" s="108">
        <v>73594</v>
      </c>
      <c r="Z242" s="125">
        <f t="shared" si="33"/>
        <v>4.1267672007540055</v>
      </c>
      <c r="AA242" s="125">
        <f t="shared" si="34"/>
        <v>28.56430568499534</v>
      </c>
      <c r="AB242" s="108">
        <v>7837</v>
      </c>
      <c r="AC242" s="78" t="s">
        <v>1643</v>
      </c>
      <c r="AD242" s="126">
        <v>2616</v>
      </c>
      <c r="AE242" s="108">
        <v>711267</v>
      </c>
      <c r="AF242" s="108">
        <v>2146</v>
      </c>
      <c r="AG242" s="108">
        <v>14854</v>
      </c>
    </row>
    <row r="243" spans="1:33" ht="15.75" thickBot="1" x14ac:dyDescent="0.3">
      <c r="A243" s="44" t="s">
        <v>981</v>
      </c>
      <c r="B243" s="107" t="s">
        <v>982</v>
      </c>
      <c r="C243" s="78" t="s">
        <v>803</v>
      </c>
      <c r="D243" s="108">
        <v>6727</v>
      </c>
      <c r="E243" s="108">
        <v>36998</v>
      </c>
      <c r="F243" s="108">
        <v>15766</v>
      </c>
      <c r="G243" s="108">
        <v>59491</v>
      </c>
      <c r="H243" s="125">
        <f t="shared" si="27"/>
        <v>0.47797356828193832</v>
      </c>
      <c r="I243" s="125">
        <f t="shared" si="28"/>
        <v>1.1202216853772915</v>
      </c>
      <c r="J243" s="125">
        <f t="shared" si="29"/>
        <v>4.2270143527071191</v>
      </c>
      <c r="K243" s="125">
        <f t="shared" si="30"/>
        <v>9.4700732250875514</v>
      </c>
      <c r="L243" s="126">
        <v>3930</v>
      </c>
      <c r="M243" s="108">
        <v>19696</v>
      </c>
      <c r="N243" s="108">
        <v>43725</v>
      </c>
      <c r="O243" s="108">
        <v>63421</v>
      </c>
      <c r="P243" s="108">
        <f t="shared" si="35"/>
        <v>4.5062526644877074</v>
      </c>
      <c r="Q243" s="108">
        <v>53157</v>
      </c>
      <c r="R243" s="108">
        <v>13052</v>
      </c>
      <c r="S243" s="125">
        <f t="shared" si="31"/>
        <v>0.92738382833593858</v>
      </c>
      <c r="T243" s="108">
        <v>4597</v>
      </c>
      <c r="U243" s="125">
        <f t="shared" si="32"/>
        <v>0.32663066647719197</v>
      </c>
      <c r="V243" s="108">
        <v>1361</v>
      </c>
      <c r="W243" s="108">
        <v>1694</v>
      </c>
      <c r="X243" s="108">
        <v>24861</v>
      </c>
      <c r="Y243" s="108">
        <v>25799</v>
      </c>
      <c r="Z243" s="125">
        <f t="shared" si="33"/>
        <v>1.7664487707830041</v>
      </c>
      <c r="AA243" s="125">
        <f t="shared" si="34"/>
        <v>3.957497612225406</v>
      </c>
      <c r="AB243" s="108">
        <v>10709</v>
      </c>
      <c r="AC243" s="78" t="s">
        <v>1643</v>
      </c>
      <c r="AD243" s="126">
        <v>13295</v>
      </c>
      <c r="AE243" s="108">
        <v>66209</v>
      </c>
      <c r="AF243" s="108">
        <v>6282</v>
      </c>
      <c r="AG243" s="108">
        <v>14074</v>
      </c>
    </row>
    <row r="244" spans="1:33" ht="15.75" thickBot="1" x14ac:dyDescent="0.3">
      <c r="A244" s="44" t="s">
        <v>1007</v>
      </c>
      <c r="B244" s="107" t="s">
        <v>1008</v>
      </c>
      <c r="C244" s="78" t="s">
        <v>803</v>
      </c>
      <c r="D244" s="108">
        <v>70694</v>
      </c>
      <c r="E244" s="108">
        <v>65669</v>
      </c>
      <c r="F244" s="108">
        <v>20646</v>
      </c>
      <c r="G244" s="108">
        <v>157009</v>
      </c>
      <c r="H244" s="125">
        <f t="shared" si="27"/>
        <v>3.4414370557881413</v>
      </c>
      <c r="I244" s="125">
        <f t="shared" si="28"/>
        <v>1.0050627981696036</v>
      </c>
      <c r="J244" s="125">
        <f t="shared" si="29"/>
        <v>7.6433161328010906</v>
      </c>
      <c r="K244" s="125">
        <f t="shared" si="30"/>
        <v>12.847475656656576</v>
      </c>
      <c r="L244" s="126">
        <v>464</v>
      </c>
      <c r="M244" s="108">
        <v>21110</v>
      </c>
      <c r="N244" s="108">
        <v>136363</v>
      </c>
      <c r="O244" s="108">
        <v>157473</v>
      </c>
      <c r="P244" s="108">
        <f t="shared" si="35"/>
        <v>7.6659040015577844</v>
      </c>
      <c r="Q244" s="108">
        <v>39266</v>
      </c>
      <c r="R244" s="108">
        <v>22201</v>
      </c>
      <c r="S244" s="125">
        <f t="shared" si="31"/>
        <v>1.0807613669555058</v>
      </c>
      <c r="T244" s="108">
        <v>9313</v>
      </c>
      <c r="U244" s="125">
        <f t="shared" si="32"/>
        <v>0.45336383993768864</v>
      </c>
      <c r="V244" s="108">
        <v>3547</v>
      </c>
      <c r="W244" s="108">
        <v>4620</v>
      </c>
      <c r="X244" s="108">
        <v>72614</v>
      </c>
      <c r="Y244" s="108">
        <v>47108</v>
      </c>
      <c r="Z244" s="125">
        <f t="shared" si="33"/>
        <v>3.5349040989192875</v>
      </c>
      <c r="AA244" s="125">
        <f t="shared" si="34"/>
        <v>5.9417396285083051</v>
      </c>
      <c r="AB244" s="108">
        <v>8117</v>
      </c>
      <c r="AC244" s="78" t="s">
        <v>1643</v>
      </c>
      <c r="AD244" s="126">
        <v>8848</v>
      </c>
      <c r="AE244" s="108">
        <v>61467</v>
      </c>
      <c r="AF244" s="108">
        <v>12221</v>
      </c>
      <c r="AG244" s="108">
        <v>20542</v>
      </c>
    </row>
    <row r="245" spans="1:33" ht="15.75" thickBot="1" x14ac:dyDescent="0.3">
      <c r="A245" s="44" t="s">
        <v>1009</v>
      </c>
      <c r="B245" s="107" t="s">
        <v>1010</v>
      </c>
      <c r="C245" s="78" t="s">
        <v>803</v>
      </c>
      <c r="D245" s="108">
        <v>160267</v>
      </c>
      <c r="E245" s="108">
        <v>131945</v>
      </c>
      <c r="F245" s="108">
        <v>42716</v>
      </c>
      <c r="G245" s="108">
        <v>334928</v>
      </c>
      <c r="H245" s="125">
        <f t="shared" si="27"/>
        <v>8.1806441733449038</v>
      </c>
      <c r="I245" s="125">
        <f t="shared" si="28"/>
        <v>2.180388954111582</v>
      </c>
      <c r="J245" s="125">
        <f t="shared" si="29"/>
        <v>17.096013475575518</v>
      </c>
      <c r="K245" s="125">
        <f t="shared" si="30"/>
        <v>29.387382644555586</v>
      </c>
      <c r="L245" s="126">
        <v>14298</v>
      </c>
      <c r="M245" s="108">
        <v>57014</v>
      </c>
      <c r="N245" s="108">
        <v>292212</v>
      </c>
      <c r="O245" s="108">
        <v>349226</v>
      </c>
      <c r="P245" s="108">
        <f t="shared" si="35"/>
        <v>17.82583839518146</v>
      </c>
      <c r="Q245" s="108">
        <v>107199</v>
      </c>
      <c r="R245" s="108">
        <v>783432</v>
      </c>
      <c r="S245" s="125">
        <f t="shared" si="31"/>
        <v>39.989382879893832</v>
      </c>
      <c r="T245" s="108">
        <v>30850</v>
      </c>
      <c r="U245" s="125">
        <f t="shared" si="32"/>
        <v>1.5747026695931805</v>
      </c>
      <c r="V245" s="108">
        <v>19868</v>
      </c>
      <c r="W245" s="108">
        <v>36379</v>
      </c>
      <c r="X245" s="108">
        <v>173919</v>
      </c>
      <c r="Y245" s="108">
        <v>111124</v>
      </c>
      <c r="Z245" s="125">
        <f t="shared" si="33"/>
        <v>8.8774947680057164</v>
      </c>
      <c r="AA245" s="125">
        <f t="shared" si="34"/>
        <v>15.260068439062911</v>
      </c>
      <c r="AB245" s="108">
        <v>29761</v>
      </c>
      <c r="AC245" s="78" t="s">
        <v>1643</v>
      </c>
      <c r="AD245" s="126">
        <v>14378</v>
      </c>
      <c r="AE245" s="108">
        <v>890631</v>
      </c>
      <c r="AF245" s="108">
        <v>11397</v>
      </c>
      <c r="AG245" s="108">
        <v>19591</v>
      </c>
    </row>
    <row r="246" spans="1:33" ht="15.75" thickBot="1" x14ac:dyDescent="0.3">
      <c r="A246" s="44" t="s">
        <v>1017</v>
      </c>
      <c r="B246" s="107" t="s">
        <v>1018</v>
      </c>
      <c r="C246" s="78" t="s">
        <v>803</v>
      </c>
      <c r="D246" s="108">
        <v>11076</v>
      </c>
      <c r="E246" s="108">
        <v>24563</v>
      </c>
      <c r="F246" s="108">
        <v>3850</v>
      </c>
      <c r="G246" s="108">
        <v>39489</v>
      </c>
      <c r="H246" s="125">
        <f t="shared" si="27"/>
        <v>0.83240643318803542</v>
      </c>
      <c r="I246" s="125">
        <f t="shared" si="28"/>
        <v>0.28934315346460243</v>
      </c>
      <c r="J246" s="125">
        <f t="shared" si="29"/>
        <v>2.9677589057568015</v>
      </c>
      <c r="K246" s="125">
        <f t="shared" si="30"/>
        <v>3.4269721426711794</v>
      </c>
      <c r="L246" s="126">
        <v>0</v>
      </c>
      <c r="M246" s="108">
        <v>3850</v>
      </c>
      <c r="N246" s="108">
        <v>35639</v>
      </c>
      <c r="O246" s="108">
        <v>39489</v>
      </c>
      <c r="P246" s="108">
        <f t="shared" si="35"/>
        <v>2.9677589057568015</v>
      </c>
      <c r="Q246" s="108">
        <v>31368</v>
      </c>
      <c r="R246" s="108">
        <v>19351</v>
      </c>
      <c r="S246" s="125">
        <f t="shared" si="31"/>
        <v>1.4543063279723434</v>
      </c>
      <c r="T246" s="108">
        <v>2287</v>
      </c>
      <c r="U246" s="125">
        <f t="shared" si="32"/>
        <v>0.17187734856455733</v>
      </c>
      <c r="V246" s="108">
        <v>2296</v>
      </c>
      <c r="W246" s="108">
        <v>2471</v>
      </c>
      <c r="X246" s="108">
        <v>49341</v>
      </c>
      <c r="Y246" s="108">
        <v>13030</v>
      </c>
      <c r="Z246" s="125">
        <f t="shared" si="33"/>
        <v>3.7081767623628439</v>
      </c>
      <c r="AA246" s="125">
        <f t="shared" si="34"/>
        <v>4.2819578234834674</v>
      </c>
      <c r="AB246" s="108">
        <v>15054</v>
      </c>
      <c r="AC246" s="78" t="s">
        <v>1643</v>
      </c>
      <c r="AD246" s="126">
        <v>3460</v>
      </c>
      <c r="AE246" s="108">
        <v>50719</v>
      </c>
      <c r="AF246" s="108">
        <v>11523</v>
      </c>
      <c r="AG246" s="108">
        <v>13306</v>
      </c>
    </row>
    <row r="247" spans="1:33" ht="15.75" thickBot="1" x14ac:dyDescent="0.3">
      <c r="A247" s="44" t="s">
        <v>1027</v>
      </c>
      <c r="B247" s="107" t="s">
        <v>1028</v>
      </c>
      <c r="C247" s="78" t="s">
        <v>803</v>
      </c>
      <c r="D247" s="108">
        <v>7754</v>
      </c>
      <c r="E247" s="108">
        <v>12058</v>
      </c>
      <c r="F247" s="108">
        <v>6609</v>
      </c>
      <c r="G247" s="108">
        <v>26421</v>
      </c>
      <c r="H247" s="125">
        <f t="shared" si="27"/>
        <v>0.61199684293606949</v>
      </c>
      <c r="I247" s="125">
        <f t="shared" si="28"/>
        <v>0.52162588792423048</v>
      </c>
      <c r="J247" s="125">
        <f t="shared" si="29"/>
        <v>2.0853196527229678</v>
      </c>
      <c r="K247" s="125">
        <f t="shared" si="30"/>
        <v>9.4293361884368316</v>
      </c>
      <c r="L247" s="126">
        <v>839</v>
      </c>
      <c r="M247" s="108">
        <v>7448</v>
      </c>
      <c r="N247" s="108">
        <v>19812</v>
      </c>
      <c r="O247" s="108">
        <v>27260</v>
      </c>
      <c r="P247" s="108">
        <f t="shared" si="35"/>
        <v>2.1515390686661404</v>
      </c>
      <c r="Q247" s="108">
        <v>13748</v>
      </c>
      <c r="R247" s="108">
        <v>739202</v>
      </c>
      <c r="S247" s="125">
        <f t="shared" si="31"/>
        <v>58.342699289660615</v>
      </c>
      <c r="T247" s="108">
        <v>7195</v>
      </c>
      <c r="U247" s="125">
        <f t="shared" si="32"/>
        <v>0.56787687450670876</v>
      </c>
      <c r="V247" s="108">
        <v>1363</v>
      </c>
      <c r="W247" s="108">
        <v>2385</v>
      </c>
      <c r="X247" s="108">
        <v>30756</v>
      </c>
      <c r="Y247" s="108">
        <v>47556</v>
      </c>
      <c r="Z247" s="125">
        <f t="shared" si="33"/>
        <v>2.427466456195738</v>
      </c>
      <c r="AA247" s="125">
        <f t="shared" si="34"/>
        <v>10.976445396145611</v>
      </c>
      <c r="AB247" s="108">
        <v>5304</v>
      </c>
      <c r="AC247" s="78" t="s">
        <v>1643</v>
      </c>
      <c r="AD247" s="126">
        <v>4820</v>
      </c>
      <c r="AE247" s="108">
        <v>752950</v>
      </c>
      <c r="AF247" s="108">
        <v>2802</v>
      </c>
      <c r="AG247" s="108">
        <v>12670</v>
      </c>
    </row>
    <row r="248" spans="1:33" ht="15.75" thickBot="1" x14ac:dyDescent="0.3">
      <c r="A248" s="44" t="s">
        <v>1043</v>
      </c>
      <c r="B248" s="107" t="s">
        <v>1044</v>
      </c>
      <c r="C248" s="78" t="s">
        <v>803</v>
      </c>
      <c r="D248" s="108">
        <v>22230</v>
      </c>
      <c r="E248" s="108">
        <v>51725</v>
      </c>
      <c r="F248" s="108">
        <v>9488</v>
      </c>
      <c r="G248" s="108">
        <v>83443</v>
      </c>
      <c r="H248" s="125">
        <f t="shared" si="27"/>
        <v>0.86062717770034847</v>
      </c>
      <c r="I248" s="125">
        <f t="shared" si="28"/>
        <v>0.36732481610530393</v>
      </c>
      <c r="J248" s="125">
        <f t="shared" si="29"/>
        <v>3.2304684475416181</v>
      </c>
      <c r="K248" s="125">
        <f t="shared" si="30"/>
        <v>8.0879131530483672</v>
      </c>
      <c r="L248" s="126">
        <v>14888</v>
      </c>
      <c r="M248" s="108">
        <v>24376</v>
      </c>
      <c r="N248" s="108">
        <v>73955</v>
      </c>
      <c r="O248" s="108">
        <v>98331</v>
      </c>
      <c r="P248" s="108">
        <f t="shared" si="35"/>
        <v>3.8068524970963997</v>
      </c>
      <c r="Q248" s="108">
        <v>85377</v>
      </c>
      <c r="R248" s="108">
        <v>12711</v>
      </c>
      <c r="S248" s="125">
        <f t="shared" si="31"/>
        <v>0.49210220673635308</v>
      </c>
      <c r="T248" s="108">
        <v>4105</v>
      </c>
      <c r="U248" s="125">
        <f t="shared" si="32"/>
        <v>0.15892373209446381</v>
      </c>
      <c r="V248" s="108">
        <v>4252</v>
      </c>
      <c r="W248" s="108">
        <v>3462</v>
      </c>
      <c r="X248" s="108">
        <v>74223</v>
      </c>
      <c r="Y248" s="108">
        <v>30915</v>
      </c>
      <c r="Z248" s="125">
        <f t="shared" si="33"/>
        <v>2.8735191637630662</v>
      </c>
      <c r="AA248" s="125">
        <f t="shared" si="34"/>
        <v>7.1942425123582439</v>
      </c>
      <c r="AB248" s="108">
        <v>12778</v>
      </c>
      <c r="AC248" s="78" t="s">
        <v>1643</v>
      </c>
      <c r="AD248" s="126">
        <v>10557</v>
      </c>
      <c r="AE248" s="108">
        <v>98088</v>
      </c>
      <c r="AF248" s="108">
        <v>10317</v>
      </c>
      <c r="AG248" s="108">
        <v>25830</v>
      </c>
    </row>
    <row r="249" spans="1:33" ht="15.75" thickBot="1" x14ac:dyDescent="0.3">
      <c r="A249" s="44" t="s">
        <v>1053</v>
      </c>
      <c r="B249" s="107" t="s">
        <v>1054</v>
      </c>
      <c r="C249" s="78" t="s">
        <v>803</v>
      </c>
      <c r="D249" s="108">
        <v>15910</v>
      </c>
      <c r="E249" s="108">
        <v>26435</v>
      </c>
      <c r="F249" s="108">
        <v>3509</v>
      </c>
      <c r="G249" s="108">
        <v>45854</v>
      </c>
      <c r="H249" s="125">
        <f t="shared" si="27"/>
        <v>1.118060435699227</v>
      </c>
      <c r="I249" s="125">
        <f t="shared" si="28"/>
        <v>0.24659170765987351</v>
      </c>
      <c r="J249" s="125">
        <f t="shared" si="29"/>
        <v>3.2223471539002109</v>
      </c>
      <c r="K249" s="125">
        <f t="shared" si="30"/>
        <v>18.283094098883574</v>
      </c>
      <c r="L249" s="126">
        <v>592</v>
      </c>
      <c r="M249" s="108">
        <v>4101</v>
      </c>
      <c r="N249" s="108">
        <v>42345</v>
      </c>
      <c r="O249" s="108">
        <v>46446</v>
      </c>
      <c r="P249" s="108">
        <f t="shared" si="35"/>
        <v>3.2639494026704146</v>
      </c>
      <c r="Q249" s="108">
        <v>46224</v>
      </c>
      <c r="R249" s="108">
        <v>19581</v>
      </c>
      <c r="S249" s="125">
        <f t="shared" si="31"/>
        <v>1.3760365425158116</v>
      </c>
      <c r="T249" s="108">
        <v>4532</v>
      </c>
      <c r="U249" s="125">
        <f t="shared" si="32"/>
        <v>0.3184820801124385</v>
      </c>
      <c r="V249" s="108">
        <v>6112</v>
      </c>
      <c r="W249" s="108">
        <v>4128</v>
      </c>
      <c r="X249" s="108">
        <v>72651</v>
      </c>
      <c r="Y249" s="108">
        <v>55022</v>
      </c>
      <c r="Z249" s="125">
        <f t="shared" si="33"/>
        <v>5.10548137737175</v>
      </c>
      <c r="AA249" s="125">
        <f t="shared" si="34"/>
        <v>28.967703349282296</v>
      </c>
      <c r="AB249" s="108">
        <v>13289</v>
      </c>
      <c r="AC249" s="78" t="s">
        <v>1643</v>
      </c>
      <c r="AD249" s="126">
        <v>15300</v>
      </c>
      <c r="AE249" s="108">
        <v>65805</v>
      </c>
      <c r="AF249" s="108">
        <v>2508</v>
      </c>
      <c r="AG249" s="108">
        <v>14230</v>
      </c>
    </row>
    <row r="250" spans="1:33" ht="15.75" thickBot="1" x14ac:dyDescent="0.3">
      <c r="A250" s="44" t="s">
        <v>1055</v>
      </c>
      <c r="B250" s="107" t="s">
        <v>1056</v>
      </c>
      <c r="C250" s="78" t="s">
        <v>803</v>
      </c>
      <c r="D250" s="108">
        <v>46023</v>
      </c>
      <c r="E250" s="108">
        <v>99398</v>
      </c>
      <c r="F250" s="108">
        <v>19410</v>
      </c>
      <c r="G250" s="108">
        <v>164831</v>
      </c>
      <c r="H250" s="125">
        <f t="shared" si="27"/>
        <v>2.3127135678391961</v>
      </c>
      <c r="I250" s="125">
        <f t="shared" si="28"/>
        <v>0.97537688442211057</v>
      </c>
      <c r="J250" s="125">
        <f t="shared" si="29"/>
        <v>8.2829648241206026</v>
      </c>
      <c r="K250" s="125">
        <f t="shared" si="30"/>
        <v>21.52402716113868</v>
      </c>
      <c r="L250" s="126">
        <v>2674</v>
      </c>
      <c r="M250" s="108">
        <v>22084</v>
      </c>
      <c r="N250" s="108">
        <v>145421</v>
      </c>
      <c r="O250" s="108">
        <v>167505</v>
      </c>
      <c r="P250" s="108">
        <f t="shared" si="35"/>
        <v>8.4173366834170853</v>
      </c>
      <c r="Q250" s="108">
        <v>69190</v>
      </c>
      <c r="R250" s="108">
        <v>74897</v>
      </c>
      <c r="S250" s="125">
        <f t="shared" si="31"/>
        <v>3.7636683417085428</v>
      </c>
      <c r="T250" s="108">
        <v>33525</v>
      </c>
      <c r="U250" s="125">
        <f t="shared" si="32"/>
        <v>1.6846733668341709</v>
      </c>
      <c r="V250" s="108">
        <v>23548</v>
      </c>
      <c r="W250" s="108">
        <v>19001</v>
      </c>
      <c r="X250" s="108">
        <v>155674</v>
      </c>
      <c r="Y250" s="108">
        <v>89282</v>
      </c>
      <c r="Z250" s="125">
        <f t="shared" si="33"/>
        <v>7.8228140703517584</v>
      </c>
      <c r="AA250" s="125">
        <f t="shared" si="34"/>
        <v>20.328284147296944</v>
      </c>
      <c r="AB250" s="108">
        <v>26986</v>
      </c>
      <c r="AC250" s="78" t="s">
        <v>1643</v>
      </c>
      <c r="AD250" s="126">
        <v>20000</v>
      </c>
      <c r="AE250" s="108">
        <v>144087</v>
      </c>
      <c r="AF250" s="108">
        <v>7658</v>
      </c>
      <c r="AG250" s="108">
        <v>19900</v>
      </c>
    </row>
    <row r="251" spans="1:33" ht="15.75" thickBot="1" x14ac:dyDescent="0.3">
      <c r="A251" s="44" t="s">
        <v>1059</v>
      </c>
      <c r="B251" s="107" t="s">
        <v>1060</v>
      </c>
      <c r="C251" s="78" t="s">
        <v>803</v>
      </c>
      <c r="D251" s="108">
        <v>54422</v>
      </c>
      <c r="E251" s="108">
        <v>93724</v>
      </c>
      <c r="F251" s="108">
        <v>12156</v>
      </c>
      <c r="G251" s="108">
        <v>160302</v>
      </c>
      <c r="H251" s="125">
        <f t="shared" si="27"/>
        <v>3.0875978667877</v>
      </c>
      <c r="I251" s="125">
        <f t="shared" si="28"/>
        <v>0.68966299784409391</v>
      </c>
      <c r="J251" s="125">
        <f t="shared" si="29"/>
        <v>9.0946329286281635</v>
      </c>
      <c r="K251" s="125">
        <f t="shared" si="30"/>
        <v>16.734732226746008</v>
      </c>
      <c r="L251" s="126">
        <v>28875</v>
      </c>
      <c r="M251" s="108">
        <v>41031</v>
      </c>
      <c r="N251" s="108">
        <v>148146</v>
      </c>
      <c r="O251" s="108">
        <v>189177</v>
      </c>
      <c r="P251" s="108">
        <f t="shared" si="35"/>
        <v>10.732837853171452</v>
      </c>
      <c r="Q251" s="108">
        <v>83941</v>
      </c>
      <c r="R251" s="108">
        <v>405016</v>
      </c>
      <c r="S251" s="125">
        <f t="shared" si="31"/>
        <v>22.978327470781799</v>
      </c>
      <c r="T251" s="108">
        <v>8362</v>
      </c>
      <c r="U251" s="125">
        <f t="shared" si="32"/>
        <v>0.47441279927380009</v>
      </c>
      <c r="V251" s="108">
        <v>8708</v>
      </c>
      <c r="W251" s="108">
        <v>7991</v>
      </c>
      <c r="X251" s="108">
        <v>89562</v>
      </c>
      <c r="Y251" s="108">
        <v>66227</v>
      </c>
      <c r="Z251" s="125">
        <f t="shared" si="33"/>
        <v>5.0812436173834108</v>
      </c>
      <c r="AA251" s="125">
        <f t="shared" si="34"/>
        <v>9.3498277481991856</v>
      </c>
      <c r="AB251" s="108">
        <v>19296</v>
      </c>
      <c r="AC251" s="78" t="s">
        <v>1643</v>
      </c>
      <c r="AD251" s="126">
        <v>15426</v>
      </c>
      <c r="AE251" s="108">
        <v>488957</v>
      </c>
      <c r="AF251" s="108">
        <v>9579</v>
      </c>
      <c r="AG251" s="108">
        <v>17626</v>
      </c>
    </row>
    <row r="252" spans="1:33" ht="15.75" thickBot="1" x14ac:dyDescent="0.3">
      <c r="A252" s="44" t="s">
        <v>1061</v>
      </c>
      <c r="B252" s="107" t="s">
        <v>1062</v>
      </c>
      <c r="C252" s="78" t="s">
        <v>803</v>
      </c>
      <c r="D252" s="108">
        <v>22646</v>
      </c>
      <c r="E252" s="108">
        <v>14411</v>
      </c>
      <c r="F252" s="108">
        <v>5265</v>
      </c>
      <c r="G252" s="108">
        <v>42322</v>
      </c>
      <c r="H252" s="125">
        <f t="shared" si="27"/>
        <v>1.2706053975200584</v>
      </c>
      <c r="I252" s="125">
        <f t="shared" si="28"/>
        <v>0.29540481400437635</v>
      </c>
      <c r="J252" s="125">
        <f t="shared" si="29"/>
        <v>2.3745721820120069</v>
      </c>
      <c r="K252" s="125">
        <f t="shared" si="30"/>
        <v>10.535723176499875</v>
      </c>
      <c r="L252" s="126">
        <v>3956</v>
      </c>
      <c r="M252" s="108">
        <v>9221</v>
      </c>
      <c r="N252" s="108">
        <v>37057</v>
      </c>
      <c r="O252" s="108">
        <v>46278</v>
      </c>
      <c r="P252" s="108">
        <f t="shared" si="35"/>
        <v>2.5965325702743645</v>
      </c>
      <c r="Q252" s="108">
        <v>70071</v>
      </c>
      <c r="R252" s="108">
        <v>22359</v>
      </c>
      <c r="S252" s="125">
        <f t="shared" si="31"/>
        <v>1.2545026089883857</v>
      </c>
      <c r="T252" s="108">
        <v>8408</v>
      </c>
      <c r="U252" s="125">
        <f t="shared" si="32"/>
        <v>0.47174998597318074</v>
      </c>
      <c r="V252" s="108">
        <v>19054</v>
      </c>
      <c r="W252" s="108">
        <v>7345</v>
      </c>
      <c r="X252" s="108">
        <v>102885</v>
      </c>
      <c r="Y252" s="108">
        <v>32136</v>
      </c>
      <c r="Z252" s="125">
        <f t="shared" si="33"/>
        <v>5.7725972058575996</v>
      </c>
      <c r="AA252" s="125">
        <f t="shared" si="34"/>
        <v>25.612397311426438</v>
      </c>
      <c r="AB252" s="108">
        <v>8216</v>
      </c>
      <c r="AC252" s="78" t="s">
        <v>1643</v>
      </c>
      <c r="AD252" s="126" t="s">
        <v>3453</v>
      </c>
      <c r="AE252" s="108">
        <v>92430</v>
      </c>
      <c r="AF252" s="108">
        <v>4017</v>
      </c>
      <c r="AG252" s="108">
        <v>17823</v>
      </c>
    </row>
    <row r="253" spans="1:33" ht="15.75" thickBot="1" x14ac:dyDescent="0.3">
      <c r="A253" s="44" t="s">
        <v>1067</v>
      </c>
      <c r="B253" s="107" t="s">
        <v>1068</v>
      </c>
      <c r="C253" s="78" t="s">
        <v>803</v>
      </c>
      <c r="D253" s="108">
        <v>22512</v>
      </c>
      <c r="E253" s="108">
        <v>21082</v>
      </c>
      <c r="F253" s="108">
        <v>2679</v>
      </c>
      <c r="G253" s="108">
        <v>46273</v>
      </c>
      <c r="H253" s="125">
        <f t="shared" si="27"/>
        <v>1.3189594562924771</v>
      </c>
      <c r="I253" s="125">
        <f t="shared" si="28"/>
        <v>0.15696039371924067</v>
      </c>
      <c r="J253" s="125">
        <f t="shared" si="29"/>
        <v>2.7110967893133351</v>
      </c>
      <c r="K253" s="125">
        <f t="shared" si="30"/>
        <v>6.1207671957671961</v>
      </c>
      <c r="L253" s="126">
        <v>843</v>
      </c>
      <c r="M253" s="108">
        <v>3522</v>
      </c>
      <c r="N253" s="108">
        <v>43594</v>
      </c>
      <c r="O253" s="108">
        <v>47116</v>
      </c>
      <c r="P253" s="108">
        <f t="shared" si="35"/>
        <v>2.7604874619170379</v>
      </c>
      <c r="Q253" s="108">
        <v>42128</v>
      </c>
      <c r="R253" s="108">
        <v>7053</v>
      </c>
      <c r="S253" s="125">
        <f t="shared" si="31"/>
        <v>0.41322943520037497</v>
      </c>
      <c r="T253" s="108">
        <v>5052</v>
      </c>
      <c r="U253" s="125">
        <f t="shared" si="32"/>
        <v>0.29599250058589172</v>
      </c>
      <c r="V253" s="108">
        <v>1910</v>
      </c>
      <c r="W253" s="108">
        <v>1802</v>
      </c>
      <c r="X253" s="108">
        <v>55739</v>
      </c>
      <c r="Y253" s="108">
        <v>37685</v>
      </c>
      <c r="Z253" s="125">
        <f t="shared" si="33"/>
        <v>3.2657018982891963</v>
      </c>
      <c r="AA253" s="125">
        <f t="shared" si="34"/>
        <v>7.3728835978835976</v>
      </c>
      <c r="AB253" s="108">
        <v>15144</v>
      </c>
      <c r="AC253" s="78" t="s">
        <v>1643</v>
      </c>
      <c r="AD253" s="126">
        <v>17650</v>
      </c>
      <c r="AE253" s="108">
        <v>49181</v>
      </c>
      <c r="AF253" s="108">
        <v>7560</v>
      </c>
      <c r="AG253" s="108">
        <v>17068</v>
      </c>
    </row>
    <row r="254" spans="1:33" ht="15.75" thickBot="1" x14ac:dyDescent="0.3">
      <c r="A254" s="44" t="s">
        <v>1073</v>
      </c>
      <c r="B254" s="107" t="s">
        <v>1074</v>
      </c>
      <c r="C254" s="78" t="s">
        <v>803</v>
      </c>
      <c r="D254" s="108">
        <v>24489</v>
      </c>
      <c r="E254" s="108">
        <v>42229</v>
      </c>
      <c r="F254" s="108">
        <v>4582</v>
      </c>
      <c r="G254" s="108">
        <v>71300</v>
      </c>
      <c r="H254" s="125">
        <f t="shared" si="27"/>
        <v>1.6912292817679557</v>
      </c>
      <c r="I254" s="125">
        <f t="shared" si="28"/>
        <v>0.31643646408839782</v>
      </c>
      <c r="J254" s="125">
        <f t="shared" si="29"/>
        <v>4.9240331491712706</v>
      </c>
      <c r="K254" s="125">
        <f t="shared" si="30"/>
        <v>9.7550964564235869</v>
      </c>
      <c r="L254" s="126">
        <v>1330</v>
      </c>
      <c r="M254" s="108">
        <v>5912</v>
      </c>
      <c r="N254" s="108">
        <v>66718</v>
      </c>
      <c r="O254" s="108">
        <v>72630</v>
      </c>
      <c r="P254" s="108">
        <f t="shared" si="35"/>
        <v>5.0158839779005522</v>
      </c>
      <c r="Q254" s="108">
        <v>60770</v>
      </c>
      <c r="R254" s="108">
        <v>15857</v>
      </c>
      <c r="S254" s="125">
        <f t="shared" si="31"/>
        <v>1.0950966850828729</v>
      </c>
      <c r="T254" s="108">
        <v>11011</v>
      </c>
      <c r="U254" s="125">
        <f t="shared" si="32"/>
        <v>0.76042817679558006</v>
      </c>
      <c r="V254" s="108">
        <v>10937</v>
      </c>
      <c r="W254" s="108">
        <v>10403</v>
      </c>
      <c r="X254" s="108">
        <v>42448</v>
      </c>
      <c r="Y254" s="108">
        <v>23634</v>
      </c>
      <c r="Z254" s="125">
        <f t="shared" si="33"/>
        <v>2.9314917127071825</v>
      </c>
      <c r="AA254" s="125">
        <f t="shared" si="34"/>
        <v>5.8076344233137229</v>
      </c>
      <c r="AB254" s="108">
        <v>8293</v>
      </c>
      <c r="AC254" s="78" t="s">
        <v>1643</v>
      </c>
      <c r="AD254" s="126">
        <v>23046</v>
      </c>
      <c r="AE254" s="108">
        <v>76627</v>
      </c>
      <c r="AF254" s="108">
        <v>7309</v>
      </c>
      <c r="AG254" s="108">
        <v>14480</v>
      </c>
    </row>
    <row r="255" spans="1:33" ht="15.75" thickBot="1" x14ac:dyDescent="0.3">
      <c r="A255" s="44" t="s">
        <v>1077</v>
      </c>
      <c r="B255" s="107" t="s">
        <v>1078</v>
      </c>
      <c r="C255" s="78" t="s">
        <v>803</v>
      </c>
      <c r="D255" s="108">
        <v>88802</v>
      </c>
      <c r="E255" s="108">
        <v>122710</v>
      </c>
      <c r="F255" s="108">
        <v>13336</v>
      </c>
      <c r="G255" s="108">
        <v>224848</v>
      </c>
      <c r="H255" s="125">
        <f t="shared" si="27"/>
        <v>6.6638150983040676</v>
      </c>
      <c r="I255" s="125">
        <f t="shared" si="28"/>
        <v>1.0007504127269999</v>
      </c>
      <c r="J255" s="125">
        <f t="shared" si="29"/>
        <v>16.872880084046226</v>
      </c>
      <c r="K255" s="125">
        <f t="shared" si="30"/>
        <v>64.481789503871525</v>
      </c>
      <c r="L255" s="126">
        <v>1554</v>
      </c>
      <c r="M255" s="108">
        <v>14890</v>
      </c>
      <c r="N255" s="108">
        <v>211512</v>
      </c>
      <c r="O255" s="108">
        <v>226402</v>
      </c>
      <c r="P255" s="108">
        <f t="shared" si="35"/>
        <v>16.989494221822003</v>
      </c>
      <c r="Q255" s="108">
        <v>104332</v>
      </c>
      <c r="R255" s="108">
        <v>35624</v>
      </c>
      <c r="S255" s="125">
        <f t="shared" si="31"/>
        <v>2.6732702986642654</v>
      </c>
      <c r="T255" s="108">
        <v>7827</v>
      </c>
      <c r="U255" s="125">
        <f t="shared" si="32"/>
        <v>0.58734804142278252</v>
      </c>
      <c r="V255" s="108">
        <v>9217</v>
      </c>
      <c r="W255" s="108">
        <v>7249</v>
      </c>
      <c r="X255" s="108">
        <v>68596</v>
      </c>
      <c r="Y255" s="108">
        <v>50438</v>
      </c>
      <c r="Z255" s="125">
        <f t="shared" si="33"/>
        <v>5.1475311421281704</v>
      </c>
      <c r="AA255" s="125">
        <f t="shared" si="34"/>
        <v>19.671924290220819</v>
      </c>
      <c r="AB255" s="108">
        <v>20856</v>
      </c>
      <c r="AC255" s="78" t="s">
        <v>1643</v>
      </c>
      <c r="AD255" s="126">
        <v>10000</v>
      </c>
      <c r="AE255" s="108">
        <v>139956</v>
      </c>
      <c r="AF255" s="108">
        <v>3487</v>
      </c>
      <c r="AG255" s="108">
        <v>13326</v>
      </c>
    </row>
    <row r="256" spans="1:33" ht="15.75" thickBot="1" x14ac:dyDescent="0.3">
      <c r="A256" s="44" t="s">
        <v>1079</v>
      </c>
      <c r="B256" s="107" t="s">
        <v>1080</v>
      </c>
      <c r="C256" s="78" t="s">
        <v>803</v>
      </c>
      <c r="D256" s="108">
        <v>7725</v>
      </c>
      <c r="E256" s="108">
        <v>15269</v>
      </c>
      <c r="F256" s="108">
        <v>5790</v>
      </c>
      <c r="G256" s="108">
        <v>28784</v>
      </c>
      <c r="H256" s="125">
        <f t="shared" si="27"/>
        <v>0.56809824974260925</v>
      </c>
      <c r="I256" s="125">
        <f t="shared" si="28"/>
        <v>0.42579791145756729</v>
      </c>
      <c r="J256" s="125">
        <f t="shared" si="29"/>
        <v>2.1167818796881894</v>
      </c>
      <c r="K256" s="125">
        <f t="shared" si="30"/>
        <v>15.442060085836911</v>
      </c>
      <c r="L256" s="126">
        <v>30</v>
      </c>
      <c r="M256" s="108">
        <v>5820</v>
      </c>
      <c r="N256" s="108">
        <v>22994</v>
      </c>
      <c r="O256" s="108">
        <v>28814</v>
      </c>
      <c r="P256" s="108">
        <f t="shared" si="35"/>
        <v>2.1189880864833062</v>
      </c>
      <c r="Q256" s="108">
        <v>17171</v>
      </c>
      <c r="R256" s="108">
        <v>532353</v>
      </c>
      <c r="S256" s="125">
        <f t="shared" si="31"/>
        <v>39.149360200029413</v>
      </c>
      <c r="T256" s="108">
        <v>268</v>
      </c>
      <c r="U256" s="125">
        <f t="shared" si="32"/>
        <v>1.9708780703044566E-2</v>
      </c>
      <c r="V256" s="108">
        <v>4501</v>
      </c>
      <c r="W256" s="108">
        <v>3377</v>
      </c>
      <c r="X256" s="108">
        <v>12660</v>
      </c>
      <c r="Y256" s="108">
        <v>5910</v>
      </c>
      <c r="Z256" s="125">
        <f t="shared" si="33"/>
        <v>0.93101926753934405</v>
      </c>
      <c r="AA256" s="125">
        <f t="shared" si="34"/>
        <v>6.7918454935622314</v>
      </c>
      <c r="AB256" s="108">
        <v>1018</v>
      </c>
      <c r="AC256" s="78" t="s">
        <v>1643</v>
      </c>
      <c r="AD256" s="126" t="s">
        <v>3453</v>
      </c>
      <c r="AE256" s="108">
        <v>549524</v>
      </c>
      <c r="AF256" s="108">
        <v>1864</v>
      </c>
      <c r="AG256" s="108">
        <v>13598</v>
      </c>
    </row>
    <row r="257" spans="1:33" ht="15.75" thickBot="1" x14ac:dyDescent="0.3">
      <c r="A257" s="44" t="s">
        <v>1097</v>
      </c>
      <c r="B257" s="107" t="s">
        <v>1098</v>
      </c>
      <c r="C257" s="78" t="s">
        <v>803</v>
      </c>
      <c r="D257" s="108">
        <v>16258</v>
      </c>
      <c r="E257" s="108">
        <v>72985</v>
      </c>
      <c r="F257" s="108">
        <v>7589</v>
      </c>
      <c r="G257" s="108">
        <v>96832</v>
      </c>
      <c r="H257" s="125">
        <f t="shared" si="27"/>
        <v>0.63280398567647522</v>
      </c>
      <c r="I257" s="125">
        <f t="shared" si="28"/>
        <v>0.29538377705122215</v>
      </c>
      <c r="J257" s="125">
        <f t="shared" si="29"/>
        <v>3.7689553168301417</v>
      </c>
      <c r="K257" s="125">
        <f t="shared" si="30"/>
        <v>20.173333333333332</v>
      </c>
      <c r="L257" s="126">
        <v>0</v>
      </c>
      <c r="M257" s="108">
        <v>7589</v>
      </c>
      <c r="N257" s="108">
        <v>89243</v>
      </c>
      <c r="O257" s="108">
        <v>96832</v>
      </c>
      <c r="P257" s="108">
        <f t="shared" si="35"/>
        <v>3.7689553168301417</v>
      </c>
      <c r="Q257" s="108">
        <v>72433</v>
      </c>
      <c r="R257" s="108">
        <v>8088</v>
      </c>
      <c r="S257" s="125">
        <f t="shared" si="31"/>
        <v>0.31480616534329753</v>
      </c>
      <c r="T257" s="108">
        <v>5794</v>
      </c>
      <c r="U257" s="125">
        <f t="shared" si="32"/>
        <v>0.22551767087030983</v>
      </c>
      <c r="V257" s="108">
        <v>9584</v>
      </c>
      <c r="W257" s="108">
        <v>10254</v>
      </c>
      <c r="X257" s="108">
        <v>45999</v>
      </c>
      <c r="Y257" s="108">
        <v>28125</v>
      </c>
      <c r="Z257" s="125">
        <f t="shared" si="33"/>
        <v>1.790401681457263</v>
      </c>
      <c r="AA257" s="125">
        <f t="shared" si="34"/>
        <v>9.5831250000000008</v>
      </c>
      <c r="AB257" s="108">
        <v>16548</v>
      </c>
      <c r="AC257" s="78" t="s">
        <v>1643</v>
      </c>
      <c r="AD257" s="126">
        <v>40125</v>
      </c>
      <c r="AE257" s="108">
        <v>80521</v>
      </c>
      <c r="AF257" s="108">
        <v>4800</v>
      </c>
      <c r="AG257" s="108">
        <v>25692</v>
      </c>
    </row>
    <row r="258" spans="1:33" ht="15.75" thickBot="1" x14ac:dyDescent="0.3">
      <c r="A258" s="44" t="s">
        <v>1105</v>
      </c>
      <c r="B258" s="107" t="s">
        <v>1106</v>
      </c>
      <c r="C258" s="78" t="s">
        <v>803</v>
      </c>
      <c r="D258" s="108">
        <v>28031</v>
      </c>
      <c r="E258" s="108">
        <v>46664</v>
      </c>
      <c r="F258" s="108">
        <v>29073</v>
      </c>
      <c r="G258" s="108">
        <v>103768</v>
      </c>
      <c r="H258" s="125">
        <f t="shared" si="27"/>
        <v>1.7564383733316624</v>
      </c>
      <c r="I258" s="125">
        <f t="shared" si="28"/>
        <v>1.821730684880005</v>
      </c>
      <c r="J258" s="125">
        <f t="shared" si="29"/>
        <v>6.5021617895858137</v>
      </c>
      <c r="K258" s="125">
        <f t="shared" si="30"/>
        <v>15.765420844728046</v>
      </c>
      <c r="L258" s="126">
        <v>13501</v>
      </c>
      <c r="M258" s="108">
        <v>42574</v>
      </c>
      <c r="N258" s="108">
        <v>74695</v>
      </c>
      <c r="O258" s="108">
        <v>117269</v>
      </c>
      <c r="P258" s="108">
        <f t="shared" si="35"/>
        <v>7.3481421141675547</v>
      </c>
      <c r="Q258" s="108">
        <v>35221</v>
      </c>
      <c r="R258" s="108">
        <v>95366</v>
      </c>
      <c r="S258" s="125">
        <f t="shared" si="31"/>
        <v>5.9756876997305595</v>
      </c>
      <c r="T258" s="108">
        <v>6568</v>
      </c>
      <c r="U258" s="125">
        <f t="shared" si="32"/>
        <v>0.41155460868475469</v>
      </c>
      <c r="V258" s="108">
        <v>5870</v>
      </c>
      <c r="W258" s="108">
        <v>7036</v>
      </c>
      <c r="X258" s="108">
        <v>75167</v>
      </c>
      <c r="Y258" s="108">
        <v>36598</v>
      </c>
      <c r="Z258" s="125">
        <f t="shared" si="33"/>
        <v>4.7100068926624479</v>
      </c>
      <c r="AA258" s="125">
        <f t="shared" si="34"/>
        <v>11.420085080522638</v>
      </c>
      <c r="AB258" s="108">
        <v>8831</v>
      </c>
      <c r="AC258" s="78" t="s">
        <v>1643</v>
      </c>
      <c r="AD258" s="126">
        <v>18813</v>
      </c>
      <c r="AE258" s="108">
        <v>130587</v>
      </c>
      <c r="AF258" s="108">
        <v>6582</v>
      </c>
      <c r="AG258" s="108">
        <v>15959</v>
      </c>
    </row>
    <row r="259" spans="1:33" ht="15.75" thickBot="1" x14ac:dyDescent="0.3">
      <c r="A259" s="44" t="s">
        <v>1115</v>
      </c>
      <c r="B259" s="107" t="s">
        <v>1116</v>
      </c>
      <c r="C259" s="78" t="s">
        <v>803</v>
      </c>
      <c r="D259" s="108">
        <v>22490</v>
      </c>
      <c r="E259" s="108">
        <v>57656</v>
      </c>
      <c r="F259" s="108">
        <v>13673</v>
      </c>
      <c r="G259" s="108">
        <v>93819</v>
      </c>
      <c r="H259" s="125">
        <f t="shared" si="27"/>
        <v>1.0626033545948499</v>
      </c>
      <c r="I259" s="125">
        <f t="shared" si="28"/>
        <v>0.64601937160406331</v>
      </c>
      <c r="J259" s="125">
        <f t="shared" si="29"/>
        <v>4.4327427356484765</v>
      </c>
      <c r="K259" s="125">
        <f t="shared" si="30"/>
        <v>5.2401139410187669</v>
      </c>
      <c r="L259" s="126">
        <v>0</v>
      </c>
      <c r="M259" s="108">
        <v>13673</v>
      </c>
      <c r="N259" s="108">
        <v>80146</v>
      </c>
      <c r="O259" s="108">
        <v>93819</v>
      </c>
      <c r="P259" s="108">
        <f t="shared" si="35"/>
        <v>4.4327427356484765</v>
      </c>
      <c r="Q259" s="108">
        <v>52982</v>
      </c>
      <c r="R259" s="108">
        <v>2501</v>
      </c>
      <c r="S259" s="125">
        <f t="shared" si="31"/>
        <v>0.11816678478620364</v>
      </c>
      <c r="T259" s="108">
        <v>297</v>
      </c>
      <c r="U259" s="125">
        <f t="shared" si="32"/>
        <v>1.403260099220411E-2</v>
      </c>
      <c r="V259" s="108">
        <v>2990</v>
      </c>
      <c r="W259" s="108">
        <v>4409</v>
      </c>
      <c r="X259" s="108">
        <v>57725</v>
      </c>
      <c r="Y259" s="108">
        <v>28295</v>
      </c>
      <c r="Z259" s="125">
        <f t="shared" si="33"/>
        <v>2.727380108669974</v>
      </c>
      <c r="AA259" s="125">
        <f t="shared" si="34"/>
        <v>3.2241398570151922</v>
      </c>
      <c r="AB259" s="108">
        <v>3197</v>
      </c>
      <c r="AC259" s="78" t="s">
        <v>1643</v>
      </c>
      <c r="AD259" s="126">
        <v>30559</v>
      </c>
      <c r="AE259" s="108">
        <v>55483</v>
      </c>
      <c r="AF259" s="108">
        <v>17904</v>
      </c>
      <c r="AG259" s="108">
        <v>21165</v>
      </c>
    </row>
    <row r="260" spans="1:33" ht="15.75" thickBot="1" x14ac:dyDescent="0.3">
      <c r="A260" s="44" t="s">
        <v>1117</v>
      </c>
      <c r="B260" s="107" t="s">
        <v>1118</v>
      </c>
      <c r="C260" s="78" t="s">
        <v>803</v>
      </c>
      <c r="D260" s="108">
        <v>15130</v>
      </c>
      <c r="E260" s="108">
        <v>8336</v>
      </c>
      <c r="F260" s="108">
        <v>0</v>
      </c>
      <c r="G260" s="108">
        <v>23466</v>
      </c>
      <c r="H260" s="125">
        <f t="shared" ref="H260:H323" si="36">D260/AG260</f>
        <v>0.67475360121304018</v>
      </c>
      <c r="I260" s="125">
        <f t="shared" ref="I260:I323" si="37">F260/AG260</f>
        <v>0</v>
      </c>
      <c r="J260" s="125">
        <f t="shared" ref="J260:J323" si="38">G260/AG260</f>
        <v>1.0465147393301522</v>
      </c>
      <c r="K260" s="125">
        <f t="shared" ref="K260:K323" si="39">G260/AF260</f>
        <v>3.045554834523037</v>
      </c>
      <c r="L260" s="126">
        <v>0</v>
      </c>
      <c r="M260" s="108">
        <v>0</v>
      </c>
      <c r="N260" s="108">
        <v>23466</v>
      </c>
      <c r="O260" s="108">
        <v>23466</v>
      </c>
      <c r="P260" s="108">
        <f t="shared" si="35"/>
        <v>1.0465147393301522</v>
      </c>
      <c r="Q260" s="108">
        <v>74961</v>
      </c>
      <c r="R260" s="108">
        <v>0</v>
      </c>
      <c r="S260" s="125">
        <f t="shared" ref="S260:S323" si="40">R260/AG260</f>
        <v>0</v>
      </c>
      <c r="T260" s="108">
        <v>22701</v>
      </c>
      <c r="U260" s="125">
        <f t="shared" ref="U260:U323" si="41">T260/AG260</f>
        <v>1.0123979842126387</v>
      </c>
      <c r="V260" s="108">
        <v>5901</v>
      </c>
      <c r="W260" s="108">
        <v>6109</v>
      </c>
      <c r="X260" s="108">
        <v>54753</v>
      </c>
      <c r="Y260" s="108">
        <v>12082</v>
      </c>
      <c r="Z260" s="125">
        <f t="shared" ref="Z260:Z323" si="42">X260/AG260</f>
        <v>2.441823128038175</v>
      </c>
      <c r="AA260" s="125">
        <f t="shared" ref="AA260:AA323" si="43">X260/AF260</f>
        <v>7.1061648280337444</v>
      </c>
      <c r="AB260" s="108">
        <v>28526</v>
      </c>
      <c r="AC260" s="78" t="s">
        <v>1643</v>
      </c>
      <c r="AD260" s="126">
        <v>7550</v>
      </c>
      <c r="AE260" s="108">
        <v>74961</v>
      </c>
      <c r="AF260" s="108">
        <v>7705</v>
      </c>
      <c r="AG260" s="108">
        <v>22423</v>
      </c>
    </row>
    <row r="261" spans="1:33" ht="15.75" thickBot="1" x14ac:dyDescent="0.3">
      <c r="A261" s="44" t="s">
        <v>1121</v>
      </c>
      <c r="B261" s="107" t="s">
        <v>1122</v>
      </c>
      <c r="C261" s="78" t="s">
        <v>803</v>
      </c>
      <c r="D261" s="108">
        <v>10873</v>
      </c>
      <c r="E261" s="108">
        <v>19207</v>
      </c>
      <c r="F261" s="108">
        <v>5424</v>
      </c>
      <c r="G261" s="108">
        <v>35504</v>
      </c>
      <c r="H261" s="125">
        <f t="shared" si="36"/>
        <v>0.76376791233492558</v>
      </c>
      <c r="I261" s="125">
        <f t="shared" si="37"/>
        <v>0.3810059005338578</v>
      </c>
      <c r="J261" s="125">
        <f t="shared" si="38"/>
        <v>2.4939589772407982</v>
      </c>
      <c r="K261" s="125">
        <f t="shared" si="39"/>
        <v>4.7656375838926177</v>
      </c>
      <c r="L261" s="126">
        <v>897</v>
      </c>
      <c r="M261" s="108">
        <v>6321</v>
      </c>
      <c r="N261" s="108">
        <v>30080</v>
      </c>
      <c r="O261" s="108">
        <v>36401</v>
      </c>
      <c r="P261" s="108">
        <f t="shared" ref="P261:P324" si="44">O261/AG261</f>
        <v>2.556968249508289</v>
      </c>
      <c r="Q261" s="108">
        <v>47664</v>
      </c>
      <c r="R261" s="108">
        <v>14057</v>
      </c>
      <c r="S261" s="125">
        <f t="shared" si="40"/>
        <v>0.9874262433267772</v>
      </c>
      <c r="T261" s="108">
        <v>8680</v>
      </c>
      <c r="U261" s="125">
        <f t="shared" si="41"/>
        <v>0.60972183197527396</v>
      </c>
      <c r="V261" s="108">
        <v>9192</v>
      </c>
      <c r="W261" s="108">
        <v>4916</v>
      </c>
      <c r="X261" s="108">
        <v>36551</v>
      </c>
      <c r="Y261" s="108">
        <v>37784</v>
      </c>
      <c r="Z261" s="125">
        <f t="shared" si="42"/>
        <v>2.567504917111548</v>
      </c>
      <c r="AA261" s="125">
        <f t="shared" si="43"/>
        <v>4.9061744966442955</v>
      </c>
      <c r="AB261" s="108">
        <v>12464</v>
      </c>
      <c r="AC261" s="78" t="s">
        <v>1643</v>
      </c>
      <c r="AD261" s="126">
        <v>15854</v>
      </c>
      <c r="AE261" s="108">
        <v>61721</v>
      </c>
      <c r="AF261" s="108">
        <v>7450</v>
      </c>
      <c r="AG261" s="108">
        <v>14236</v>
      </c>
    </row>
    <row r="262" spans="1:33" ht="15.75" thickBot="1" x14ac:dyDescent="0.3">
      <c r="A262" s="44" t="s">
        <v>1123</v>
      </c>
      <c r="B262" s="107" t="s">
        <v>1124</v>
      </c>
      <c r="C262" s="78" t="s">
        <v>803</v>
      </c>
      <c r="D262" s="108">
        <v>6839</v>
      </c>
      <c r="E262" s="108">
        <v>18410</v>
      </c>
      <c r="F262" s="108">
        <v>2084</v>
      </c>
      <c r="G262" s="108">
        <v>27333</v>
      </c>
      <c r="H262" s="125">
        <f t="shared" si="36"/>
        <v>0.52933436532507738</v>
      </c>
      <c r="I262" s="125">
        <f t="shared" si="37"/>
        <v>0.16130030959752323</v>
      </c>
      <c r="J262" s="125">
        <f t="shared" si="38"/>
        <v>2.1155572755417955</v>
      </c>
      <c r="K262" s="125">
        <f t="shared" si="39"/>
        <v>4.940889370932755</v>
      </c>
      <c r="L262" s="126">
        <v>0</v>
      </c>
      <c r="M262" s="108">
        <v>2084</v>
      </c>
      <c r="N262" s="108">
        <v>25249</v>
      </c>
      <c r="O262" s="108">
        <v>27333</v>
      </c>
      <c r="P262" s="108">
        <f t="shared" si="44"/>
        <v>2.1155572755417955</v>
      </c>
      <c r="Q262" s="108">
        <v>30649</v>
      </c>
      <c r="R262" s="108">
        <v>11652</v>
      </c>
      <c r="S262" s="125">
        <f t="shared" si="40"/>
        <v>0.90185758513931891</v>
      </c>
      <c r="T262" s="108">
        <v>1742</v>
      </c>
      <c r="U262" s="125">
        <f t="shared" si="41"/>
        <v>0.13482972136222909</v>
      </c>
      <c r="V262" s="108">
        <v>2355</v>
      </c>
      <c r="W262" s="108">
        <v>3001</v>
      </c>
      <c r="X262" s="108">
        <v>54776</v>
      </c>
      <c r="Y262" s="108">
        <v>38187</v>
      </c>
      <c r="Z262" s="125">
        <f t="shared" si="42"/>
        <v>4.2396284829721358</v>
      </c>
      <c r="AA262" s="125">
        <f t="shared" si="43"/>
        <v>9.9016630513376711</v>
      </c>
      <c r="AB262" s="108">
        <v>9858</v>
      </c>
      <c r="AC262" s="78" t="s">
        <v>1643</v>
      </c>
      <c r="AD262" s="126">
        <v>8473</v>
      </c>
      <c r="AE262" s="108">
        <v>42301</v>
      </c>
      <c r="AF262" s="108">
        <v>5532</v>
      </c>
      <c r="AG262" s="108">
        <v>12920</v>
      </c>
    </row>
    <row r="263" spans="1:33" ht="15.75" thickBot="1" x14ac:dyDescent="0.3">
      <c r="A263" s="44" t="s">
        <v>1125</v>
      </c>
      <c r="B263" s="107" t="s">
        <v>1126</v>
      </c>
      <c r="C263" s="78" t="s">
        <v>803</v>
      </c>
      <c r="D263" s="108">
        <v>9463</v>
      </c>
      <c r="E263" s="108">
        <v>38603</v>
      </c>
      <c r="F263" s="108">
        <v>11545</v>
      </c>
      <c r="G263" s="108">
        <v>59611</v>
      </c>
      <c r="H263" s="125">
        <f t="shared" si="36"/>
        <v>0.38487818766014559</v>
      </c>
      <c r="I263" s="125">
        <f t="shared" si="37"/>
        <v>0.46955708301134746</v>
      </c>
      <c r="J263" s="125">
        <f t="shared" si="38"/>
        <v>2.4244926180501891</v>
      </c>
      <c r="K263" s="125">
        <f t="shared" si="39"/>
        <v>11.982110552763819</v>
      </c>
      <c r="L263" s="126">
        <v>4892</v>
      </c>
      <c r="M263" s="108">
        <v>16437</v>
      </c>
      <c r="N263" s="108">
        <v>48066</v>
      </c>
      <c r="O263" s="108">
        <v>64503</v>
      </c>
      <c r="P263" s="108">
        <f t="shared" si="44"/>
        <v>2.6234595517956643</v>
      </c>
      <c r="Q263" s="108">
        <v>25222</v>
      </c>
      <c r="R263" s="108">
        <v>11857</v>
      </c>
      <c r="S263" s="125">
        <f t="shared" si="40"/>
        <v>0.48224671574409239</v>
      </c>
      <c r="T263" s="108">
        <v>4234</v>
      </c>
      <c r="U263" s="125">
        <f t="shared" si="41"/>
        <v>0.17220482368731443</v>
      </c>
      <c r="V263" s="108">
        <v>1099</v>
      </c>
      <c r="W263" s="108">
        <v>1795</v>
      </c>
      <c r="X263" s="108">
        <v>36128</v>
      </c>
      <c r="Y263" s="108">
        <v>40175</v>
      </c>
      <c r="Z263" s="125">
        <f t="shared" si="42"/>
        <v>1.4693943954122097</v>
      </c>
      <c r="AA263" s="125">
        <f t="shared" si="43"/>
        <v>7.2619095477386937</v>
      </c>
      <c r="AB263" s="108">
        <v>3103</v>
      </c>
      <c r="AC263" s="78" t="s">
        <v>1643</v>
      </c>
      <c r="AD263" s="126" t="s">
        <v>3453</v>
      </c>
      <c r="AE263" s="108">
        <v>37079</v>
      </c>
      <c r="AF263" s="108">
        <v>4975</v>
      </c>
      <c r="AG263" s="108">
        <v>24587</v>
      </c>
    </row>
    <row r="264" spans="1:33" ht="15.75" thickBot="1" x14ac:dyDescent="0.3">
      <c r="A264" s="44" t="s">
        <v>1131</v>
      </c>
      <c r="B264" s="107" t="s">
        <v>1132</v>
      </c>
      <c r="C264" s="78" t="s">
        <v>803</v>
      </c>
      <c r="D264" s="108">
        <v>26605</v>
      </c>
      <c r="E264" s="108">
        <v>30924</v>
      </c>
      <c r="F264" s="108">
        <v>15254</v>
      </c>
      <c r="G264" s="108">
        <v>72783</v>
      </c>
      <c r="H264" s="125">
        <f t="shared" si="36"/>
        <v>2.0105040429229954</v>
      </c>
      <c r="I264" s="125">
        <f t="shared" si="37"/>
        <v>1.1527242499811079</v>
      </c>
      <c r="J264" s="125">
        <f t="shared" si="38"/>
        <v>5.5001133529811836</v>
      </c>
      <c r="K264" s="125">
        <f t="shared" si="39"/>
        <v>9.5691559295293196</v>
      </c>
      <c r="L264" s="126">
        <v>4</v>
      </c>
      <c r="M264" s="108">
        <v>15258</v>
      </c>
      <c r="N264" s="108">
        <v>57529</v>
      </c>
      <c r="O264" s="108">
        <v>72787</v>
      </c>
      <c r="P264" s="108">
        <f t="shared" si="44"/>
        <v>5.5004156275976728</v>
      </c>
      <c r="Q264" s="108">
        <v>46347</v>
      </c>
      <c r="R264" s="108">
        <v>455201</v>
      </c>
      <c r="S264" s="125">
        <f t="shared" si="40"/>
        <v>34.398926925111461</v>
      </c>
      <c r="T264" s="108">
        <v>12385</v>
      </c>
      <c r="U264" s="125">
        <f t="shared" si="41"/>
        <v>0.93591778130431502</v>
      </c>
      <c r="V264" s="108">
        <v>4021</v>
      </c>
      <c r="W264" s="108">
        <v>4643</v>
      </c>
      <c r="X264" s="108">
        <v>98467</v>
      </c>
      <c r="Y264" s="108">
        <v>39586</v>
      </c>
      <c r="Z264" s="125">
        <f t="shared" si="42"/>
        <v>7.4410186654575678</v>
      </c>
      <c r="AA264" s="125">
        <f t="shared" si="43"/>
        <v>12.945963712858269</v>
      </c>
      <c r="AB264" s="108">
        <v>11327</v>
      </c>
      <c r="AC264" s="78" t="s">
        <v>1643</v>
      </c>
      <c r="AD264" s="126">
        <v>18223</v>
      </c>
      <c r="AE264" s="108">
        <v>501548</v>
      </c>
      <c r="AF264" s="108">
        <v>7606</v>
      </c>
      <c r="AG264" s="108">
        <v>13233</v>
      </c>
    </row>
    <row r="265" spans="1:33" ht="15.75" thickBot="1" x14ac:dyDescent="0.3">
      <c r="A265" s="44" t="s">
        <v>1133</v>
      </c>
      <c r="B265" s="107" t="s">
        <v>1134</v>
      </c>
      <c r="C265" s="78" t="s">
        <v>803</v>
      </c>
      <c r="D265" s="108">
        <v>14677</v>
      </c>
      <c r="E265" s="108">
        <v>23085</v>
      </c>
      <c r="F265" s="108">
        <v>5452</v>
      </c>
      <c r="G265" s="108">
        <v>43214</v>
      </c>
      <c r="H265" s="125">
        <f t="shared" si="36"/>
        <v>0.89374010473754717</v>
      </c>
      <c r="I265" s="125">
        <f t="shared" si="37"/>
        <v>0.3319936670320302</v>
      </c>
      <c r="J265" s="125">
        <f t="shared" si="38"/>
        <v>2.6314699792960661</v>
      </c>
      <c r="K265" s="125">
        <f t="shared" si="39"/>
        <v>9.5967133022429483</v>
      </c>
      <c r="L265" s="126">
        <v>2175</v>
      </c>
      <c r="M265" s="108">
        <v>7627</v>
      </c>
      <c r="N265" s="108">
        <v>37762</v>
      </c>
      <c r="O265" s="108">
        <v>45389</v>
      </c>
      <c r="P265" s="108">
        <f t="shared" si="44"/>
        <v>2.7639142613567165</v>
      </c>
      <c r="Q265" s="108">
        <v>81030</v>
      </c>
      <c r="R265" s="108">
        <v>22359</v>
      </c>
      <c r="S265" s="125">
        <f t="shared" si="40"/>
        <v>1.3615272195834855</v>
      </c>
      <c r="T265" s="108">
        <v>6865</v>
      </c>
      <c r="U265" s="125">
        <f t="shared" si="41"/>
        <v>0.41803677992936306</v>
      </c>
      <c r="V265" s="108">
        <v>16986</v>
      </c>
      <c r="W265" s="108">
        <v>7847</v>
      </c>
      <c r="X265" s="108">
        <v>115769</v>
      </c>
      <c r="Y265" s="108">
        <v>7864</v>
      </c>
      <c r="Z265" s="125">
        <f t="shared" si="42"/>
        <v>7.0496285470710021</v>
      </c>
      <c r="AA265" s="125">
        <f t="shared" si="43"/>
        <v>25.709304907839218</v>
      </c>
      <c r="AB265" s="108">
        <v>19398</v>
      </c>
      <c r="AC265" s="78" t="s">
        <v>1643</v>
      </c>
      <c r="AD265" s="126">
        <v>1666</v>
      </c>
      <c r="AE265" s="108">
        <v>103389</v>
      </c>
      <c r="AF265" s="108">
        <v>4503</v>
      </c>
      <c r="AG265" s="108">
        <v>16422</v>
      </c>
    </row>
    <row r="266" spans="1:33" ht="15.75" thickBot="1" x14ac:dyDescent="0.3">
      <c r="A266" s="44" t="s">
        <v>1141</v>
      </c>
      <c r="B266" s="107" t="s">
        <v>1142</v>
      </c>
      <c r="C266" s="78" t="s">
        <v>803</v>
      </c>
      <c r="D266" s="108">
        <v>49607</v>
      </c>
      <c r="E266" s="108">
        <v>85476</v>
      </c>
      <c r="F266" s="108">
        <v>18418</v>
      </c>
      <c r="G266" s="108">
        <v>153501</v>
      </c>
      <c r="H266" s="125">
        <f t="shared" si="36"/>
        <v>2.5834288094990105</v>
      </c>
      <c r="I266" s="125">
        <f t="shared" si="37"/>
        <v>0.95917091969586499</v>
      </c>
      <c r="J266" s="125">
        <f t="shared" si="38"/>
        <v>7.9940110405166127</v>
      </c>
      <c r="K266" s="125">
        <f t="shared" si="39"/>
        <v>19.829608577703141</v>
      </c>
      <c r="L266" s="126">
        <v>10807</v>
      </c>
      <c r="M266" s="108">
        <v>29225</v>
      </c>
      <c r="N266" s="108">
        <v>135083</v>
      </c>
      <c r="O266" s="108">
        <v>164308</v>
      </c>
      <c r="P266" s="108">
        <f t="shared" si="44"/>
        <v>8.5568169982293512</v>
      </c>
      <c r="Q266" s="108">
        <v>90290</v>
      </c>
      <c r="R266" s="108">
        <v>57394</v>
      </c>
      <c r="S266" s="125">
        <f t="shared" si="40"/>
        <v>2.9889594833871471</v>
      </c>
      <c r="T266" s="108">
        <v>20004</v>
      </c>
      <c r="U266" s="125">
        <f t="shared" si="41"/>
        <v>1.0417664826580564</v>
      </c>
      <c r="V266" s="108">
        <v>15620</v>
      </c>
      <c r="W266" s="108">
        <v>14931</v>
      </c>
      <c r="X266" s="108">
        <v>81220</v>
      </c>
      <c r="Y266" s="108">
        <v>0</v>
      </c>
      <c r="Z266" s="125">
        <f t="shared" si="42"/>
        <v>4.2297677325278613</v>
      </c>
      <c r="AA266" s="125">
        <f t="shared" si="43"/>
        <v>10.492184472290402</v>
      </c>
      <c r="AB266" s="108">
        <v>14269</v>
      </c>
      <c r="AC266" s="78" t="s">
        <v>1643</v>
      </c>
      <c r="AD266" s="126">
        <v>7851</v>
      </c>
      <c r="AE266" s="108">
        <v>147684</v>
      </c>
      <c r="AF266" s="108">
        <v>7741</v>
      </c>
      <c r="AG266" s="108">
        <v>19202</v>
      </c>
    </row>
    <row r="267" spans="1:33" ht="15.75" thickBot="1" x14ac:dyDescent="0.3">
      <c r="A267" s="44" t="s">
        <v>1145</v>
      </c>
      <c r="B267" s="107" t="s">
        <v>1146</v>
      </c>
      <c r="C267" s="78" t="s">
        <v>803</v>
      </c>
      <c r="D267" s="108">
        <v>15691</v>
      </c>
      <c r="E267" s="108">
        <v>36677</v>
      </c>
      <c r="F267" s="108">
        <v>12780</v>
      </c>
      <c r="G267" s="108">
        <v>65148</v>
      </c>
      <c r="H267" s="125">
        <f t="shared" si="36"/>
        <v>0.67961711711711714</v>
      </c>
      <c r="I267" s="125">
        <f t="shared" si="37"/>
        <v>0.55353430353430355</v>
      </c>
      <c r="J267" s="125">
        <f t="shared" si="38"/>
        <v>2.8217255717255716</v>
      </c>
      <c r="K267" s="125">
        <f t="shared" si="39"/>
        <v>13.132029832695022</v>
      </c>
      <c r="L267" s="126">
        <v>0</v>
      </c>
      <c r="M267" s="108">
        <v>12780</v>
      </c>
      <c r="N267" s="108">
        <v>52368</v>
      </c>
      <c r="O267" s="108">
        <v>65148</v>
      </c>
      <c r="P267" s="108">
        <f t="shared" si="44"/>
        <v>2.8217255717255716</v>
      </c>
      <c r="Q267" s="108">
        <v>40322</v>
      </c>
      <c r="R267" s="108">
        <v>13700</v>
      </c>
      <c r="S267" s="125">
        <f t="shared" si="40"/>
        <v>0.59338184338184341</v>
      </c>
      <c r="T267" s="108">
        <v>2151</v>
      </c>
      <c r="U267" s="125">
        <f t="shared" si="41"/>
        <v>9.3165280665280667E-2</v>
      </c>
      <c r="V267" s="108">
        <v>3015</v>
      </c>
      <c r="W267" s="108">
        <v>4415</v>
      </c>
      <c r="X267" s="108">
        <v>60503</v>
      </c>
      <c r="Y267" s="108">
        <v>19021</v>
      </c>
      <c r="Z267" s="125">
        <f t="shared" si="42"/>
        <v>2.6205388080388081</v>
      </c>
      <c r="AA267" s="125">
        <f t="shared" si="43"/>
        <v>12.195726668010481</v>
      </c>
      <c r="AB267" s="108">
        <v>8350</v>
      </c>
      <c r="AC267" s="78" t="s">
        <v>1643</v>
      </c>
      <c r="AD267" s="126">
        <v>1206</v>
      </c>
      <c r="AE267" s="108">
        <v>54022</v>
      </c>
      <c r="AF267" s="108">
        <v>4961</v>
      </c>
      <c r="AG267" s="108">
        <v>23088</v>
      </c>
    </row>
    <row r="268" spans="1:33" ht="15.75" thickBot="1" x14ac:dyDescent="0.3">
      <c r="A268" s="44" t="s">
        <v>1153</v>
      </c>
      <c r="B268" s="107" t="s">
        <v>1154</v>
      </c>
      <c r="C268" s="78" t="s">
        <v>803</v>
      </c>
      <c r="D268" s="108">
        <v>8466</v>
      </c>
      <c r="E268" s="108">
        <v>34554</v>
      </c>
      <c r="F268" s="108">
        <v>7568</v>
      </c>
      <c r="G268" s="108">
        <v>50588</v>
      </c>
      <c r="H268" s="125">
        <f t="shared" si="36"/>
        <v>0.55253883305051554</v>
      </c>
      <c r="I268" s="125">
        <f t="shared" si="37"/>
        <v>0.4939302963059653</v>
      </c>
      <c r="J268" s="125">
        <f t="shared" si="38"/>
        <v>3.3016577470304136</v>
      </c>
      <c r="K268" s="125">
        <f t="shared" si="39"/>
        <v>7.0555090655509067</v>
      </c>
      <c r="L268" s="127">
        <v>0</v>
      </c>
      <c r="M268" s="108">
        <v>7568</v>
      </c>
      <c r="N268" s="108">
        <v>43020</v>
      </c>
      <c r="O268" s="108">
        <v>50588</v>
      </c>
      <c r="P268" s="108">
        <f t="shared" si="44"/>
        <v>3.3016577470304136</v>
      </c>
      <c r="Q268" s="108">
        <v>37048</v>
      </c>
      <c r="R268" s="108">
        <v>18052</v>
      </c>
      <c r="S268" s="125">
        <f t="shared" si="40"/>
        <v>1.1781751729539225</v>
      </c>
      <c r="T268" s="108">
        <v>2372</v>
      </c>
      <c r="U268" s="125">
        <f t="shared" si="41"/>
        <v>0.15481007701344471</v>
      </c>
      <c r="V268" s="108">
        <v>4778</v>
      </c>
      <c r="W268" s="108">
        <v>2808</v>
      </c>
      <c r="X268" s="108">
        <v>61646</v>
      </c>
      <c r="Y268" s="108">
        <v>61729</v>
      </c>
      <c r="Z268" s="125">
        <f t="shared" si="42"/>
        <v>4.0233650959404779</v>
      </c>
      <c r="AA268" s="125">
        <f t="shared" si="43"/>
        <v>8.5977684797768479</v>
      </c>
      <c r="AB268" s="108">
        <v>12035</v>
      </c>
      <c r="AC268" s="78" t="s">
        <v>1643</v>
      </c>
      <c r="AD268" s="126">
        <v>21676</v>
      </c>
      <c r="AE268" s="108">
        <v>55100</v>
      </c>
      <c r="AF268" s="108">
        <v>7170</v>
      </c>
      <c r="AG268" s="108">
        <v>15322</v>
      </c>
    </row>
    <row r="269" spans="1:33" ht="15.75" thickBot="1" x14ac:dyDescent="0.3">
      <c r="A269" s="44" t="s">
        <v>1155</v>
      </c>
      <c r="B269" s="107" t="s">
        <v>1156</v>
      </c>
      <c r="C269" s="78" t="s">
        <v>803</v>
      </c>
      <c r="D269" s="108">
        <v>138067</v>
      </c>
      <c r="E269" s="108">
        <v>114100</v>
      </c>
      <c r="F269" s="108">
        <v>25564</v>
      </c>
      <c r="G269" s="108">
        <v>277731</v>
      </c>
      <c r="H269" s="125">
        <f t="shared" si="36"/>
        <v>6.2431381415328966</v>
      </c>
      <c r="I269" s="125">
        <f t="shared" si="37"/>
        <v>1.155957494912955</v>
      </c>
      <c r="J269" s="125">
        <f t="shared" si="38"/>
        <v>12.558489712864571</v>
      </c>
      <c r="K269" s="125">
        <f t="shared" si="39"/>
        <v>40.122941346431666</v>
      </c>
      <c r="L269" s="126">
        <v>2717</v>
      </c>
      <c r="M269" s="108">
        <v>28281</v>
      </c>
      <c r="N269" s="108">
        <v>252167</v>
      </c>
      <c r="O269" s="108">
        <v>280448</v>
      </c>
      <c r="P269" s="108">
        <f t="shared" si="44"/>
        <v>12.681347501695681</v>
      </c>
      <c r="Q269" s="108">
        <v>77659</v>
      </c>
      <c r="R269" s="108">
        <v>24308</v>
      </c>
      <c r="S269" s="125">
        <f t="shared" si="40"/>
        <v>1.0991634637124124</v>
      </c>
      <c r="T269" s="108">
        <v>12350</v>
      </c>
      <c r="U269" s="125">
        <f t="shared" si="41"/>
        <v>0.55844449468686408</v>
      </c>
      <c r="V269" s="108">
        <v>10952</v>
      </c>
      <c r="W269" s="108">
        <v>11118</v>
      </c>
      <c r="X269" s="108">
        <v>103904</v>
      </c>
      <c r="Y269" s="108">
        <v>4366</v>
      </c>
      <c r="Z269" s="125">
        <f t="shared" si="42"/>
        <v>4.6983495365136783</v>
      </c>
      <c r="AA269" s="125">
        <f t="shared" si="43"/>
        <v>15.010690551863624</v>
      </c>
      <c r="AB269" s="108">
        <v>10135</v>
      </c>
      <c r="AC269" s="78" t="s">
        <v>1643</v>
      </c>
      <c r="AD269" s="126">
        <v>50688</v>
      </c>
      <c r="AE269" s="108">
        <v>101967</v>
      </c>
      <c r="AF269" s="108">
        <v>6922</v>
      </c>
      <c r="AG269" s="108">
        <v>22115</v>
      </c>
    </row>
    <row r="270" spans="1:33" ht="15.75" thickBot="1" x14ac:dyDescent="0.3">
      <c r="A270" s="44" t="s">
        <v>1169</v>
      </c>
      <c r="B270" s="107" t="s">
        <v>1170</v>
      </c>
      <c r="C270" s="78" t="s">
        <v>803</v>
      </c>
      <c r="D270" s="108">
        <v>27515</v>
      </c>
      <c r="E270" s="108">
        <v>42152</v>
      </c>
      <c r="F270" s="108">
        <v>11393</v>
      </c>
      <c r="G270" s="108">
        <v>81060</v>
      </c>
      <c r="H270" s="125">
        <f t="shared" si="36"/>
        <v>1.2580586164327192</v>
      </c>
      <c r="I270" s="125">
        <f t="shared" si="37"/>
        <v>0.52091811074024963</v>
      </c>
      <c r="J270" s="125">
        <f t="shared" si="38"/>
        <v>3.7062777193543961</v>
      </c>
      <c r="K270" s="125">
        <f t="shared" si="39"/>
        <v>10.742115027829314</v>
      </c>
      <c r="L270" s="126">
        <v>0</v>
      </c>
      <c r="M270" s="108">
        <v>11393</v>
      </c>
      <c r="N270" s="108">
        <v>69667</v>
      </c>
      <c r="O270" s="108">
        <v>81060</v>
      </c>
      <c r="P270" s="108">
        <f t="shared" si="44"/>
        <v>3.7062777193543961</v>
      </c>
      <c r="Q270" s="108">
        <v>35459</v>
      </c>
      <c r="R270" s="108">
        <v>12608</v>
      </c>
      <c r="S270" s="125">
        <f t="shared" si="40"/>
        <v>0.57647112614878149</v>
      </c>
      <c r="T270" s="108">
        <v>44066</v>
      </c>
      <c r="U270" s="125">
        <f t="shared" si="41"/>
        <v>2.0148141374422752</v>
      </c>
      <c r="V270" s="108">
        <v>5641</v>
      </c>
      <c r="W270" s="108">
        <v>7035</v>
      </c>
      <c r="X270" s="108">
        <v>50915</v>
      </c>
      <c r="Y270" s="108">
        <v>0</v>
      </c>
      <c r="Z270" s="125">
        <f t="shared" si="42"/>
        <v>2.3279685428192582</v>
      </c>
      <c r="AA270" s="125">
        <f t="shared" si="43"/>
        <v>6.7472833289159819</v>
      </c>
      <c r="AB270" s="108">
        <v>7176</v>
      </c>
      <c r="AC270" s="78" t="s">
        <v>1643</v>
      </c>
      <c r="AD270" s="126">
        <v>10972</v>
      </c>
      <c r="AE270" s="108">
        <v>48067</v>
      </c>
      <c r="AF270" s="108">
        <v>7546</v>
      </c>
      <c r="AG270" s="108">
        <v>21871</v>
      </c>
    </row>
    <row r="271" spans="1:33" ht="15.75" thickBot="1" x14ac:dyDescent="0.3">
      <c r="A271" s="44" t="s">
        <v>1175</v>
      </c>
      <c r="B271" s="107" t="s">
        <v>1176</v>
      </c>
      <c r="C271" s="78" t="s">
        <v>803</v>
      </c>
      <c r="D271" s="108">
        <v>18575</v>
      </c>
      <c r="E271" s="108">
        <v>26360</v>
      </c>
      <c r="F271" s="108">
        <v>5847</v>
      </c>
      <c r="G271" s="108">
        <v>50782</v>
      </c>
      <c r="H271" s="125">
        <f t="shared" si="36"/>
        <v>1.3658088235294117</v>
      </c>
      <c r="I271" s="125">
        <f t="shared" si="37"/>
        <v>0.4299264705882353</v>
      </c>
      <c r="J271" s="125">
        <f t="shared" si="38"/>
        <v>3.733970588235294</v>
      </c>
      <c r="K271" s="125">
        <f t="shared" si="39"/>
        <v>10.984642007354532</v>
      </c>
      <c r="L271" s="127">
        <v>0</v>
      </c>
      <c r="M271" s="108">
        <v>5847</v>
      </c>
      <c r="N271" s="108">
        <v>44935</v>
      </c>
      <c r="O271" s="108">
        <v>50782</v>
      </c>
      <c r="P271" s="108">
        <f t="shared" si="44"/>
        <v>3.733970588235294</v>
      </c>
      <c r="Q271" s="108">
        <v>45883</v>
      </c>
      <c r="R271" s="108">
        <v>11644</v>
      </c>
      <c r="S271" s="125">
        <f t="shared" si="40"/>
        <v>0.85617647058823532</v>
      </c>
      <c r="T271" s="108">
        <v>7280</v>
      </c>
      <c r="U271" s="125">
        <f t="shared" si="41"/>
        <v>0.53529411764705881</v>
      </c>
      <c r="V271" s="108">
        <v>2356</v>
      </c>
      <c r="W271" s="108">
        <v>6531</v>
      </c>
      <c r="X271" s="108">
        <v>36348</v>
      </c>
      <c r="Y271" s="78" t="s">
        <v>3453</v>
      </c>
      <c r="Z271" s="125">
        <f t="shared" si="42"/>
        <v>2.6726470588235296</v>
      </c>
      <c r="AA271" s="125">
        <f t="shared" si="43"/>
        <v>7.8624269954574952</v>
      </c>
      <c r="AB271" s="108">
        <v>6489</v>
      </c>
      <c r="AC271" s="78" t="s">
        <v>1643</v>
      </c>
      <c r="AD271" s="126">
        <v>6341</v>
      </c>
      <c r="AE271" s="108">
        <v>57527</v>
      </c>
      <c r="AF271" s="108">
        <v>4623</v>
      </c>
      <c r="AG271" s="108">
        <v>13600</v>
      </c>
    </row>
    <row r="272" spans="1:33" ht="15.75" thickBot="1" x14ac:dyDescent="0.3">
      <c r="A272" s="44" t="s">
        <v>1189</v>
      </c>
      <c r="B272" s="107" t="s">
        <v>1190</v>
      </c>
      <c r="C272" s="78" t="s">
        <v>803</v>
      </c>
      <c r="D272" s="108">
        <v>12688</v>
      </c>
      <c r="E272" s="108">
        <v>20944</v>
      </c>
      <c r="F272" s="108">
        <v>7075</v>
      </c>
      <c r="G272" s="108">
        <v>40707</v>
      </c>
      <c r="H272" s="125">
        <f t="shared" si="36"/>
        <v>0.73969568005596686</v>
      </c>
      <c r="I272" s="125">
        <f t="shared" si="37"/>
        <v>0.41246429196058998</v>
      </c>
      <c r="J272" s="125">
        <f t="shared" si="38"/>
        <v>2.3731708738996096</v>
      </c>
      <c r="K272" s="125">
        <f t="shared" si="39"/>
        <v>9.1353231597845603</v>
      </c>
      <c r="L272" s="126">
        <v>0</v>
      </c>
      <c r="M272" s="108">
        <v>7075</v>
      </c>
      <c r="N272" s="108">
        <v>33632</v>
      </c>
      <c r="O272" s="108">
        <v>40707</v>
      </c>
      <c r="P272" s="108">
        <f t="shared" si="44"/>
        <v>2.3731708738996096</v>
      </c>
      <c r="Q272" s="108">
        <v>35756</v>
      </c>
      <c r="R272" s="108">
        <v>30061</v>
      </c>
      <c r="S272" s="125">
        <f t="shared" si="40"/>
        <v>1.752521424823646</v>
      </c>
      <c r="T272" s="108">
        <v>8112</v>
      </c>
      <c r="U272" s="125">
        <f t="shared" si="41"/>
        <v>0.47292018888824111</v>
      </c>
      <c r="V272" s="108">
        <v>2896</v>
      </c>
      <c r="W272" s="108">
        <v>2505</v>
      </c>
      <c r="X272" s="108">
        <v>29300</v>
      </c>
      <c r="Y272" s="108">
        <v>13026</v>
      </c>
      <c r="Z272" s="125">
        <f t="shared" si="42"/>
        <v>1.708156007695447</v>
      </c>
      <c r="AA272" s="125">
        <f t="shared" si="43"/>
        <v>6.5754039497307</v>
      </c>
      <c r="AB272" s="108">
        <v>7654</v>
      </c>
      <c r="AC272" s="78" t="s">
        <v>1643</v>
      </c>
      <c r="AD272" s="126">
        <v>7295</v>
      </c>
      <c r="AE272" s="108">
        <v>65817</v>
      </c>
      <c r="AF272" s="108">
        <v>4456</v>
      </c>
      <c r="AG272" s="108">
        <v>17153</v>
      </c>
    </row>
    <row r="273" spans="1:33" ht="15.75" thickBot="1" x14ac:dyDescent="0.3">
      <c r="A273" s="44" t="s">
        <v>1207</v>
      </c>
      <c r="B273" s="107" t="s">
        <v>1208</v>
      </c>
      <c r="C273" s="78" t="s">
        <v>803</v>
      </c>
      <c r="D273" s="108">
        <v>2059</v>
      </c>
      <c r="E273" s="108">
        <v>1865</v>
      </c>
      <c r="F273" s="108">
        <v>694</v>
      </c>
      <c r="G273" s="108">
        <v>4618</v>
      </c>
      <c r="H273" s="125">
        <f t="shared" si="36"/>
        <v>8.1162048169025183E-2</v>
      </c>
      <c r="I273" s="125">
        <f t="shared" si="37"/>
        <v>2.7356222160905042E-2</v>
      </c>
      <c r="J273" s="125">
        <f t="shared" si="38"/>
        <v>0.18203319011391855</v>
      </c>
      <c r="K273" s="125">
        <f t="shared" si="39"/>
        <v>0.85772659732540857</v>
      </c>
      <c r="L273" s="127">
        <v>0</v>
      </c>
      <c r="M273" s="108">
        <v>694</v>
      </c>
      <c r="N273" s="108">
        <v>3924</v>
      </c>
      <c r="O273" s="108">
        <v>4618</v>
      </c>
      <c r="P273" s="108">
        <f t="shared" si="44"/>
        <v>0.18203319011391855</v>
      </c>
      <c r="Q273" s="108">
        <v>35637</v>
      </c>
      <c r="R273" s="108">
        <v>17451</v>
      </c>
      <c r="S273" s="125">
        <f t="shared" si="40"/>
        <v>0.68788679096535144</v>
      </c>
      <c r="T273" s="108">
        <v>3857</v>
      </c>
      <c r="U273" s="125">
        <f t="shared" si="41"/>
        <v>0.15203594938704718</v>
      </c>
      <c r="V273" s="108">
        <v>1796</v>
      </c>
      <c r="W273" s="108">
        <v>2996</v>
      </c>
      <c r="X273" s="108">
        <v>8926</v>
      </c>
      <c r="Y273" s="108">
        <v>0</v>
      </c>
      <c r="Z273" s="125">
        <f t="shared" si="42"/>
        <v>0.35184674208679884</v>
      </c>
      <c r="AA273" s="125">
        <f t="shared" si="43"/>
        <v>1.6578751857355127</v>
      </c>
      <c r="AB273" s="108">
        <v>9154</v>
      </c>
      <c r="AC273" s="78" t="s">
        <v>1643</v>
      </c>
      <c r="AD273" s="126" t="s">
        <v>3453</v>
      </c>
      <c r="AE273" s="108">
        <v>53088</v>
      </c>
      <c r="AF273" s="108">
        <v>5384</v>
      </c>
      <c r="AG273" s="108">
        <v>25369</v>
      </c>
    </row>
    <row r="274" spans="1:33" ht="15.75" thickBot="1" x14ac:dyDescent="0.3">
      <c r="A274" s="44" t="s">
        <v>1223</v>
      </c>
      <c r="B274" s="107" t="s">
        <v>1224</v>
      </c>
      <c r="C274" s="78" t="s">
        <v>803</v>
      </c>
      <c r="D274" s="108">
        <v>104898</v>
      </c>
      <c r="E274" s="108">
        <v>88352</v>
      </c>
      <c r="F274" s="108">
        <v>212993</v>
      </c>
      <c r="G274" s="108">
        <v>406243</v>
      </c>
      <c r="H274" s="125">
        <f t="shared" si="36"/>
        <v>4.7128223560068294</v>
      </c>
      <c r="I274" s="125">
        <f t="shared" si="37"/>
        <v>9.569278461676701</v>
      </c>
      <c r="J274" s="125">
        <f t="shared" si="38"/>
        <v>18.251550004492767</v>
      </c>
      <c r="K274" s="125">
        <f t="shared" si="39"/>
        <v>63.644524518251608</v>
      </c>
      <c r="L274" s="126">
        <v>990</v>
      </c>
      <c r="M274" s="108">
        <v>213983</v>
      </c>
      <c r="N274" s="108">
        <v>193250</v>
      </c>
      <c r="O274" s="108">
        <v>407233</v>
      </c>
      <c r="P274" s="108">
        <f t="shared" si="44"/>
        <v>18.296028394285202</v>
      </c>
      <c r="Q274" s="108">
        <v>98947</v>
      </c>
      <c r="R274" s="108">
        <v>21496</v>
      </c>
      <c r="S274" s="125">
        <f t="shared" si="40"/>
        <v>0.96576511815976274</v>
      </c>
      <c r="T274" s="108">
        <v>4220</v>
      </c>
      <c r="U274" s="125">
        <f t="shared" si="41"/>
        <v>0.18959475244855784</v>
      </c>
      <c r="V274" s="108">
        <v>1964</v>
      </c>
      <c r="W274" s="108">
        <v>3438</v>
      </c>
      <c r="X274" s="108">
        <v>115000</v>
      </c>
      <c r="Y274" s="108">
        <v>142354</v>
      </c>
      <c r="Z274" s="125">
        <f t="shared" si="42"/>
        <v>5.1666816425554858</v>
      </c>
      <c r="AA274" s="125">
        <f t="shared" si="43"/>
        <v>18.016606611311296</v>
      </c>
      <c r="AB274" s="108">
        <v>15020</v>
      </c>
      <c r="AC274" s="78" t="s">
        <v>1643</v>
      </c>
      <c r="AD274" s="126">
        <v>28600</v>
      </c>
      <c r="AE274" s="108">
        <v>120443</v>
      </c>
      <c r="AF274" s="108">
        <v>6383</v>
      </c>
      <c r="AG274" s="108">
        <v>22258</v>
      </c>
    </row>
    <row r="275" spans="1:33" ht="15.75" thickBot="1" x14ac:dyDescent="0.3">
      <c r="A275" s="44" t="s">
        <v>1235</v>
      </c>
      <c r="B275" s="107" t="s">
        <v>1236</v>
      </c>
      <c r="C275" s="78" t="s">
        <v>803</v>
      </c>
      <c r="D275" s="108">
        <v>61975</v>
      </c>
      <c r="E275" s="108">
        <v>46754</v>
      </c>
      <c r="F275" s="108">
        <v>18726</v>
      </c>
      <c r="G275" s="108">
        <v>127455</v>
      </c>
      <c r="H275" s="125">
        <f t="shared" si="36"/>
        <v>4.2609144035751116</v>
      </c>
      <c r="I275" s="125">
        <f t="shared" si="37"/>
        <v>1.2874527328979031</v>
      </c>
      <c r="J275" s="125">
        <f t="shared" si="38"/>
        <v>8.7628050876589896</v>
      </c>
      <c r="K275" s="125">
        <f t="shared" si="39"/>
        <v>22.427415097659686</v>
      </c>
      <c r="L275" s="126">
        <v>21227</v>
      </c>
      <c r="M275" s="108">
        <v>39953</v>
      </c>
      <c r="N275" s="108">
        <v>108729</v>
      </c>
      <c r="O275" s="108">
        <v>148682</v>
      </c>
      <c r="P275" s="108">
        <f t="shared" si="44"/>
        <v>10.222206943966999</v>
      </c>
      <c r="Q275" s="108">
        <v>51431</v>
      </c>
      <c r="R275" s="108">
        <v>453312</v>
      </c>
      <c r="S275" s="125">
        <f t="shared" si="40"/>
        <v>31.166173942935718</v>
      </c>
      <c r="T275" s="108">
        <v>9689</v>
      </c>
      <c r="U275" s="125">
        <f t="shared" si="41"/>
        <v>0.66613956686146447</v>
      </c>
      <c r="V275" s="108">
        <v>14595</v>
      </c>
      <c r="W275" s="108">
        <v>13193</v>
      </c>
      <c r="X275" s="108">
        <v>52985</v>
      </c>
      <c r="Y275" s="108">
        <v>59278</v>
      </c>
      <c r="Z275" s="125">
        <f t="shared" si="42"/>
        <v>3.6428325885183912</v>
      </c>
      <c r="AA275" s="125">
        <f t="shared" si="43"/>
        <v>9.3234207284884736</v>
      </c>
      <c r="AB275" s="108">
        <v>6494</v>
      </c>
      <c r="AC275" s="78" t="s">
        <v>1643</v>
      </c>
      <c r="AD275" s="126">
        <v>2276</v>
      </c>
      <c r="AE275" s="108">
        <v>504743</v>
      </c>
      <c r="AF275" s="108">
        <v>5683</v>
      </c>
      <c r="AG275" s="108">
        <v>14545</v>
      </c>
    </row>
    <row r="276" spans="1:33" ht="15.75" thickBot="1" x14ac:dyDescent="0.3">
      <c r="A276" s="44" t="s">
        <v>1241</v>
      </c>
      <c r="B276" s="107" t="s">
        <v>1242</v>
      </c>
      <c r="C276" s="78" t="s">
        <v>803</v>
      </c>
      <c r="D276" s="108">
        <v>22764</v>
      </c>
      <c r="E276" s="108">
        <v>27917</v>
      </c>
      <c r="F276" s="108">
        <v>6926</v>
      </c>
      <c r="G276" s="108">
        <v>57607</v>
      </c>
      <c r="H276" s="125">
        <f t="shared" si="36"/>
        <v>1.6922390722569134</v>
      </c>
      <c r="I276" s="125">
        <f t="shared" si="37"/>
        <v>0.51486767766874819</v>
      </c>
      <c r="J276" s="125">
        <f t="shared" si="38"/>
        <v>4.2824115373178708</v>
      </c>
      <c r="K276" s="125">
        <f t="shared" si="39"/>
        <v>11.192345055372062</v>
      </c>
      <c r="L276" s="126">
        <v>8517</v>
      </c>
      <c r="M276" s="108">
        <v>15443</v>
      </c>
      <c r="N276" s="108">
        <v>50681</v>
      </c>
      <c r="O276" s="108">
        <v>66124</v>
      </c>
      <c r="P276" s="108">
        <f t="shared" si="44"/>
        <v>4.9155515908415106</v>
      </c>
      <c r="Q276" s="108">
        <v>44923</v>
      </c>
      <c r="R276" s="108">
        <v>16169</v>
      </c>
      <c r="S276" s="125">
        <f t="shared" si="40"/>
        <v>1.2019774011299436</v>
      </c>
      <c r="T276" s="108">
        <v>3588</v>
      </c>
      <c r="U276" s="125">
        <f t="shared" si="41"/>
        <v>0.26672613737734163</v>
      </c>
      <c r="V276" s="108">
        <v>5818</v>
      </c>
      <c r="W276" s="108">
        <v>9101</v>
      </c>
      <c r="X276" s="108">
        <v>65861</v>
      </c>
      <c r="Y276" s="108">
        <v>42481</v>
      </c>
      <c r="Z276" s="125">
        <f t="shared" si="42"/>
        <v>4.8960005947071066</v>
      </c>
      <c r="AA276" s="125">
        <f t="shared" si="43"/>
        <v>12.795997668544784</v>
      </c>
      <c r="AB276" s="108">
        <v>5595</v>
      </c>
      <c r="AC276" s="78" t="s">
        <v>1643</v>
      </c>
      <c r="AD276" s="126">
        <v>16991</v>
      </c>
      <c r="AE276" s="108">
        <v>61092</v>
      </c>
      <c r="AF276" s="108">
        <v>5147</v>
      </c>
      <c r="AG276" s="108">
        <v>13452</v>
      </c>
    </row>
    <row r="277" spans="1:33" ht="15.75" thickBot="1" x14ac:dyDescent="0.3">
      <c r="A277" s="44" t="s">
        <v>1255</v>
      </c>
      <c r="B277" s="107" t="s">
        <v>1256</v>
      </c>
      <c r="C277" s="78" t="s">
        <v>803</v>
      </c>
      <c r="D277" s="108">
        <v>25855</v>
      </c>
      <c r="E277" s="108">
        <v>96079</v>
      </c>
      <c r="F277" s="108">
        <v>19419</v>
      </c>
      <c r="G277" s="108">
        <v>141353</v>
      </c>
      <c r="H277" s="125">
        <f t="shared" si="36"/>
        <v>1.1243748641008915</v>
      </c>
      <c r="I277" s="125">
        <f t="shared" si="37"/>
        <v>0.84448793215916507</v>
      </c>
      <c r="J277" s="125">
        <f t="shared" si="38"/>
        <v>6.1471189388997605</v>
      </c>
      <c r="K277" s="125">
        <f t="shared" si="39"/>
        <v>15.453482015961518</v>
      </c>
      <c r="L277" s="126">
        <v>19698</v>
      </c>
      <c r="M277" s="108">
        <v>39117</v>
      </c>
      <c r="N277" s="108">
        <v>121934</v>
      </c>
      <c r="O277" s="108">
        <v>161051</v>
      </c>
      <c r="P277" s="108">
        <f t="shared" si="44"/>
        <v>7.0037399434659706</v>
      </c>
      <c r="Q277" s="108">
        <v>105596</v>
      </c>
      <c r="R277" s="108">
        <v>38280</v>
      </c>
      <c r="S277" s="125">
        <f t="shared" si="40"/>
        <v>1.66470971950424</v>
      </c>
      <c r="T277" s="108">
        <v>3159</v>
      </c>
      <c r="U277" s="125">
        <f t="shared" si="41"/>
        <v>0.13737769080234832</v>
      </c>
      <c r="V277" s="108">
        <v>4352</v>
      </c>
      <c r="W277" s="108">
        <v>5486</v>
      </c>
      <c r="X277" s="108">
        <v>77369</v>
      </c>
      <c r="Y277" s="108">
        <v>49617</v>
      </c>
      <c r="Z277" s="125">
        <f t="shared" si="42"/>
        <v>3.3646010002174385</v>
      </c>
      <c r="AA277" s="125">
        <f t="shared" si="43"/>
        <v>8.4584016617470201</v>
      </c>
      <c r="AB277" s="108">
        <v>12597</v>
      </c>
      <c r="AC277" s="78" t="s">
        <v>1643</v>
      </c>
      <c r="AD277" s="126">
        <v>17062</v>
      </c>
      <c r="AE277" s="108">
        <v>143876</v>
      </c>
      <c r="AF277" s="108">
        <v>9147</v>
      </c>
      <c r="AG277" s="108">
        <v>22995</v>
      </c>
    </row>
    <row r="278" spans="1:33" ht="15.75" thickBot="1" x14ac:dyDescent="0.3">
      <c r="A278" s="44" t="s">
        <v>1265</v>
      </c>
      <c r="B278" s="107" t="s">
        <v>1266</v>
      </c>
      <c r="C278" s="78" t="s">
        <v>803</v>
      </c>
      <c r="D278" s="108">
        <v>37144</v>
      </c>
      <c r="E278" s="108">
        <v>74390</v>
      </c>
      <c r="F278" s="108">
        <v>10891</v>
      </c>
      <c r="G278" s="108">
        <v>122425</v>
      </c>
      <c r="H278" s="125">
        <f t="shared" si="36"/>
        <v>2.4848809205244851</v>
      </c>
      <c r="I278" s="125">
        <f t="shared" si="37"/>
        <v>0.72859245383997862</v>
      </c>
      <c r="J278" s="125">
        <f t="shared" si="38"/>
        <v>8.1900588707519404</v>
      </c>
      <c r="K278" s="125">
        <f t="shared" si="39"/>
        <v>19.276491891040781</v>
      </c>
      <c r="L278" s="126">
        <v>0</v>
      </c>
      <c r="M278" s="108">
        <v>10891</v>
      </c>
      <c r="N278" s="108">
        <v>111534</v>
      </c>
      <c r="O278" s="108">
        <v>122425</v>
      </c>
      <c r="P278" s="108">
        <f t="shared" si="44"/>
        <v>8.1900588707519404</v>
      </c>
      <c r="Q278" s="108">
        <v>57502</v>
      </c>
      <c r="R278" s="108">
        <v>13819</v>
      </c>
      <c r="S278" s="125">
        <f t="shared" si="40"/>
        <v>0.92447150120417443</v>
      </c>
      <c r="T278" s="108">
        <v>29098</v>
      </c>
      <c r="U278" s="125">
        <f t="shared" si="41"/>
        <v>1.9466149317634467</v>
      </c>
      <c r="V278" s="108">
        <v>5819</v>
      </c>
      <c r="W278" s="108">
        <v>6329</v>
      </c>
      <c r="X278" s="108">
        <v>119968</v>
      </c>
      <c r="Y278" s="108">
        <v>58194</v>
      </c>
      <c r="Z278" s="125">
        <f t="shared" si="42"/>
        <v>8.025689055392025</v>
      </c>
      <c r="AA278" s="125">
        <f t="shared" si="43"/>
        <v>18.889623681310031</v>
      </c>
      <c r="AB278" s="108">
        <v>49380</v>
      </c>
      <c r="AC278" s="78" t="s">
        <v>1643</v>
      </c>
      <c r="AD278" s="126">
        <v>37000</v>
      </c>
      <c r="AE278" s="108">
        <v>71321</v>
      </c>
      <c r="AF278" s="108">
        <v>6351</v>
      </c>
      <c r="AG278" s="108">
        <v>14948</v>
      </c>
    </row>
    <row r="279" spans="1:33" ht="15.75" thickBot="1" x14ac:dyDescent="0.3">
      <c r="A279" s="44" t="s">
        <v>1269</v>
      </c>
      <c r="B279" s="107" t="s">
        <v>1270</v>
      </c>
      <c r="C279" s="78" t="s">
        <v>803</v>
      </c>
      <c r="D279" s="108">
        <v>49469</v>
      </c>
      <c r="E279" s="108">
        <v>77204</v>
      </c>
      <c r="F279" s="108">
        <v>19044</v>
      </c>
      <c r="G279" s="108">
        <v>145717</v>
      </c>
      <c r="H279" s="125">
        <f t="shared" si="36"/>
        <v>2.6895558092752676</v>
      </c>
      <c r="I279" s="125">
        <f t="shared" si="37"/>
        <v>1.0353938998532051</v>
      </c>
      <c r="J279" s="125">
        <f t="shared" si="38"/>
        <v>7.9224161365736965</v>
      </c>
      <c r="K279" s="125">
        <f t="shared" si="39"/>
        <v>25.058813413585554</v>
      </c>
      <c r="L279" s="126">
        <v>5532</v>
      </c>
      <c r="M279" s="108">
        <v>24576</v>
      </c>
      <c r="N279" s="108">
        <v>126673</v>
      </c>
      <c r="O279" s="108">
        <v>151249</v>
      </c>
      <c r="P279" s="108">
        <f t="shared" si="44"/>
        <v>8.2231827325613001</v>
      </c>
      <c r="Q279" s="108">
        <v>97541</v>
      </c>
      <c r="R279" s="108">
        <v>2175</v>
      </c>
      <c r="S279" s="125">
        <f t="shared" si="40"/>
        <v>0.11825150872614582</v>
      </c>
      <c r="T279" s="108">
        <v>16675</v>
      </c>
      <c r="U279" s="125">
        <f t="shared" si="41"/>
        <v>0.90659490023378464</v>
      </c>
      <c r="V279" s="108">
        <v>4275</v>
      </c>
      <c r="W279" s="108">
        <v>4225</v>
      </c>
      <c r="X279" s="108">
        <v>95353</v>
      </c>
      <c r="Y279" s="108">
        <v>164712</v>
      </c>
      <c r="Z279" s="125">
        <f t="shared" si="42"/>
        <v>5.1842005110639917</v>
      </c>
      <c r="AA279" s="125">
        <f t="shared" si="43"/>
        <v>16.397764402407567</v>
      </c>
      <c r="AB279" s="108">
        <v>11792</v>
      </c>
      <c r="AC279" s="78" t="s">
        <v>1643</v>
      </c>
      <c r="AD279" s="126">
        <v>15000</v>
      </c>
      <c r="AE279" s="108">
        <v>99716</v>
      </c>
      <c r="AF279" s="108">
        <v>5815</v>
      </c>
      <c r="AG279" s="108">
        <v>18393</v>
      </c>
    </row>
    <row r="280" spans="1:33" ht="15.75" thickBot="1" x14ac:dyDescent="0.3">
      <c r="A280" s="44" t="s">
        <v>1281</v>
      </c>
      <c r="B280" s="107" t="s">
        <v>1282</v>
      </c>
      <c r="C280" s="78" t="s">
        <v>803</v>
      </c>
      <c r="D280" s="108">
        <v>31627</v>
      </c>
      <c r="E280" s="108">
        <v>48983</v>
      </c>
      <c r="F280" s="108">
        <v>3042</v>
      </c>
      <c r="G280" s="108">
        <v>83652</v>
      </c>
      <c r="H280" s="125">
        <f t="shared" si="36"/>
        <v>2.1987625139043381</v>
      </c>
      <c r="I280" s="125">
        <f t="shared" si="37"/>
        <v>0.21148498331479421</v>
      </c>
      <c r="J280" s="125">
        <f t="shared" si="38"/>
        <v>5.8156284760845383</v>
      </c>
      <c r="K280" s="125">
        <f t="shared" si="39"/>
        <v>21.990536277602523</v>
      </c>
      <c r="L280" s="126">
        <v>300</v>
      </c>
      <c r="M280" s="108">
        <v>3342</v>
      </c>
      <c r="N280" s="108">
        <v>80610</v>
      </c>
      <c r="O280" s="108">
        <v>83952</v>
      </c>
      <c r="P280" s="108">
        <f t="shared" si="44"/>
        <v>5.8364849833147945</v>
      </c>
      <c r="Q280" s="108">
        <v>52160</v>
      </c>
      <c r="R280" s="108">
        <v>13052</v>
      </c>
      <c r="S280" s="125">
        <f t="shared" si="40"/>
        <v>0.90739710789766403</v>
      </c>
      <c r="T280" s="108">
        <v>2965</v>
      </c>
      <c r="U280" s="125">
        <f t="shared" si="41"/>
        <v>0.20613181312569523</v>
      </c>
      <c r="V280" s="108">
        <v>2354</v>
      </c>
      <c r="W280" s="108">
        <v>3300</v>
      </c>
      <c r="X280" s="108">
        <v>74676</v>
      </c>
      <c r="Y280" s="108">
        <v>18773</v>
      </c>
      <c r="Z280" s="125">
        <f t="shared" si="42"/>
        <v>5.1916017797552838</v>
      </c>
      <c r="AA280" s="125">
        <f t="shared" si="43"/>
        <v>19.630914826498422</v>
      </c>
      <c r="AB280" s="108">
        <v>5141</v>
      </c>
      <c r="AC280" s="78" t="s">
        <v>1643</v>
      </c>
      <c r="AD280" s="126">
        <v>8930</v>
      </c>
      <c r="AE280" s="108">
        <v>65212</v>
      </c>
      <c r="AF280" s="108">
        <v>3804</v>
      </c>
      <c r="AG280" s="108">
        <v>14384</v>
      </c>
    </row>
    <row r="281" spans="1:33" ht="15.75" thickBot="1" x14ac:dyDescent="0.3">
      <c r="A281" s="44" t="s">
        <v>1285</v>
      </c>
      <c r="B281" s="107" t="s">
        <v>1286</v>
      </c>
      <c r="C281" s="78" t="s">
        <v>803</v>
      </c>
      <c r="D281" s="108">
        <v>35388</v>
      </c>
      <c r="E281" s="108">
        <v>35815</v>
      </c>
      <c r="F281" s="108">
        <v>8424</v>
      </c>
      <c r="G281" s="108">
        <v>79627</v>
      </c>
      <c r="H281" s="125">
        <f t="shared" si="36"/>
        <v>2.0209011478499228</v>
      </c>
      <c r="I281" s="125">
        <f t="shared" si="37"/>
        <v>0.48106904231625836</v>
      </c>
      <c r="J281" s="125">
        <f t="shared" si="38"/>
        <v>4.5472560105076809</v>
      </c>
      <c r="K281" s="125">
        <f t="shared" si="39"/>
        <v>14.7239275147929</v>
      </c>
      <c r="L281" s="126">
        <v>0</v>
      </c>
      <c r="M281" s="108">
        <v>8424</v>
      </c>
      <c r="N281" s="108">
        <v>71203</v>
      </c>
      <c r="O281" s="108">
        <v>79627</v>
      </c>
      <c r="P281" s="108">
        <f t="shared" si="44"/>
        <v>4.5472560105076809</v>
      </c>
      <c r="Q281" s="108">
        <v>41182</v>
      </c>
      <c r="R281" s="108">
        <v>35296</v>
      </c>
      <c r="S281" s="125">
        <f t="shared" si="40"/>
        <v>2.0156473074067729</v>
      </c>
      <c r="T281" s="108">
        <v>5368</v>
      </c>
      <c r="U281" s="125">
        <f t="shared" si="41"/>
        <v>0.30655016846553595</v>
      </c>
      <c r="V281" s="108">
        <v>4581</v>
      </c>
      <c r="W281" s="108">
        <v>4462</v>
      </c>
      <c r="X281" s="108">
        <v>48196</v>
      </c>
      <c r="Y281" s="108">
        <v>29666</v>
      </c>
      <c r="Z281" s="125">
        <f t="shared" si="42"/>
        <v>2.7523271086745473</v>
      </c>
      <c r="AA281" s="125">
        <f t="shared" si="43"/>
        <v>8.9119822485207099</v>
      </c>
      <c r="AB281" s="108">
        <v>9953</v>
      </c>
      <c r="AC281" s="78" t="s">
        <v>1643</v>
      </c>
      <c r="AD281" s="126">
        <v>7121</v>
      </c>
      <c r="AE281" s="108">
        <v>76478</v>
      </c>
      <c r="AF281" s="108">
        <v>5408</v>
      </c>
      <c r="AG281" s="108">
        <v>17511</v>
      </c>
    </row>
    <row r="282" spans="1:33" ht="15.75" thickBot="1" x14ac:dyDescent="0.3">
      <c r="A282" s="44" t="s">
        <v>1287</v>
      </c>
      <c r="B282" s="107" t="s">
        <v>1288</v>
      </c>
      <c r="C282" s="78" t="s">
        <v>803</v>
      </c>
      <c r="D282" s="108">
        <v>94655</v>
      </c>
      <c r="E282" s="108">
        <v>71391</v>
      </c>
      <c r="F282" s="108">
        <v>10829</v>
      </c>
      <c r="G282" s="108">
        <v>176875</v>
      </c>
      <c r="H282" s="125">
        <f t="shared" si="36"/>
        <v>6.0151881037112354</v>
      </c>
      <c r="I282" s="125">
        <f t="shared" si="37"/>
        <v>0.68816725978647686</v>
      </c>
      <c r="J282" s="125">
        <f t="shared" si="38"/>
        <v>11.24014997458058</v>
      </c>
      <c r="K282" s="125">
        <f t="shared" si="39"/>
        <v>24.82456140350877</v>
      </c>
      <c r="L282" s="126">
        <v>0</v>
      </c>
      <c r="M282" s="108">
        <v>10829</v>
      </c>
      <c r="N282" s="108">
        <v>166046</v>
      </c>
      <c r="O282" s="108">
        <v>176875</v>
      </c>
      <c r="P282" s="108">
        <f t="shared" si="44"/>
        <v>11.24014997458058</v>
      </c>
      <c r="Q282" s="108">
        <v>78668</v>
      </c>
      <c r="R282" s="108">
        <v>21911</v>
      </c>
      <c r="S282" s="125">
        <f t="shared" si="40"/>
        <v>1.3924123029994917</v>
      </c>
      <c r="T282" s="108">
        <v>21498</v>
      </c>
      <c r="U282" s="125">
        <f t="shared" si="41"/>
        <v>1.3661667513980682</v>
      </c>
      <c r="V282" s="108">
        <v>16660</v>
      </c>
      <c r="W282" s="108">
        <v>14563</v>
      </c>
      <c r="X282" s="108">
        <v>125609</v>
      </c>
      <c r="Y282" s="108">
        <v>118905</v>
      </c>
      <c r="Z282" s="125">
        <f t="shared" si="42"/>
        <v>7.9822699542450435</v>
      </c>
      <c r="AA282" s="125">
        <f t="shared" si="43"/>
        <v>17.629333333333335</v>
      </c>
      <c r="AB282" s="108">
        <v>10907</v>
      </c>
      <c r="AC282" s="78" t="s">
        <v>1643</v>
      </c>
      <c r="AD282" s="126">
        <v>8250</v>
      </c>
      <c r="AE282" s="108">
        <v>100579</v>
      </c>
      <c r="AF282" s="108">
        <v>7125</v>
      </c>
      <c r="AG282" s="108">
        <v>15736</v>
      </c>
    </row>
    <row r="283" spans="1:33" ht="15.75" thickBot="1" x14ac:dyDescent="0.3">
      <c r="A283" s="44" t="s">
        <v>1291</v>
      </c>
      <c r="B283" s="107" t="s">
        <v>1292</v>
      </c>
      <c r="C283" s="78" t="s">
        <v>803</v>
      </c>
      <c r="D283" s="108">
        <v>7360</v>
      </c>
      <c r="E283" s="108">
        <v>1690</v>
      </c>
      <c r="F283" s="108">
        <v>3775</v>
      </c>
      <c r="G283" s="108">
        <v>12825</v>
      </c>
      <c r="H283" s="125">
        <f t="shared" si="36"/>
        <v>0.56196075437123005</v>
      </c>
      <c r="I283" s="125">
        <f t="shared" si="37"/>
        <v>0.28823394670535235</v>
      </c>
      <c r="J283" s="125">
        <f t="shared" si="38"/>
        <v>0.97923188516454152</v>
      </c>
      <c r="K283" s="125">
        <f t="shared" si="39"/>
        <v>2.5882946518668013</v>
      </c>
      <c r="L283" s="126">
        <v>3500</v>
      </c>
      <c r="M283" s="108">
        <v>7275</v>
      </c>
      <c r="N283" s="108">
        <v>9050</v>
      </c>
      <c r="O283" s="108">
        <v>16325</v>
      </c>
      <c r="P283" s="108">
        <f t="shared" si="44"/>
        <v>1.2464686569443384</v>
      </c>
      <c r="Q283" s="108">
        <v>37464</v>
      </c>
      <c r="R283" s="108">
        <v>28898</v>
      </c>
      <c r="S283" s="125">
        <f t="shared" si="40"/>
        <v>2.2064594945407343</v>
      </c>
      <c r="T283" s="108">
        <v>1500</v>
      </c>
      <c r="U283" s="125">
        <f t="shared" si="41"/>
        <v>0.11453004504848438</v>
      </c>
      <c r="V283" s="108">
        <v>940</v>
      </c>
      <c r="W283" s="108">
        <v>1250</v>
      </c>
      <c r="X283" s="108">
        <v>44650</v>
      </c>
      <c r="Y283" s="108">
        <v>8895</v>
      </c>
      <c r="Z283" s="125">
        <f t="shared" si="42"/>
        <v>3.4091776742765521</v>
      </c>
      <c r="AA283" s="125">
        <f t="shared" si="43"/>
        <v>9.0110998990918265</v>
      </c>
      <c r="AB283" s="108">
        <v>4680</v>
      </c>
      <c r="AC283" s="78" t="s">
        <v>1643</v>
      </c>
      <c r="AD283" s="126">
        <v>6200</v>
      </c>
      <c r="AE283" s="108">
        <v>66362</v>
      </c>
      <c r="AF283" s="108">
        <v>4955</v>
      </c>
      <c r="AG283" s="108">
        <v>13097</v>
      </c>
    </row>
    <row r="284" spans="1:33" ht="15.75" thickBot="1" x14ac:dyDescent="0.3">
      <c r="A284" s="44" t="s">
        <v>1301</v>
      </c>
      <c r="B284" s="107" t="s">
        <v>1302</v>
      </c>
      <c r="C284" s="78" t="s">
        <v>803</v>
      </c>
      <c r="D284" s="108">
        <v>24534</v>
      </c>
      <c r="E284" s="108">
        <v>56569</v>
      </c>
      <c r="F284" s="108">
        <v>5463</v>
      </c>
      <c r="G284" s="108">
        <v>86566</v>
      </c>
      <c r="H284" s="125">
        <f t="shared" si="36"/>
        <v>1.0733692085575535</v>
      </c>
      <c r="I284" s="125">
        <f t="shared" si="37"/>
        <v>0.23900774379839873</v>
      </c>
      <c r="J284" s="125">
        <f t="shared" si="38"/>
        <v>3.7872861705385659</v>
      </c>
      <c r="K284" s="125">
        <f t="shared" si="39"/>
        <v>21.09307992202729</v>
      </c>
      <c r="L284" s="126">
        <v>0</v>
      </c>
      <c r="M284" s="108">
        <v>5463</v>
      </c>
      <c r="N284" s="108">
        <v>81103</v>
      </c>
      <c r="O284" s="108">
        <v>86566</v>
      </c>
      <c r="P284" s="108">
        <f t="shared" si="44"/>
        <v>3.7872861705385659</v>
      </c>
      <c r="Q284" s="108">
        <v>115093</v>
      </c>
      <c r="R284" s="108">
        <v>14011</v>
      </c>
      <c r="S284" s="125">
        <f t="shared" si="40"/>
        <v>0.61298508115675721</v>
      </c>
      <c r="T284" s="108">
        <v>5216</v>
      </c>
      <c r="U284" s="125">
        <f t="shared" si="41"/>
        <v>0.22820142625891413</v>
      </c>
      <c r="V284" s="108">
        <v>7413</v>
      </c>
      <c r="W284" s="108">
        <v>8811</v>
      </c>
      <c r="X284" s="108">
        <v>121973</v>
      </c>
      <c r="Y284" s="108">
        <v>41020</v>
      </c>
      <c r="Z284" s="125">
        <f t="shared" si="42"/>
        <v>5.3363521022006388</v>
      </c>
      <c r="AA284" s="125">
        <f t="shared" si="43"/>
        <v>29.720516569200779</v>
      </c>
      <c r="AB284" s="108">
        <v>21133</v>
      </c>
      <c r="AC284" s="78" t="s">
        <v>1643</v>
      </c>
      <c r="AD284" s="126">
        <v>43415</v>
      </c>
      <c r="AE284" s="108">
        <v>129104</v>
      </c>
      <c r="AF284" s="108">
        <v>4104</v>
      </c>
      <c r="AG284" s="108">
        <v>22857</v>
      </c>
    </row>
    <row r="285" spans="1:33" ht="15.75" thickBot="1" x14ac:dyDescent="0.3">
      <c r="A285" s="44" t="s">
        <v>1315</v>
      </c>
      <c r="B285" s="107" t="s">
        <v>1316</v>
      </c>
      <c r="C285" s="78" t="s">
        <v>803</v>
      </c>
      <c r="D285" s="108">
        <v>52914</v>
      </c>
      <c r="E285" s="108">
        <v>81804</v>
      </c>
      <c r="F285" s="108">
        <v>16066</v>
      </c>
      <c r="G285" s="108">
        <v>150784</v>
      </c>
      <c r="H285" s="125">
        <f t="shared" si="36"/>
        <v>2.0600327026395702</v>
      </c>
      <c r="I285" s="125">
        <f t="shared" si="37"/>
        <v>0.62547691349373202</v>
      </c>
      <c r="J285" s="125">
        <f t="shared" si="38"/>
        <v>5.8702795297048977</v>
      </c>
      <c r="K285" s="125">
        <f t="shared" si="39"/>
        <v>7.452748121787268</v>
      </c>
      <c r="L285" s="126">
        <v>3</v>
      </c>
      <c r="M285" s="108">
        <v>16069</v>
      </c>
      <c r="N285" s="108">
        <v>134718</v>
      </c>
      <c r="O285" s="108">
        <v>150787</v>
      </c>
      <c r="P285" s="108">
        <f t="shared" si="44"/>
        <v>5.8703963248462196</v>
      </c>
      <c r="Q285" s="108">
        <v>80288</v>
      </c>
      <c r="R285" s="108">
        <v>15208</v>
      </c>
      <c r="S285" s="125">
        <f t="shared" si="40"/>
        <v>0.59207350307560536</v>
      </c>
      <c r="T285" s="108">
        <v>30276</v>
      </c>
      <c r="U285" s="125">
        <f t="shared" si="41"/>
        <v>1.178696566222845</v>
      </c>
      <c r="V285" s="108">
        <v>12870</v>
      </c>
      <c r="W285" s="108">
        <v>13554</v>
      </c>
      <c r="X285" s="108">
        <v>127013</v>
      </c>
      <c r="Y285" s="108">
        <v>0</v>
      </c>
      <c r="Z285" s="125">
        <f t="shared" si="42"/>
        <v>4.9448337615821849</v>
      </c>
      <c r="AA285" s="125">
        <f t="shared" si="43"/>
        <v>6.2778272044286281</v>
      </c>
      <c r="AB285" s="108">
        <v>26188</v>
      </c>
      <c r="AC285" s="78" t="s">
        <v>1643</v>
      </c>
      <c r="AD285" s="126" t="s">
        <v>3453</v>
      </c>
      <c r="AE285" s="108">
        <v>95496</v>
      </c>
      <c r="AF285" s="108">
        <v>20232</v>
      </c>
      <c r="AG285" s="108">
        <v>25686</v>
      </c>
    </row>
    <row r="286" spans="1:33" ht="15.75" thickBot="1" x14ac:dyDescent="0.3">
      <c r="A286" s="44" t="s">
        <v>1331</v>
      </c>
      <c r="B286" s="107" t="s">
        <v>1332</v>
      </c>
      <c r="C286" s="78" t="s">
        <v>803</v>
      </c>
      <c r="D286" s="108">
        <v>9428</v>
      </c>
      <c r="E286" s="108">
        <v>53450</v>
      </c>
      <c r="F286" s="108">
        <v>3287</v>
      </c>
      <c r="G286" s="108">
        <v>66165</v>
      </c>
      <c r="H286" s="125">
        <f t="shared" si="36"/>
        <v>0.75057718334527501</v>
      </c>
      <c r="I286" s="125">
        <f t="shared" si="37"/>
        <v>0.26168298702332615</v>
      </c>
      <c r="J286" s="125">
        <f t="shared" si="38"/>
        <v>5.2674946262240265</v>
      </c>
      <c r="K286" s="125">
        <f t="shared" si="39"/>
        <v>16.767612772427775</v>
      </c>
      <c r="L286" s="126">
        <v>0</v>
      </c>
      <c r="M286" s="108">
        <v>3287</v>
      </c>
      <c r="N286" s="108">
        <v>62878</v>
      </c>
      <c r="O286" s="108">
        <v>66165</v>
      </c>
      <c r="P286" s="108">
        <f t="shared" si="44"/>
        <v>5.2674946262240265</v>
      </c>
      <c r="Q286" s="108">
        <v>85376</v>
      </c>
      <c r="R286" s="108">
        <v>17975</v>
      </c>
      <c r="S286" s="125">
        <f t="shared" si="40"/>
        <v>1.4310166388026431</v>
      </c>
      <c r="T286" s="108">
        <v>9423</v>
      </c>
      <c r="U286" s="125">
        <f t="shared" si="41"/>
        <v>0.75017912586577506</v>
      </c>
      <c r="V286" s="108">
        <v>1638</v>
      </c>
      <c r="W286" s="108">
        <v>1686</v>
      </c>
      <c r="X286" s="108">
        <v>16312</v>
      </c>
      <c r="Y286" s="108">
        <v>52281</v>
      </c>
      <c r="Z286" s="125">
        <f t="shared" si="42"/>
        <v>1.2986227211209298</v>
      </c>
      <c r="AA286" s="125">
        <f t="shared" si="43"/>
        <v>4.1338063862138874</v>
      </c>
      <c r="AB286" s="108">
        <v>8523</v>
      </c>
      <c r="AC286" s="78" t="s">
        <v>1643</v>
      </c>
      <c r="AD286" s="126">
        <v>4231</v>
      </c>
      <c r="AE286" s="108">
        <v>103351</v>
      </c>
      <c r="AF286" s="108">
        <v>3946</v>
      </c>
      <c r="AG286" s="108">
        <v>12561</v>
      </c>
    </row>
    <row r="287" spans="1:33" ht="15.75" thickBot="1" x14ac:dyDescent="0.3">
      <c r="A287" s="44" t="s">
        <v>1341</v>
      </c>
      <c r="B287" s="107" t="s">
        <v>1342</v>
      </c>
      <c r="C287" s="78" t="s">
        <v>803</v>
      </c>
      <c r="D287" s="108">
        <v>26382</v>
      </c>
      <c r="E287" s="108">
        <v>65077</v>
      </c>
      <c r="F287" s="108">
        <v>64765</v>
      </c>
      <c r="G287" s="108">
        <v>156224</v>
      </c>
      <c r="H287" s="125">
        <f t="shared" si="36"/>
        <v>1.0917894388346301</v>
      </c>
      <c r="I287" s="125">
        <f t="shared" si="37"/>
        <v>2.6802267836450917</v>
      </c>
      <c r="J287" s="125">
        <f t="shared" si="38"/>
        <v>6.4651547756993875</v>
      </c>
      <c r="K287" s="125">
        <f t="shared" si="39"/>
        <v>8.4317789291882548</v>
      </c>
      <c r="L287" s="126">
        <v>167713</v>
      </c>
      <c r="M287" s="108">
        <v>232478</v>
      </c>
      <c r="N287" s="108">
        <v>91459</v>
      </c>
      <c r="O287" s="108">
        <v>323937</v>
      </c>
      <c r="P287" s="108">
        <f t="shared" si="44"/>
        <v>13.405768912431716</v>
      </c>
      <c r="Q287" s="108">
        <v>92906</v>
      </c>
      <c r="R287" s="108">
        <v>44174</v>
      </c>
      <c r="S287" s="125">
        <f t="shared" si="40"/>
        <v>1.8280913756000663</v>
      </c>
      <c r="T287" s="108">
        <v>10001</v>
      </c>
      <c r="U287" s="125">
        <f t="shared" si="41"/>
        <v>0.41388015229266678</v>
      </c>
      <c r="V287" s="108">
        <v>3060</v>
      </c>
      <c r="W287" s="108">
        <v>4266</v>
      </c>
      <c r="X287" s="108">
        <v>86971</v>
      </c>
      <c r="Y287" s="108">
        <v>106971</v>
      </c>
      <c r="Z287" s="125">
        <f t="shared" si="42"/>
        <v>3.5991971527892734</v>
      </c>
      <c r="AA287" s="125">
        <f t="shared" si="43"/>
        <v>4.6940306563039726</v>
      </c>
      <c r="AB287" s="108">
        <v>18642</v>
      </c>
      <c r="AC287" s="78" t="s">
        <v>1643</v>
      </c>
      <c r="AD287" s="126">
        <v>23023</v>
      </c>
      <c r="AE287" s="108">
        <v>137080</v>
      </c>
      <c r="AF287" s="108">
        <v>18528</v>
      </c>
      <c r="AG287" s="108">
        <v>24164</v>
      </c>
    </row>
    <row r="288" spans="1:33" ht="15.75" thickBot="1" x14ac:dyDescent="0.3">
      <c r="A288" s="44" t="s">
        <v>1343</v>
      </c>
      <c r="B288" s="107" t="s">
        <v>1344</v>
      </c>
      <c r="C288" s="78" t="s">
        <v>803</v>
      </c>
      <c r="D288" s="108">
        <v>41115</v>
      </c>
      <c r="E288" s="108">
        <v>51340</v>
      </c>
      <c r="F288" s="108">
        <v>51108</v>
      </c>
      <c r="G288" s="108">
        <v>143563</v>
      </c>
      <c r="H288" s="125">
        <f t="shared" si="36"/>
        <v>2.8893183415319745</v>
      </c>
      <c r="I288" s="125">
        <f t="shared" si="37"/>
        <v>3.5915671117357695</v>
      </c>
      <c r="J288" s="125">
        <f t="shared" si="38"/>
        <v>10.088756148981027</v>
      </c>
      <c r="K288" s="125">
        <f t="shared" si="39"/>
        <v>8.5535629170638696</v>
      </c>
      <c r="L288" s="126">
        <v>10724</v>
      </c>
      <c r="M288" s="108">
        <v>61832</v>
      </c>
      <c r="N288" s="108">
        <v>92455</v>
      </c>
      <c r="O288" s="108">
        <v>154287</v>
      </c>
      <c r="P288" s="108">
        <f t="shared" si="44"/>
        <v>10.842375263527758</v>
      </c>
      <c r="Q288" s="108">
        <v>46217</v>
      </c>
      <c r="R288" s="108">
        <v>32664</v>
      </c>
      <c r="S288" s="125">
        <f t="shared" si="40"/>
        <v>2.2954321855235418</v>
      </c>
      <c r="T288" s="108">
        <v>4316</v>
      </c>
      <c r="U288" s="125">
        <f t="shared" si="41"/>
        <v>0.30330288123682358</v>
      </c>
      <c r="V288" s="108">
        <v>2009</v>
      </c>
      <c r="W288" s="108">
        <v>4547</v>
      </c>
      <c r="X288" s="108">
        <v>106362</v>
      </c>
      <c r="Y288" s="108">
        <v>35464</v>
      </c>
      <c r="Z288" s="125">
        <f t="shared" si="42"/>
        <v>7.4744905130007027</v>
      </c>
      <c r="AA288" s="125">
        <f t="shared" si="43"/>
        <v>6.33710676835081</v>
      </c>
      <c r="AB288" s="108">
        <v>13809</v>
      </c>
      <c r="AC288" s="78" t="s">
        <v>1643</v>
      </c>
      <c r="AD288" s="126">
        <v>12097</v>
      </c>
      <c r="AE288" s="108">
        <v>78881</v>
      </c>
      <c r="AF288" s="108">
        <v>16784</v>
      </c>
      <c r="AG288" s="108">
        <v>14230</v>
      </c>
    </row>
    <row r="289" spans="1:33" ht="15.75" thickBot="1" x14ac:dyDescent="0.3">
      <c r="A289" s="44" t="s">
        <v>1347</v>
      </c>
      <c r="B289" s="107" t="s">
        <v>1348</v>
      </c>
      <c r="C289" s="78" t="s">
        <v>803</v>
      </c>
      <c r="D289" s="108">
        <v>73992</v>
      </c>
      <c r="E289" s="108">
        <v>137751</v>
      </c>
      <c r="F289" s="108">
        <v>22443</v>
      </c>
      <c r="G289" s="108">
        <v>234186</v>
      </c>
      <c r="H289" s="125">
        <f t="shared" si="36"/>
        <v>3.6047939199064603</v>
      </c>
      <c r="I289" s="125">
        <f t="shared" si="37"/>
        <v>1.0933937445191464</v>
      </c>
      <c r="J289" s="125">
        <f t="shared" si="38"/>
        <v>11.409237065185618</v>
      </c>
      <c r="K289" s="125">
        <f t="shared" si="39"/>
        <v>25.350292271054339</v>
      </c>
      <c r="L289" s="126">
        <v>42109</v>
      </c>
      <c r="M289" s="108">
        <v>64552</v>
      </c>
      <c r="N289" s="108">
        <v>211743</v>
      </c>
      <c r="O289" s="108">
        <v>276295</v>
      </c>
      <c r="P289" s="108">
        <f t="shared" si="44"/>
        <v>13.460732729221474</v>
      </c>
      <c r="Q289" s="108">
        <v>80629</v>
      </c>
      <c r="R289" s="108">
        <v>22359</v>
      </c>
      <c r="S289" s="125">
        <f t="shared" si="40"/>
        <v>1.0893013738672903</v>
      </c>
      <c r="T289" s="108">
        <v>23463</v>
      </c>
      <c r="U289" s="125">
        <f t="shared" si="41"/>
        <v>1.1430868167202572</v>
      </c>
      <c r="V289" s="108">
        <v>14179</v>
      </c>
      <c r="W289" s="108">
        <v>17009</v>
      </c>
      <c r="X289" s="108">
        <v>198005</v>
      </c>
      <c r="Y289" s="108">
        <v>0</v>
      </c>
      <c r="Z289" s="125">
        <f t="shared" si="42"/>
        <v>9.6465458442950407</v>
      </c>
      <c r="AA289" s="125">
        <f t="shared" si="43"/>
        <v>21.433751894349427</v>
      </c>
      <c r="AB289" s="108">
        <v>10210</v>
      </c>
      <c r="AC289" s="78" t="s">
        <v>1643</v>
      </c>
      <c r="AD289" s="126">
        <v>7430</v>
      </c>
      <c r="AE289" s="108">
        <v>102988</v>
      </c>
      <c r="AF289" s="108">
        <v>9238</v>
      </c>
      <c r="AG289" s="108">
        <v>20526</v>
      </c>
    </row>
    <row r="290" spans="1:33" ht="15.75" thickBot="1" x14ac:dyDescent="0.3">
      <c r="A290" s="44" t="s">
        <v>1355</v>
      </c>
      <c r="B290" s="107" t="s">
        <v>1356</v>
      </c>
      <c r="C290" s="78" t="s">
        <v>803</v>
      </c>
      <c r="D290" s="108">
        <v>34314</v>
      </c>
      <c r="E290" s="108">
        <v>55856</v>
      </c>
      <c r="F290" s="108">
        <v>8332</v>
      </c>
      <c r="G290" s="108">
        <v>98502</v>
      </c>
      <c r="H290" s="125">
        <f t="shared" si="36"/>
        <v>2.5269902054643198</v>
      </c>
      <c r="I290" s="125">
        <f t="shared" si="37"/>
        <v>0.61359452095146916</v>
      </c>
      <c r="J290" s="125">
        <f t="shared" si="38"/>
        <v>7.253995139553723</v>
      </c>
      <c r="K290" s="125">
        <f t="shared" si="39"/>
        <v>10.508000853424365</v>
      </c>
      <c r="L290" s="126">
        <v>3</v>
      </c>
      <c r="M290" s="108">
        <v>8335</v>
      </c>
      <c r="N290" s="108">
        <v>90170</v>
      </c>
      <c r="O290" s="108">
        <v>98505</v>
      </c>
      <c r="P290" s="108">
        <f t="shared" si="44"/>
        <v>7.2542160689299653</v>
      </c>
      <c r="Q290" s="108">
        <v>48097</v>
      </c>
      <c r="R290" s="108">
        <v>21817</v>
      </c>
      <c r="S290" s="125">
        <f t="shared" si="40"/>
        <v>1.6066720671625303</v>
      </c>
      <c r="T290" s="108">
        <v>3000</v>
      </c>
      <c r="U290" s="125">
        <f t="shared" si="41"/>
        <v>0.22092937624272774</v>
      </c>
      <c r="V290" s="108">
        <v>1207</v>
      </c>
      <c r="W290" s="108">
        <v>1451</v>
      </c>
      <c r="X290" s="108">
        <v>75446</v>
      </c>
      <c r="Y290" s="78" t="s">
        <v>3453</v>
      </c>
      <c r="Z290" s="125">
        <f t="shared" si="42"/>
        <v>5.556079240002946</v>
      </c>
      <c r="AA290" s="125">
        <f t="shared" si="43"/>
        <v>8.0484318327288236</v>
      </c>
      <c r="AB290" s="108">
        <v>9921</v>
      </c>
      <c r="AC290" s="78" t="s">
        <v>1643</v>
      </c>
      <c r="AD290" s="126" t="s">
        <v>3453</v>
      </c>
      <c r="AE290" s="108">
        <v>69914</v>
      </c>
      <c r="AF290" s="108">
        <v>9374</v>
      </c>
      <c r="AG290" s="108">
        <v>13579</v>
      </c>
    </row>
    <row r="291" spans="1:33" ht="15.75" thickBot="1" x14ac:dyDescent="0.3">
      <c r="A291" s="44" t="s">
        <v>1365</v>
      </c>
      <c r="B291" s="107" t="s">
        <v>1366</v>
      </c>
      <c r="C291" s="78" t="s">
        <v>803</v>
      </c>
      <c r="D291" s="108">
        <v>64315</v>
      </c>
      <c r="E291" s="108">
        <v>81608</v>
      </c>
      <c r="F291" s="108">
        <v>22724</v>
      </c>
      <c r="G291" s="108">
        <v>168647</v>
      </c>
      <c r="H291" s="125">
        <f t="shared" si="36"/>
        <v>3.8491232270034113</v>
      </c>
      <c r="I291" s="125">
        <f t="shared" si="37"/>
        <v>1.3599856364833323</v>
      </c>
      <c r="J291" s="125">
        <f t="shared" si="38"/>
        <v>10.093183314381472</v>
      </c>
      <c r="K291" s="125">
        <f t="shared" si="39"/>
        <v>23.067569415948572</v>
      </c>
      <c r="L291" s="126">
        <v>3107</v>
      </c>
      <c r="M291" s="108">
        <v>25831</v>
      </c>
      <c r="N291" s="108">
        <v>145923</v>
      </c>
      <c r="O291" s="108">
        <v>171754</v>
      </c>
      <c r="P291" s="108">
        <f t="shared" si="44"/>
        <v>10.279131007241606</v>
      </c>
      <c r="Q291" s="108">
        <v>69582</v>
      </c>
      <c r="R291" s="108">
        <v>23964</v>
      </c>
      <c r="S291" s="125">
        <f t="shared" si="40"/>
        <v>1.4341971392662638</v>
      </c>
      <c r="T291" s="108">
        <v>6186</v>
      </c>
      <c r="U291" s="125">
        <f t="shared" si="41"/>
        <v>0.37021964210904301</v>
      </c>
      <c r="V291" s="108">
        <v>11128</v>
      </c>
      <c r="W291" s="108">
        <v>16354</v>
      </c>
      <c r="X291" s="108">
        <v>103167</v>
      </c>
      <c r="Y291" s="108">
        <v>107667</v>
      </c>
      <c r="Z291" s="125">
        <f t="shared" si="42"/>
        <v>6.1743371835537735</v>
      </c>
      <c r="AA291" s="125">
        <f t="shared" si="43"/>
        <v>14.111202297907264</v>
      </c>
      <c r="AB291" s="108">
        <v>13625</v>
      </c>
      <c r="AC291" s="78" t="s">
        <v>1643</v>
      </c>
      <c r="AD291" s="126">
        <v>22214</v>
      </c>
      <c r="AE291" s="108">
        <v>93546</v>
      </c>
      <c r="AF291" s="108">
        <v>7311</v>
      </c>
      <c r="AG291" s="108">
        <v>16709</v>
      </c>
    </row>
    <row r="292" spans="1:33" ht="15.75" thickBot="1" x14ac:dyDescent="0.3">
      <c r="A292" s="44" t="s">
        <v>1381</v>
      </c>
      <c r="B292" s="107" t="s">
        <v>1382</v>
      </c>
      <c r="C292" s="78" t="s">
        <v>803</v>
      </c>
      <c r="D292" s="108">
        <v>71432</v>
      </c>
      <c r="E292" s="108">
        <v>49514</v>
      </c>
      <c r="F292" s="108">
        <v>15929</v>
      </c>
      <c r="G292" s="108">
        <v>136875</v>
      </c>
      <c r="H292" s="125">
        <f t="shared" si="36"/>
        <v>3.6391054052677161</v>
      </c>
      <c r="I292" s="125">
        <f t="shared" si="37"/>
        <v>0.81150338784451581</v>
      </c>
      <c r="J292" s="125">
        <f t="shared" si="38"/>
        <v>6.9731010239951097</v>
      </c>
      <c r="K292" s="125">
        <f t="shared" si="39"/>
        <v>22.019787644787645</v>
      </c>
      <c r="L292" s="127">
        <v>0</v>
      </c>
      <c r="M292" s="108">
        <v>15929</v>
      </c>
      <c r="N292" s="108">
        <v>120946</v>
      </c>
      <c r="O292" s="108">
        <v>136875</v>
      </c>
      <c r="P292" s="108">
        <f t="shared" si="44"/>
        <v>6.9731010239951097</v>
      </c>
      <c r="Q292" s="108">
        <v>71104</v>
      </c>
      <c r="R292" s="108">
        <v>12711</v>
      </c>
      <c r="S292" s="125">
        <f t="shared" si="40"/>
        <v>0.64756228029955676</v>
      </c>
      <c r="T292" s="108">
        <v>5750</v>
      </c>
      <c r="U292" s="125">
        <f t="shared" si="41"/>
        <v>0.29293392429568493</v>
      </c>
      <c r="V292" s="108">
        <v>8340</v>
      </c>
      <c r="W292" s="108">
        <v>7946</v>
      </c>
      <c r="X292" s="108">
        <v>118625</v>
      </c>
      <c r="Y292" s="108">
        <v>34185</v>
      </c>
      <c r="Z292" s="125">
        <f t="shared" si="42"/>
        <v>6.0433542207957611</v>
      </c>
      <c r="AA292" s="125">
        <f t="shared" si="43"/>
        <v>19.083815958815958</v>
      </c>
      <c r="AB292" s="108">
        <v>10120</v>
      </c>
      <c r="AC292" s="78" t="s">
        <v>1643</v>
      </c>
      <c r="AD292" s="126">
        <v>12333</v>
      </c>
      <c r="AE292" s="108">
        <v>83815</v>
      </c>
      <c r="AF292" s="108">
        <v>6216</v>
      </c>
      <c r="AG292" s="108">
        <v>19629</v>
      </c>
    </row>
    <row r="293" spans="1:33" ht="15.75" thickBot="1" x14ac:dyDescent="0.3">
      <c r="A293" s="44" t="s">
        <v>1383</v>
      </c>
      <c r="B293" s="107" t="s">
        <v>1384</v>
      </c>
      <c r="C293" s="78" t="s">
        <v>803</v>
      </c>
      <c r="D293" s="108">
        <v>34564</v>
      </c>
      <c r="E293" s="108">
        <v>33579</v>
      </c>
      <c r="F293" s="108">
        <v>7235</v>
      </c>
      <c r="G293" s="108">
        <v>75378</v>
      </c>
      <c r="H293" s="125">
        <f t="shared" si="36"/>
        <v>2.4844738355376652</v>
      </c>
      <c r="I293" s="125">
        <f t="shared" si="37"/>
        <v>0.52005462909718225</v>
      </c>
      <c r="J293" s="125">
        <f t="shared" si="38"/>
        <v>5.4182001150086254</v>
      </c>
      <c r="K293" s="125">
        <f t="shared" si="39"/>
        <v>5.1079487700752182</v>
      </c>
      <c r="L293" s="126">
        <v>1736</v>
      </c>
      <c r="M293" s="108">
        <v>8971</v>
      </c>
      <c r="N293" s="108">
        <v>68143</v>
      </c>
      <c r="O293" s="108">
        <v>77114</v>
      </c>
      <c r="P293" s="108">
        <f t="shared" si="44"/>
        <v>5.5429844738355376</v>
      </c>
      <c r="Q293" s="108">
        <v>43073</v>
      </c>
      <c r="R293" s="108">
        <v>25416</v>
      </c>
      <c r="S293" s="125">
        <f t="shared" si="40"/>
        <v>1.8269120184013801</v>
      </c>
      <c r="T293" s="108">
        <v>6627</v>
      </c>
      <c r="U293" s="125">
        <f t="shared" si="41"/>
        <v>0.47635135135135137</v>
      </c>
      <c r="V293" s="108">
        <v>1715</v>
      </c>
      <c r="W293" s="108">
        <v>3319</v>
      </c>
      <c r="X293" s="108">
        <v>65311</v>
      </c>
      <c r="Y293" s="108">
        <v>22682</v>
      </c>
      <c r="Z293" s="125">
        <f t="shared" si="42"/>
        <v>4.6945802185163883</v>
      </c>
      <c r="AA293" s="125">
        <f t="shared" si="43"/>
        <v>4.4257640441824222</v>
      </c>
      <c r="AB293" s="108">
        <v>5758</v>
      </c>
      <c r="AC293" s="78" t="s">
        <v>1643</v>
      </c>
      <c r="AD293" s="126">
        <v>4532</v>
      </c>
      <c r="AE293" s="108">
        <v>68489</v>
      </c>
      <c r="AF293" s="108">
        <v>14757</v>
      </c>
      <c r="AG293" s="108">
        <v>13912</v>
      </c>
    </row>
    <row r="294" spans="1:33" ht="15.75" thickBot="1" x14ac:dyDescent="0.3">
      <c r="A294" s="44" t="s">
        <v>1387</v>
      </c>
      <c r="B294" s="107" t="s">
        <v>1388</v>
      </c>
      <c r="C294" s="78" t="s">
        <v>803</v>
      </c>
      <c r="D294" s="108">
        <v>7955</v>
      </c>
      <c r="E294" s="108">
        <v>52495</v>
      </c>
      <c r="F294" s="108">
        <v>10638</v>
      </c>
      <c r="G294" s="108">
        <v>71088</v>
      </c>
      <c r="H294" s="125">
        <f t="shared" si="36"/>
        <v>0.53468208092485547</v>
      </c>
      <c r="I294" s="125">
        <f t="shared" si="37"/>
        <v>0.71501545906707886</v>
      </c>
      <c r="J294" s="125">
        <f t="shared" si="38"/>
        <v>4.7780615674149756</v>
      </c>
      <c r="K294" s="125">
        <f t="shared" si="39"/>
        <v>11.587286063569682</v>
      </c>
      <c r="L294" s="126">
        <v>15765</v>
      </c>
      <c r="M294" s="108">
        <v>26403</v>
      </c>
      <c r="N294" s="108">
        <v>60450</v>
      </c>
      <c r="O294" s="108">
        <v>86853</v>
      </c>
      <c r="P294" s="108">
        <f t="shared" si="44"/>
        <v>5.8376797956714608</v>
      </c>
      <c r="Q294" s="108">
        <v>59974</v>
      </c>
      <c r="R294" s="108">
        <v>16922</v>
      </c>
      <c r="S294" s="125">
        <f t="shared" si="40"/>
        <v>1.1373840569969083</v>
      </c>
      <c r="T294" s="108">
        <v>5348</v>
      </c>
      <c r="U294" s="125">
        <f t="shared" si="41"/>
        <v>0.35945691625218446</v>
      </c>
      <c r="V294" s="108">
        <v>8509</v>
      </c>
      <c r="W294" s="108">
        <v>7992</v>
      </c>
      <c r="X294" s="108">
        <v>101169</v>
      </c>
      <c r="Y294" s="108">
        <v>41188</v>
      </c>
      <c r="Z294" s="125">
        <f t="shared" si="42"/>
        <v>6.7999059013308241</v>
      </c>
      <c r="AA294" s="125">
        <f t="shared" si="43"/>
        <v>16.490464547677263</v>
      </c>
      <c r="AB294" s="108">
        <v>6967</v>
      </c>
      <c r="AC294" s="78" t="s">
        <v>1643</v>
      </c>
      <c r="AD294" s="126">
        <v>7438</v>
      </c>
      <c r="AE294" s="108">
        <v>76896</v>
      </c>
      <c r="AF294" s="108">
        <v>6135</v>
      </c>
      <c r="AG294" s="108">
        <v>14878</v>
      </c>
    </row>
    <row r="295" spans="1:33" ht="15.75" thickBot="1" x14ac:dyDescent="0.3">
      <c r="A295" s="44" t="s">
        <v>1421</v>
      </c>
      <c r="B295" s="107" t="s">
        <v>1422</v>
      </c>
      <c r="C295" s="78" t="s">
        <v>803</v>
      </c>
      <c r="D295" s="108">
        <v>31650</v>
      </c>
      <c r="E295" s="108">
        <v>56010</v>
      </c>
      <c r="F295" s="108">
        <v>3464</v>
      </c>
      <c r="G295" s="108">
        <v>91124</v>
      </c>
      <c r="H295" s="125">
        <f t="shared" si="36"/>
        <v>2.5348390197020665</v>
      </c>
      <c r="I295" s="125">
        <f t="shared" si="37"/>
        <v>0.27743072240909816</v>
      </c>
      <c r="J295" s="125">
        <f t="shared" si="38"/>
        <v>7.2980938651289442</v>
      </c>
      <c r="K295" s="125">
        <f t="shared" si="39"/>
        <v>31.153504273504275</v>
      </c>
      <c r="L295" s="126">
        <v>0</v>
      </c>
      <c r="M295" s="108">
        <v>3464</v>
      </c>
      <c r="N295" s="108">
        <v>87660</v>
      </c>
      <c r="O295" s="108">
        <v>91124</v>
      </c>
      <c r="P295" s="108">
        <f t="shared" si="44"/>
        <v>7.2980938651289442</v>
      </c>
      <c r="Q295" s="108">
        <v>74696</v>
      </c>
      <c r="R295" s="108">
        <v>62073</v>
      </c>
      <c r="S295" s="125">
        <f t="shared" si="40"/>
        <v>4.9714079769341666</v>
      </c>
      <c r="T295" s="108">
        <v>5112</v>
      </c>
      <c r="U295" s="125">
        <f t="shared" si="41"/>
        <v>0.40941854877462758</v>
      </c>
      <c r="V295" s="108">
        <v>17610</v>
      </c>
      <c r="W295" s="108">
        <v>4997</v>
      </c>
      <c r="X295" s="108">
        <v>23386</v>
      </c>
      <c r="Y295" s="108">
        <v>4565</v>
      </c>
      <c r="Z295" s="125">
        <f t="shared" si="42"/>
        <v>1.8729777350632708</v>
      </c>
      <c r="AA295" s="125">
        <f t="shared" si="43"/>
        <v>7.9952136752136749</v>
      </c>
      <c r="AB295" s="108">
        <v>2105</v>
      </c>
      <c r="AC295" s="78" t="s">
        <v>1643</v>
      </c>
      <c r="AD295" s="126">
        <v>3500</v>
      </c>
      <c r="AE295" s="108">
        <v>136769</v>
      </c>
      <c r="AF295" s="108">
        <v>2925</v>
      </c>
      <c r="AG295" s="108">
        <v>12486</v>
      </c>
    </row>
    <row r="296" spans="1:33" ht="15.75" thickBot="1" x14ac:dyDescent="0.3">
      <c r="A296" s="44" t="s">
        <v>1447</v>
      </c>
      <c r="B296" s="107" t="s">
        <v>1448</v>
      </c>
      <c r="C296" s="78" t="s">
        <v>803</v>
      </c>
      <c r="D296" s="108">
        <v>79365</v>
      </c>
      <c r="E296" s="108">
        <v>92790</v>
      </c>
      <c r="F296" s="108">
        <v>42309</v>
      </c>
      <c r="G296" s="108">
        <v>214464</v>
      </c>
      <c r="H296" s="125">
        <f t="shared" si="36"/>
        <v>4.7373604727511491</v>
      </c>
      <c r="I296" s="125">
        <f t="shared" si="37"/>
        <v>2.5254581269026444</v>
      </c>
      <c r="J296" s="125">
        <f t="shared" si="38"/>
        <v>12.801528084522175</v>
      </c>
      <c r="K296" s="125">
        <f t="shared" si="39"/>
        <v>23.839928857269896</v>
      </c>
      <c r="L296" s="126">
        <v>58476</v>
      </c>
      <c r="M296" s="108">
        <v>100785</v>
      </c>
      <c r="N296" s="108">
        <v>172155</v>
      </c>
      <c r="O296" s="108">
        <v>272940</v>
      </c>
      <c r="P296" s="108">
        <f t="shared" si="44"/>
        <v>16.292007401659404</v>
      </c>
      <c r="Q296" s="108">
        <v>83685</v>
      </c>
      <c r="R296" s="108">
        <v>97419</v>
      </c>
      <c r="S296" s="125">
        <f t="shared" si="40"/>
        <v>5.8150182056945026</v>
      </c>
      <c r="T296" s="108">
        <v>18766</v>
      </c>
      <c r="U296" s="125">
        <f t="shared" si="41"/>
        <v>1.1201575837163493</v>
      </c>
      <c r="V296" s="108">
        <v>14573</v>
      </c>
      <c r="W296" s="108">
        <v>28879</v>
      </c>
      <c r="X296" s="108">
        <v>177197</v>
      </c>
      <c r="Y296" s="108">
        <v>57776</v>
      </c>
      <c r="Z296" s="125">
        <f t="shared" si="42"/>
        <v>10.577030979526056</v>
      </c>
      <c r="AA296" s="125">
        <f t="shared" si="43"/>
        <v>19.697309915518009</v>
      </c>
      <c r="AB296" s="108">
        <v>59806</v>
      </c>
      <c r="AC296" s="78" t="s">
        <v>1643</v>
      </c>
      <c r="AD296" s="126">
        <v>40054</v>
      </c>
      <c r="AE296" s="108">
        <v>181104</v>
      </c>
      <c r="AF296" s="108">
        <v>8996</v>
      </c>
      <c r="AG296" s="108">
        <v>16753</v>
      </c>
    </row>
    <row r="297" spans="1:33" ht="15.75" thickBot="1" x14ac:dyDescent="0.3">
      <c r="A297" s="44" t="s">
        <v>1490</v>
      </c>
      <c r="B297" s="107" t="s">
        <v>1491</v>
      </c>
      <c r="C297" s="78" t="s">
        <v>803</v>
      </c>
      <c r="D297" s="108">
        <v>97811</v>
      </c>
      <c r="E297" s="108">
        <v>103412</v>
      </c>
      <c r="F297" s="108">
        <v>35245</v>
      </c>
      <c r="G297" s="108">
        <v>236468</v>
      </c>
      <c r="H297" s="125">
        <f t="shared" si="36"/>
        <v>5.3565717415115008</v>
      </c>
      <c r="I297" s="125">
        <f t="shared" si="37"/>
        <v>1.9301752464403066</v>
      </c>
      <c r="J297" s="125">
        <f t="shared" si="38"/>
        <v>12.950054764512595</v>
      </c>
      <c r="K297" s="125">
        <f t="shared" si="39"/>
        <v>32.742730545555247</v>
      </c>
      <c r="L297" s="126">
        <v>2300</v>
      </c>
      <c r="M297" s="108">
        <v>37545</v>
      </c>
      <c r="N297" s="108">
        <v>201223</v>
      </c>
      <c r="O297" s="108">
        <v>238768</v>
      </c>
      <c r="P297" s="108">
        <f t="shared" si="44"/>
        <v>13.076013143483022</v>
      </c>
      <c r="Q297" s="108">
        <v>100968</v>
      </c>
      <c r="R297" s="108">
        <v>78434</v>
      </c>
      <c r="S297" s="125">
        <f t="shared" si="40"/>
        <v>4.29539978094195</v>
      </c>
      <c r="T297" s="108">
        <v>9850</v>
      </c>
      <c r="U297" s="125">
        <f t="shared" si="41"/>
        <v>0.53943044906900328</v>
      </c>
      <c r="V297" s="108">
        <v>9957</v>
      </c>
      <c r="W297" s="108">
        <v>6202</v>
      </c>
      <c r="X297" s="108">
        <v>151627</v>
      </c>
      <c r="Y297" s="108">
        <v>19714</v>
      </c>
      <c r="Z297" s="125">
        <f t="shared" si="42"/>
        <v>8.3037787513691121</v>
      </c>
      <c r="AA297" s="125">
        <f t="shared" si="43"/>
        <v>20.99515369703683</v>
      </c>
      <c r="AB297" s="108">
        <v>19883</v>
      </c>
      <c r="AC297" s="78" t="s">
        <v>1643</v>
      </c>
      <c r="AD297" s="126">
        <v>8800</v>
      </c>
      <c r="AE297" s="108">
        <v>179402</v>
      </c>
      <c r="AF297" s="108">
        <v>7222</v>
      </c>
      <c r="AG297" s="108">
        <v>18260</v>
      </c>
    </row>
    <row r="298" spans="1:33" ht="15.75" thickBot="1" x14ac:dyDescent="0.3">
      <c r="A298" s="44" t="s">
        <v>1492</v>
      </c>
      <c r="B298" s="107" t="s">
        <v>1493</v>
      </c>
      <c r="C298" s="78" t="s">
        <v>803</v>
      </c>
      <c r="D298" s="108">
        <v>31037</v>
      </c>
      <c r="E298" s="108">
        <v>51421</v>
      </c>
      <c r="F298" s="108">
        <v>11507</v>
      </c>
      <c r="G298" s="108">
        <v>93965</v>
      </c>
      <c r="H298" s="125">
        <f t="shared" si="36"/>
        <v>2.2264705882352942</v>
      </c>
      <c r="I298" s="125">
        <f t="shared" si="37"/>
        <v>0.82546628407460543</v>
      </c>
      <c r="J298" s="125">
        <f t="shared" si="38"/>
        <v>6.7406743185078906</v>
      </c>
      <c r="K298" s="125">
        <f t="shared" si="39"/>
        <v>28.859029484029485</v>
      </c>
      <c r="L298" s="126">
        <v>2503</v>
      </c>
      <c r="M298" s="108">
        <v>14010</v>
      </c>
      <c r="N298" s="108">
        <v>82458</v>
      </c>
      <c r="O298" s="108">
        <v>96468</v>
      </c>
      <c r="P298" s="108">
        <f t="shared" si="44"/>
        <v>6.9202295552367286</v>
      </c>
      <c r="Q298" s="108">
        <v>73186</v>
      </c>
      <c r="R298" s="108">
        <v>62810</v>
      </c>
      <c r="S298" s="125">
        <f t="shared" si="40"/>
        <v>4.5057388809182211</v>
      </c>
      <c r="T298" s="108">
        <v>2093</v>
      </c>
      <c r="U298" s="125">
        <f t="shared" si="41"/>
        <v>0.15014347202295553</v>
      </c>
      <c r="V298" s="108">
        <v>20180</v>
      </c>
      <c r="W298" s="108">
        <v>9175</v>
      </c>
      <c r="X298" s="108">
        <v>40769</v>
      </c>
      <c r="Y298" s="108">
        <v>42210</v>
      </c>
      <c r="Z298" s="125">
        <f t="shared" si="42"/>
        <v>2.9246054519368725</v>
      </c>
      <c r="AA298" s="125">
        <f t="shared" si="43"/>
        <v>12.521191646191646</v>
      </c>
      <c r="AB298" s="108">
        <v>2074</v>
      </c>
      <c r="AC298" s="78" t="s">
        <v>1643</v>
      </c>
      <c r="AD298" s="126">
        <v>13336</v>
      </c>
      <c r="AE298" s="108">
        <v>135996</v>
      </c>
      <c r="AF298" s="108">
        <v>3256</v>
      </c>
      <c r="AG298" s="108">
        <v>13940</v>
      </c>
    </row>
    <row r="299" spans="1:33" ht="15.75" thickBot="1" x14ac:dyDescent="0.3">
      <c r="A299" s="44" t="s">
        <v>1498</v>
      </c>
      <c r="B299" s="107" t="s">
        <v>1499</v>
      </c>
      <c r="C299" s="78" t="s">
        <v>803</v>
      </c>
      <c r="D299" s="108">
        <v>17308</v>
      </c>
      <c r="E299" s="108">
        <v>34957</v>
      </c>
      <c r="F299" s="108">
        <v>4649</v>
      </c>
      <c r="G299" s="108">
        <v>56914</v>
      </c>
      <c r="H299" s="125">
        <f t="shared" si="36"/>
        <v>0.9649328204270502</v>
      </c>
      <c r="I299" s="125">
        <f t="shared" si="37"/>
        <v>0.25918492501533141</v>
      </c>
      <c r="J299" s="125">
        <f t="shared" si="38"/>
        <v>3.1729943691810223</v>
      </c>
      <c r="K299" s="125">
        <f t="shared" si="39"/>
        <v>14.0493705257961</v>
      </c>
      <c r="L299" s="126">
        <v>897</v>
      </c>
      <c r="M299" s="108">
        <v>5546</v>
      </c>
      <c r="N299" s="108">
        <v>52265</v>
      </c>
      <c r="O299" s="108">
        <v>57811</v>
      </c>
      <c r="P299" s="108">
        <f t="shared" si="44"/>
        <v>3.2230027317834642</v>
      </c>
      <c r="Q299" s="108">
        <v>51976</v>
      </c>
      <c r="R299" s="108">
        <v>45540</v>
      </c>
      <c r="S299" s="125">
        <f t="shared" si="40"/>
        <v>2.5388861013547417</v>
      </c>
      <c r="T299" s="108">
        <v>4789</v>
      </c>
      <c r="U299" s="125">
        <f t="shared" si="41"/>
        <v>0.26699002062775268</v>
      </c>
      <c r="V299" s="108">
        <v>1163</v>
      </c>
      <c r="W299" s="108">
        <v>2473</v>
      </c>
      <c r="X299" s="108">
        <v>61120</v>
      </c>
      <c r="Y299" s="108">
        <v>6027</v>
      </c>
      <c r="Z299" s="125">
        <f t="shared" si="42"/>
        <v>3.4074817416513352</v>
      </c>
      <c r="AA299" s="125">
        <f t="shared" si="43"/>
        <v>15.087632683288078</v>
      </c>
      <c r="AB299" s="108">
        <v>10123</v>
      </c>
      <c r="AC299" s="78" t="s">
        <v>1643</v>
      </c>
      <c r="AD299" s="126">
        <v>1985</v>
      </c>
      <c r="AE299" s="108">
        <v>97516</v>
      </c>
      <c r="AF299" s="108">
        <v>4051</v>
      </c>
      <c r="AG299" s="108">
        <v>17937</v>
      </c>
    </row>
    <row r="300" spans="1:33" ht="15.75" thickBot="1" x14ac:dyDescent="0.3">
      <c r="A300" s="44" t="s">
        <v>1516</v>
      </c>
      <c r="B300" s="107" t="s">
        <v>1517</v>
      </c>
      <c r="C300" s="78" t="s">
        <v>803</v>
      </c>
      <c r="D300" s="108">
        <v>28601</v>
      </c>
      <c r="E300" s="108">
        <v>57188</v>
      </c>
      <c r="F300" s="108">
        <v>12536</v>
      </c>
      <c r="G300" s="108">
        <v>98325</v>
      </c>
      <c r="H300" s="125">
        <f t="shared" si="36"/>
        <v>1.5772030440057352</v>
      </c>
      <c r="I300" s="125">
        <f t="shared" si="37"/>
        <v>0.69129811403992503</v>
      </c>
      <c r="J300" s="125">
        <f t="shared" si="38"/>
        <v>5.4221352156170726</v>
      </c>
      <c r="K300" s="125">
        <f t="shared" si="39"/>
        <v>12.769480519480519</v>
      </c>
      <c r="L300" s="126">
        <v>12726</v>
      </c>
      <c r="M300" s="108">
        <v>25262</v>
      </c>
      <c r="N300" s="108">
        <v>85789</v>
      </c>
      <c r="O300" s="108">
        <v>111051</v>
      </c>
      <c r="P300" s="108">
        <f t="shared" si="44"/>
        <v>6.123910885629205</v>
      </c>
      <c r="Q300" s="108">
        <v>49985</v>
      </c>
      <c r="R300" s="108">
        <v>466486</v>
      </c>
      <c r="S300" s="125">
        <f t="shared" si="40"/>
        <v>25.724385132899524</v>
      </c>
      <c r="T300" s="108">
        <v>17420</v>
      </c>
      <c r="U300" s="125">
        <f t="shared" si="41"/>
        <v>0.96062644755707516</v>
      </c>
      <c r="V300" s="108">
        <v>7305</v>
      </c>
      <c r="W300" s="108">
        <v>6810</v>
      </c>
      <c r="X300" s="108">
        <v>160142</v>
      </c>
      <c r="Y300" s="108">
        <v>35668</v>
      </c>
      <c r="Z300" s="125">
        <f t="shared" si="42"/>
        <v>8.8310356236903047</v>
      </c>
      <c r="AA300" s="125">
        <f t="shared" si="43"/>
        <v>20.797662337662338</v>
      </c>
      <c r="AB300" s="108">
        <v>8217</v>
      </c>
      <c r="AC300" s="78" t="s">
        <v>1643</v>
      </c>
      <c r="AD300" s="126" t="s">
        <v>3453</v>
      </c>
      <c r="AE300" s="108">
        <v>516471</v>
      </c>
      <c r="AF300" s="108">
        <v>7700</v>
      </c>
      <c r="AG300" s="108">
        <v>18134</v>
      </c>
    </row>
    <row r="301" spans="1:33" ht="15.75" thickBot="1" x14ac:dyDescent="0.3">
      <c r="A301" s="44" t="s">
        <v>1528</v>
      </c>
      <c r="B301" s="107" t="s">
        <v>1529</v>
      </c>
      <c r="C301" s="78" t="s">
        <v>803</v>
      </c>
      <c r="D301" s="108">
        <v>19782</v>
      </c>
      <c r="E301" s="108">
        <v>11413</v>
      </c>
      <c r="F301" s="108">
        <v>9011</v>
      </c>
      <c r="G301" s="108">
        <v>40206</v>
      </c>
      <c r="H301" s="125">
        <f t="shared" si="36"/>
        <v>1.2765051300251662</v>
      </c>
      <c r="I301" s="125">
        <f t="shared" si="37"/>
        <v>0.58146738078337745</v>
      </c>
      <c r="J301" s="125">
        <f t="shared" si="38"/>
        <v>2.5944376330902754</v>
      </c>
      <c r="K301" s="125">
        <f t="shared" si="39"/>
        <v>12.359667998770366</v>
      </c>
      <c r="L301" s="126">
        <v>0</v>
      </c>
      <c r="M301" s="108">
        <v>9011</v>
      </c>
      <c r="N301" s="108">
        <v>31195</v>
      </c>
      <c r="O301" s="108">
        <v>40206</v>
      </c>
      <c r="P301" s="108">
        <f t="shared" si="44"/>
        <v>2.5944376330902754</v>
      </c>
      <c r="Q301" s="108">
        <v>27825</v>
      </c>
      <c r="R301" s="108">
        <v>23991</v>
      </c>
      <c r="S301" s="125">
        <f t="shared" si="40"/>
        <v>1.5481060850487192</v>
      </c>
      <c r="T301" s="108">
        <v>1025</v>
      </c>
      <c r="U301" s="125">
        <f t="shared" si="41"/>
        <v>6.6141833903336125E-2</v>
      </c>
      <c r="V301" s="108">
        <v>2324</v>
      </c>
      <c r="W301" s="108">
        <v>4577</v>
      </c>
      <c r="X301" s="108">
        <v>6806</v>
      </c>
      <c r="Y301" s="78" t="s">
        <v>3453</v>
      </c>
      <c r="Z301" s="125">
        <f t="shared" si="42"/>
        <v>0.43918177711815193</v>
      </c>
      <c r="AA301" s="125">
        <f t="shared" si="43"/>
        <v>2.0922225637872733</v>
      </c>
      <c r="AB301" s="108">
        <v>1160</v>
      </c>
      <c r="AC301" s="78" t="s">
        <v>1643</v>
      </c>
      <c r="AD301" s="126">
        <v>408</v>
      </c>
      <c r="AE301" s="108">
        <v>51816</v>
      </c>
      <c r="AF301" s="108">
        <v>3253</v>
      </c>
      <c r="AG301" s="108">
        <v>15497</v>
      </c>
    </row>
    <row r="302" spans="1:33" ht="15.75" thickBot="1" x14ac:dyDescent="0.3">
      <c r="A302" s="44" t="s">
        <v>1532</v>
      </c>
      <c r="B302" s="107" t="s">
        <v>1533</v>
      </c>
      <c r="C302" s="78" t="s">
        <v>803</v>
      </c>
      <c r="D302" s="108">
        <v>22993</v>
      </c>
      <c r="E302" s="108">
        <v>31133</v>
      </c>
      <c r="F302" s="108">
        <v>7570</v>
      </c>
      <c r="G302" s="108">
        <v>61696</v>
      </c>
      <c r="H302" s="125">
        <f t="shared" si="36"/>
        <v>1.613204237704343</v>
      </c>
      <c r="I302" s="125">
        <f t="shared" si="37"/>
        <v>0.53111625622675929</v>
      </c>
      <c r="J302" s="125">
        <f t="shared" si="38"/>
        <v>4.3286325685820533</v>
      </c>
      <c r="K302" s="125">
        <f t="shared" si="39"/>
        <v>7.3967150221795945</v>
      </c>
      <c r="L302" s="126">
        <v>1471</v>
      </c>
      <c r="M302" s="108">
        <v>9041</v>
      </c>
      <c r="N302" s="108">
        <v>54126</v>
      </c>
      <c r="O302" s="108">
        <v>63167</v>
      </c>
      <c r="P302" s="108">
        <f t="shared" si="44"/>
        <v>4.4318389111064338</v>
      </c>
      <c r="Q302" s="108">
        <v>44309</v>
      </c>
      <c r="R302" s="108">
        <v>19351</v>
      </c>
      <c r="S302" s="125">
        <f t="shared" si="40"/>
        <v>1.3576790851048901</v>
      </c>
      <c r="T302" s="108">
        <v>17304</v>
      </c>
      <c r="U302" s="125">
        <f t="shared" si="41"/>
        <v>1.2140601978530836</v>
      </c>
      <c r="V302" s="108">
        <v>6096</v>
      </c>
      <c r="W302" s="108">
        <v>6186</v>
      </c>
      <c r="X302" s="108">
        <v>92225</v>
      </c>
      <c r="Y302" s="108">
        <v>36391</v>
      </c>
      <c r="Z302" s="125">
        <f t="shared" si="42"/>
        <v>6.4705675998035499</v>
      </c>
      <c r="AA302" s="125">
        <f t="shared" si="43"/>
        <v>11.056827718498981</v>
      </c>
      <c r="AB302" s="108">
        <v>24335</v>
      </c>
      <c r="AC302" s="78" t="s">
        <v>1643</v>
      </c>
      <c r="AD302" s="126">
        <v>8852</v>
      </c>
      <c r="AE302" s="108">
        <v>63660</v>
      </c>
      <c r="AF302" s="108">
        <v>8341</v>
      </c>
      <c r="AG302" s="108">
        <v>14253</v>
      </c>
    </row>
    <row r="303" spans="1:33" ht="15.75" thickBot="1" x14ac:dyDescent="0.3">
      <c r="A303" s="44" t="s">
        <v>1552</v>
      </c>
      <c r="B303" s="107" t="s">
        <v>1553</v>
      </c>
      <c r="C303" s="78" t="s">
        <v>803</v>
      </c>
      <c r="D303" s="108">
        <v>13194</v>
      </c>
      <c r="E303" s="108">
        <v>35781</v>
      </c>
      <c r="F303" s="108">
        <v>6763</v>
      </c>
      <c r="G303" s="108">
        <v>55738</v>
      </c>
      <c r="H303" s="125">
        <f t="shared" si="36"/>
        <v>1.0781173394345482</v>
      </c>
      <c r="I303" s="125">
        <f t="shared" si="37"/>
        <v>0.55262297761072066</v>
      </c>
      <c r="J303" s="125">
        <f t="shared" si="38"/>
        <v>4.5545023696682465</v>
      </c>
      <c r="K303" s="125">
        <f t="shared" si="39"/>
        <v>17.19777846343721</v>
      </c>
      <c r="L303" s="126">
        <v>0</v>
      </c>
      <c r="M303" s="108">
        <v>6763</v>
      </c>
      <c r="N303" s="108">
        <v>48975</v>
      </c>
      <c r="O303" s="108">
        <v>55738</v>
      </c>
      <c r="P303" s="108">
        <f t="shared" si="44"/>
        <v>4.5545023696682465</v>
      </c>
      <c r="Q303" s="108">
        <v>36610</v>
      </c>
      <c r="R303" s="108">
        <v>19351</v>
      </c>
      <c r="S303" s="125">
        <f t="shared" si="40"/>
        <v>1.5812224219643733</v>
      </c>
      <c r="T303" s="108">
        <v>2179</v>
      </c>
      <c r="U303" s="125">
        <f t="shared" si="41"/>
        <v>0.17805196927602548</v>
      </c>
      <c r="V303" s="108">
        <v>2282</v>
      </c>
      <c r="W303" s="108">
        <v>4172</v>
      </c>
      <c r="X303" s="108">
        <v>31208</v>
      </c>
      <c r="Y303" s="108">
        <v>5266</v>
      </c>
      <c r="Z303" s="125">
        <f t="shared" si="42"/>
        <v>2.5500898839679684</v>
      </c>
      <c r="AA303" s="125">
        <f t="shared" si="43"/>
        <v>9.6291268127121263</v>
      </c>
      <c r="AB303" s="108">
        <v>7046</v>
      </c>
      <c r="AC303" s="78" t="s">
        <v>1643</v>
      </c>
      <c r="AD303" s="126">
        <v>4981</v>
      </c>
      <c r="AE303" s="108">
        <v>55961</v>
      </c>
      <c r="AF303" s="108">
        <v>3241</v>
      </c>
      <c r="AG303" s="108">
        <v>12238</v>
      </c>
    </row>
    <row r="304" spans="1:33" ht="15.75" thickBot="1" x14ac:dyDescent="0.3">
      <c r="A304" s="44" t="s">
        <v>1572</v>
      </c>
      <c r="B304" s="107" t="s">
        <v>1573</v>
      </c>
      <c r="C304" s="78" t="s">
        <v>803</v>
      </c>
      <c r="D304" s="108">
        <v>9376</v>
      </c>
      <c r="E304" s="108">
        <v>25659</v>
      </c>
      <c r="F304" s="108">
        <v>3662</v>
      </c>
      <c r="G304" s="108">
        <v>38697</v>
      </c>
      <c r="H304" s="125">
        <f t="shared" si="36"/>
        <v>0.53293923719661229</v>
      </c>
      <c r="I304" s="125">
        <f t="shared" si="37"/>
        <v>0.20815096913545161</v>
      </c>
      <c r="J304" s="125">
        <f t="shared" si="38"/>
        <v>2.1995680100039787</v>
      </c>
      <c r="K304" s="125">
        <f t="shared" si="39"/>
        <v>9.4521250610649723</v>
      </c>
      <c r="L304" s="126">
        <v>0</v>
      </c>
      <c r="M304" s="108">
        <v>3662</v>
      </c>
      <c r="N304" s="108">
        <v>35035</v>
      </c>
      <c r="O304" s="108">
        <v>38697</v>
      </c>
      <c r="P304" s="108">
        <f t="shared" si="44"/>
        <v>2.1995680100039787</v>
      </c>
      <c r="Q304" s="108">
        <v>92084</v>
      </c>
      <c r="R304" s="108">
        <v>62073</v>
      </c>
      <c r="S304" s="125">
        <f t="shared" si="40"/>
        <v>3.5282782925027001</v>
      </c>
      <c r="T304" s="108">
        <v>15863</v>
      </c>
      <c r="U304" s="125">
        <f t="shared" si="41"/>
        <v>0.90166543511623942</v>
      </c>
      <c r="V304" s="108">
        <v>11188</v>
      </c>
      <c r="W304" s="108">
        <v>7645</v>
      </c>
      <c r="X304" s="108">
        <v>38028</v>
      </c>
      <c r="Y304" s="108">
        <v>15819</v>
      </c>
      <c r="Z304" s="125">
        <f t="shared" si="42"/>
        <v>2.1615415221963281</v>
      </c>
      <c r="AA304" s="125">
        <f t="shared" si="43"/>
        <v>9.2887151929653147</v>
      </c>
      <c r="AB304" s="108">
        <v>11961</v>
      </c>
      <c r="AC304" s="78" t="s">
        <v>1643</v>
      </c>
      <c r="AD304" s="126">
        <v>5297</v>
      </c>
      <c r="AE304" s="108">
        <v>154157</v>
      </c>
      <c r="AF304" s="108">
        <v>4094</v>
      </c>
      <c r="AG304" s="108">
        <v>17593</v>
      </c>
    </row>
    <row r="305" spans="1:33" ht="15.75" thickBot="1" x14ac:dyDescent="0.3">
      <c r="A305" s="44" t="s">
        <v>1598</v>
      </c>
      <c r="B305" s="107" t="s">
        <v>1599</v>
      </c>
      <c r="C305" s="78" t="s">
        <v>803</v>
      </c>
      <c r="D305" s="108">
        <v>39240</v>
      </c>
      <c r="E305" s="108">
        <v>87248</v>
      </c>
      <c r="F305" s="108">
        <v>15691</v>
      </c>
      <c r="G305" s="108">
        <v>142179</v>
      </c>
      <c r="H305" s="125">
        <f t="shared" si="36"/>
        <v>2.9070973477552231</v>
      </c>
      <c r="I305" s="125">
        <f t="shared" si="37"/>
        <v>1.1624685138539044</v>
      </c>
      <c r="J305" s="125">
        <f t="shared" si="38"/>
        <v>10.533338272336643</v>
      </c>
      <c r="K305" s="125">
        <f t="shared" si="39"/>
        <v>24.00455850075975</v>
      </c>
      <c r="L305" s="127">
        <v>0</v>
      </c>
      <c r="M305" s="108">
        <v>15691</v>
      </c>
      <c r="N305" s="108">
        <v>126488</v>
      </c>
      <c r="O305" s="108">
        <v>142179</v>
      </c>
      <c r="P305" s="108">
        <f t="shared" si="44"/>
        <v>10.533338272336643</v>
      </c>
      <c r="Q305" s="108">
        <v>60859</v>
      </c>
      <c r="R305" s="108">
        <v>61808</v>
      </c>
      <c r="S305" s="125">
        <f t="shared" si="40"/>
        <v>4.5790487479626609</v>
      </c>
      <c r="T305" s="108">
        <v>5301</v>
      </c>
      <c r="U305" s="125">
        <f t="shared" si="41"/>
        <v>0.39272484812564823</v>
      </c>
      <c r="V305" s="108">
        <v>12486</v>
      </c>
      <c r="W305" s="108">
        <v>13728</v>
      </c>
      <c r="X305" s="108">
        <v>76533</v>
      </c>
      <c r="Y305" s="108">
        <v>61379</v>
      </c>
      <c r="Z305" s="125">
        <f t="shared" si="42"/>
        <v>5.6699511038672394</v>
      </c>
      <c r="AA305" s="125">
        <f t="shared" si="43"/>
        <v>12.921323653553943</v>
      </c>
      <c r="AB305" s="108">
        <v>23215</v>
      </c>
      <c r="AC305" s="78" t="s">
        <v>1643</v>
      </c>
      <c r="AD305" s="126">
        <v>9146</v>
      </c>
      <c r="AE305" s="108">
        <v>122667</v>
      </c>
      <c r="AF305" s="108">
        <v>5923</v>
      </c>
      <c r="AG305" s="108">
        <v>13498</v>
      </c>
    </row>
    <row r="306" spans="1:33" ht="15.75" thickBot="1" x14ac:dyDescent="0.3">
      <c r="A306" s="44" t="s">
        <v>820</v>
      </c>
      <c r="B306" s="107" t="s">
        <v>821</v>
      </c>
      <c r="C306" s="78" t="s">
        <v>822</v>
      </c>
      <c r="D306" s="108">
        <v>37691</v>
      </c>
      <c r="E306" s="108">
        <v>41240</v>
      </c>
      <c r="F306" s="108">
        <v>24898</v>
      </c>
      <c r="G306" s="108">
        <v>103829</v>
      </c>
      <c r="H306" s="125">
        <f t="shared" si="36"/>
        <v>1.3360864941510102</v>
      </c>
      <c r="I306" s="125">
        <f t="shared" si="37"/>
        <v>0.88259482453030835</v>
      </c>
      <c r="J306" s="125">
        <f t="shared" si="38"/>
        <v>3.6805742644452324</v>
      </c>
      <c r="K306" s="125">
        <f t="shared" si="39"/>
        <v>20.895351177299254</v>
      </c>
      <c r="L306" s="126">
        <v>1389</v>
      </c>
      <c r="M306" s="108">
        <v>26287</v>
      </c>
      <c r="N306" s="108">
        <v>78931</v>
      </c>
      <c r="O306" s="108">
        <v>105218</v>
      </c>
      <c r="P306" s="108">
        <f t="shared" si="44"/>
        <v>3.7298121233605106</v>
      </c>
      <c r="Q306" s="108">
        <v>65814</v>
      </c>
      <c r="R306" s="108">
        <v>64784</v>
      </c>
      <c r="S306" s="125">
        <f t="shared" si="40"/>
        <v>2.2964906061680255</v>
      </c>
      <c r="T306" s="108">
        <v>76913</v>
      </c>
      <c r="U306" s="125">
        <f t="shared" si="41"/>
        <v>2.7264445232187167</v>
      </c>
      <c r="V306" s="108">
        <v>21013</v>
      </c>
      <c r="W306" s="108">
        <v>13000</v>
      </c>
      <c r="X306" s="108">
        <v>284757</v>
      </c>
      <c r="Y306" s="108">
        <v>42657</v>
      </c>
      <c r="Z306" s="125">
        <f t="shared" si="42"/>
        <v>10.094186458702588</v>
      </c>
      <c r="AA306" s="125">
        <f t="shared" si="43"/>
        <v>57.306701549607567</v>
      </c>
      <c r="AB306" s="108">
        <v>12693</v>
      </c>
      <c r="AC306" s="78" t="s">
        <v>1643</v>
      </c>
      <c r="AD306" s="126">
        <v>7691</v>
      </c>
      <c r="AE306" s="108">
        <v>130598</v>
      </c>
      <c r="AF306" s="108">
        <v>4969</v>
      </c>
      <c r="AG306" s="108">
        <v>28210</v>
      </c>
    </row>
    <row r="307" spans="1:33" ht="15.75" thickBot="1" x14ac:dyDescent="0.3">
      <c r="A307" s="44" t="s">
        <v>823</v>
      </c>
      <c r="B307" s="107" t="s">
        <v>824</v>
      </c>
      <c r="C307" s="78" t="s">
        <v>822</v>
      </c>
      <c r="D307" s="108">
        <v>78776</v>
      </c>
      <c r="E307" s="108">
        <v>67945</v>
      </c>
      <c r="F307" s="108">
        <v>20104</v>
      </c>
      <c r="G307" s="108">
        <v>166825</v>
      </c>
      <c r="H307" s="125">
        <f t="shared" si="36"/>
        <v>2.7852773751016513</v>
      </c>
      <c r="I307" s="125">
        <f t="shared" si="37"/>
        <v>0.71081568433334508</v>
      </c>
      <c r="J307" s="125">
        <f t="shared" si="38"/>
        <v>5.8984195453099035</v>
      </c>
      <c r="K307" s="125">
        <f t="shared" si="39"/>
        <v>26.279930686830497</v>
      </c>
      <c r="L307" s="126">
        <v>5913</v>
      </c>
      <c r="M307" s="108">
        <v>26017</v>
      </c>
      <c r="N307" s="108">
        <v>146721</v>
      </c>
      <c r="O307" s="108">
        <v>172738</v>
      </c>
      <c r="P307" s="108">
        <f t="shared" si="44"/>
        <v>6.1074850616978393</v>
      </c>
      <c r="Q307" s="108">
        <v>54736</v>
      </c>
      <c r="R307" s="108">
        <v>55047</v>
      </c>
      <c r="S307" s="125">
        <f t="shared" si="40"/>
        <v>1.9462928260792702</v>
      </c>
      <c r="T307" s="108">
        <v>3156</v>
      </c>
      <c r="U307" s="125">
        <f t="shared" si="41"/>
        <v>0.11158646536788884</v>
      </c>
      <c r="V307" s="108">
        <v>8498</v>
      </c>
      <c r="W307" s="108">
        <v>7657</v>
      </c>
      <c r="X307" s="108">
        <v>81424</v>
      </c>
      <c r="Y307" s="108">
        <v>36098</v>
      </c>
      <c r="Z307" s="125">
        <f t="shared" si="42"/>
        <v>2.87890252094898</v>
      </c>
      <c r="AA307" s="125">
        <f t="shared" si="43"/>
        <v>12.826717076244487</v>
      </c>
      <c r="AB307" s="108">
        <v>5128</v>
      </c>
      <c r="AC307" s="78" t="s">
        <v>1643</v>
      </c>
      <c r="AD307" s="126">
        <v>12951</v>
      </c>
      <c r="AE307" s="108">
        <v>109783</v>
      </c>
      <c r="AF307" s="108">
        <v>6348</v>
      </c>
      <c r="AG307" s="108">
        <v>28283</v>
      </c>
    </row>
    <row r="308" spans="1:33" ht="15.75" thickBot="1" x14ac:dyDescent="0.3">
      <c r="A308" s="44" t="s">
        <v>831</v>
      </c>
      <c r="B308" s="107" t="s">
        <v>832</v>
      </c>
      <c r="C308" s="78" t="s">
        <v>822</v>
      </c>
      <c r="D308" s="108">
        <v>20118</v>
      </c>
      <c r="E308" s="108">
        <v>59365</v>
      </c>
      <c r="F308" s="108">
        <v>15316</v>
      </c>
      <c r="G308" s="108">
        <v>94799</v>
      </c>
      <c r="H308" s="125">
        <f t="shared" si="36"/>
        <v>0.67970808838435026</v>
      </c>
      <c r="I308" s="125">
        <f t="shared" si="37"/>
        <v>0.51746739644570583</v>
      </c>
      <c r="J308" s="125">
        <f t="shared" si="38"/>
        <v>3.2028853300898708</v>
      </c>
      <c r="K308" s="125">
        <f t="shared" si="39"/>
        <v>8.5798714815820443</v>
      </c>
      <c r="L308" s="126">
        <v>28573</v>
      </c>
      <c r="M308" s="108">
        <v>43889</v>
      </c>
      <c r="N308" s="108">
        <v>79483</v>
      </c>
      <c r="O308" s="108">
        <v>123372</v>
      </c>
      <c r="P308" s="108">
        <f t="shared" si="44"/>
        <v>4.1682546117980941</v>
      </c>
      <c r="Q308" s="108">
        <v>76357</v>
      </c>
      <c r="R308" s="108">
        <v>36407</v>
      </c>
      <c r="S308" s="125">
        <f t="shared" si="40"/>
        <v>1.2300493276572741</v>
      </c>
      <c r="T308" s="108">
        <v>6043</v>
      </c>
      <c r="U308" s="125">
        <f t="shared" si="41"/>
        <v>0.20416920062166363</v>
      </c>
      <c r="V308" s="108">
        <v>11861</v>
      </c>
      <c r="W308" s="108">
        <v>13632</v>
      </c>
      <c r="X308" s="108">
        <v>128590</v>
      </c>
      <c r="Y308" s="108">
        <v>44416</v>
      </c>
      <c r="Z308" s="125">
        <f t="shared" si="42"/>
        <v>4.3445503074532059</v>
      </c>
      <c r="AA308" s="125">
        <f t="shared" si="43"/>
        <v>11.638157299303105</v>
      </c>
      <c r="AB308" s="108">
        <v>8852</v>
      </c>
      <c r="AC308" s="78" t="s">
        <v>1643</v>
      </c>
      <c r="AD308" s="126">
        <v>5002</v>
      </c>
      <c r="AE308" s="108">
        <v>112764</v>
      </c>
      <c r="AF308" s="108">
        <v>11049</v>
      </c>
      <c r="AG308" s="108">
        <v>29598</v>
      </c>
    </row>
    <row r="309" spans="1:33" ht="15.75" thickBot="1" x14ac:dyDescent="0.3">
      <c r="A309" s="44" t="s">
        <v>855</v>
      </c>
      <c r="B309" s="107" t="s">
        <v>856</v>
      </c>
      <c r="C309" s="78" t="s">
        <v>822</v>
      </c>
      <c r="D309" s="108">
        <v>176124</v>
      </c>
      <c r="E309" s="108">
        <v>254514</v>
      </c>
      <c r="F309" s="108">
        <v>111074</v>
      </c>
      <c r="G309" s="108">
        <v>541712</v>
      </c>
      <c r="H309" s="125">
        <f t="shared" si="36"/>
        <v>4.982291371994342</v>
      </c>
      <c r="I309" s="125">
        <f t="shared" si="37"/>
        <v>3.1421216407355019</v>
      </c>
      <c r="J309" s="125">
        <f t="shared" si="38"/>
        <v>15.324243281471004</v>
      </c>
      <c r="K309" s="125">
        <f t="shared" si="39"/>
        <v>35.244762524398176</v>
      </c>
      <c r="L309" s="126">
        <v>15141</v>
      </c>
      <c r="M309" s="108">
        <v>126215</v>
      </c>
      <c r="N309" s="108">
        <v>430638</v>
      </c>
      <c r="O309" s="108">
        <v>556853</v>
      </c>
      <c r="P309" s="108">
        <f t="shared" si="44"/>
        <v>15.752560113154173</v>
      </c>
      <c r="Q309" s="108">
        <v>126616</v>
      </c>
      <c r="R309" s="108">
        <v>15718</v>
      </c>
      <c r="S309" s="125">
        <f t="shared" si="40"/>
        <v>0.44463932107496462</v>
      </c>
      <c r="T309" s="108">
        <v>40820</v>
      </c>
      <c r="U309" s="125">
        <f t="shared" si="41"/>
        <v>1.1547383309759547</v>
      </c>
      <c r="V309" s="108">
        <v>9526</v>
      </c>
      <c r="W309" s="108">
        <v>9371</v>
      </c>
      <c r="X309" s="108">
        <v>263514</v>
      </c>
      <c r="Y309" s="108">
        <v>298433</v>
      </c>
      <c r="Z309" s="125">
        <f t="shared" si="42"/>
        <v>7.4544271570014145</v>
      </c>
      <c r="AA309" s="125">
        <f t="shared" si="43"/>
        <v>17.144697462589459</v>
      </c>
      <c r="AB309" s="108">
        <v>14669</v>
      </c>
      <c r="AC309" s="78" t="s">
        <v>1643</v>
      </c>
      <c r="AD309" s="126">
        <v>275319</v>
      </c>
      <c r="AE309" s="108">
        <v>142334</v>
      </c>
      <c r="AF309" s="108">
        <v>15370</v>
      </c>
      <c r="AG309" s="108">
        <v>35350</v>
      </c>
    </row>
    <row r="310" spans="1:33" ht="15.75" thickBot="1" x14ac:dyDescent="0.3">
      <c r="A310" s="44" t="s">
        <v>867</v>
      </c>
      <c r="B310" s="107" t="s">
        <v>868</v>
      </c>
      <c r="C310" s="78" t="s">
        <v>822</v>
      </c>
      <c r="D310" s="108">
        <v>56469</v>
      </c>
      <c r="E310" s="108">
        <v>102310</v>
      </c>
      <c r="F310" s="108">
        <v>20805</v>
      </c>
      <c r="G310" s="108">
        <v>179584</v>
      </c>
      <c r="H310" s="125">
        <f t="shared" si="36"/>
        <v>1.333042185028682</v>
      </c>
      <c r="I310" s="125">
        <f t="shared" si="37"/>
        <v>0.49113571445433302</v>
      </c>
      <c r="J310" s="125">
        <f t="shared" si="38"/>
        <v>4.2393711196619535</v>
      </c>
      <c r="K310" s="125">
        <f t="shared" si="39"/>
        <v>16.973913043478262</v>
      </c>
      <c r="L310" s="127">
        <v>0</v>
      </c>
      <c r="M310" s="108">
        <v>20805</v>
      </c>
      <c r="N310" s="108">
        <v>158779</v>
      </c>
      <c r="O310" s="108">
        <v>179584</v>
      </c>
      <c r="P310" s="108">
        <f t="shared" si="44"/>
        <v>4.2393711196619535</v>
      </c>
      <c r="Q310" s="108">
        <v>86010</v>
      </c>
      <c r="R310" s="108">
        <v>62442</v>
      </c>
      <c r="S310" s="125">
        <f t="shared" si="40"/>
        <v>1.4740445220839924</v>
      </c>
      <c r="T310" s="108">
        <v>28744</v>
      </c>
      <c r="U310" s="125">
        <f t="shared" si="41"/>
        <v>0.67854866504567879</v>
      </c>
      <c r="V310" s="108">
        <v>22685</v>
      </c>
      <c r="W310" s="108">
        <v>22876</v>
      </c>
      <c r="X310" s="108">
        <v>93740</v>
      </c>
      <c r="Y310" s="108">
        <v>39486</v>
      </c>
      <c r="Z310" s="125">
        <f t="shared" si="42"/>
        <v>2.2128844928117846</v>
      </c>
      <c r="AA310" s="125">
        <f t="shared" si="43"/>
        <v>8.8601134215500945</v>
      </c>
      <c r="AB310" s="108">
        <v>28614</v>
      </c>
      <c r="AC310" s="78" t="s">
        <v>1643</v>
      </c>
      <c r="AD310" s="126">
        <v>17811</v>
      </c>
      <c r="AE310" s="108">
        <v>148452</v>
      </c>
      <c r="AF310" s="108">
        <v>10580</v>
      </c>
      <c r="AG310" s="108">
        <v>42361</v>
      </c>
    </row>
    <row r="311" spans="1:33" ht="15.75" thickBot="1" x14ac:dyDescent="0.3">
      <c r="A311" s="44" t="s">
        <v>891</v>
      </c>
      <c r="B311" s="107" t="s">
        <v>892</v>
      </c>
      <c r="C311" s="78" t="s">
        <v>822</v>
      </c>
      <c r="D311" s="108">
        <v>248815</v>
      </c>
      <c r="E311" s="108">
        <v>461920</v>
      </c>
      <c r="F311" s="108">
        <v>130084</v>
      </c>
      <c r="G311" s="108">
        <v>840819</v>
      </c>
      <c r="H311" s="125">
        <f t="shared" si="36"/>
        <v>6.0583150718285852</v>
      </c>
      <c r="I311" s="125">
        <f t="shared" si="37"/>
        <v>3.167372778183589</v>
      </c>
      <c r="J311" s="125">
        <f t="shared" si="38"/>
        <v>20.472826880934988</v>
      </c>
      <c r="K311" s="125">
        <f t="shared" si="39"/>
        <v>24.635053177463302</v>
      </c>
      <c r="L311" s="127">
        <v>0</v>
      </c>
      <c r="M311" s="108">
        <v>130084</v>
      </c>
      <c r="N311" s="108">
        <v>710735</v>
      </c>
      <c r="O311" s="108">
        <v>840819</v>
      </c>
      <c r="P311" s="108">
        <f t="shared" si="44"/>
        <v>20.472826880934988</v>
      </c>
      <c r="Q311" s="108">
        <v>295567</v>
      </c>
      <c r="R311" s="108">
        <v>21823</v>
      </c>
      <c r="S311" s="125">
        <f t="shared" si="40"/>
        <v>0.53136109082055027</v>
      </c>
      <c r="T311" s="108">
        <v>62309</v>
      </c>
      <c r="U311" s="125">
        <f t="shared" si="41"/>
        <v>1.5171414657901143</v>
      </c>
      <c r="V311" s="108">
        <v>12582</v>
      </c>
      <c r="W311" s="108">
        <v>10154</v>
      </c>
      <c r="X311" s="108">
        <v>213694</v>
      </c>
      <c r="Y311" s="108">
        <v>357401</v>
      </c>
      <c r="Z311" s="125">
        <f t="shared" si="42"/>
        <v>5.2031653274896517</v>
      </c>
      <c r="AA311" s="125">
        <f t="shared" si="43"/>
        <v>6.2609944039143297</v>
      </c>
      <c r="AB311" s="108">
        <v>18383</v>
      </c>
      <c r="AC311" s="78" t="s">
        <v>1643</v>
      </c>
      <c r="AD311" s="126">
        <v>26156</v>
      </c>
      <c r="AE311" s="108">
        <v>317390</v>
      </c>
      <c r="AF311" s="108">
        <v>34131</v>
      </c>
      <c r="AG311" s="108">
        <v>41070</v>
      </c>
    </row>
    <row r="312" spans="1:33" ht="15.75" thickBot="1" x14ac:dyDescent="0.3">
      <c r="A312" s="44" t="s">
        <v>897</v>
      </c>
      <c r="B312" s="107" t="s">
        <v>898</v>
      </c>
      <c r="C312" s="78" t="s">
        <v>822</v>
      </c>
      <c r="D312" s="108">
        <v>48951</v>
      </c>
      <c r="E312" s="108">
        <v>84491</v>
      </c>
      <c r="F312" s="108">
        <v>22297</v>
      </c>
      <c r="G312" s="108">
        <v>155739</v>
      </c>
      <c r="H312" s="125">
        <f t="shared" si="36"/>
        <v>1.0436200831467861</v>
      </c>
      <c r="I312" s="125">
        <f t="shared" si="37"/>
        <v>0.47536509966954482</v>
      </c>
      <c r="J312" s="125">
        <f t="shared" si="38"/>
        <v>3.3203070035177484</v>
      </c>
      <c r="K312" s="125">
        <f t="shared" si="39"/>
        <v>7.2945667447306795</v>
      </c>
      <c r="L312" s="126">
        <v>9572</v>
      </c>
      <c r="M312" s="108">
        <v>31869</v>
      </c>
      <c r="N312" s="108">
        <v>133442</v>
      </c>
      <c r="O312" s="108">
        <v>165311</v>
      </c>
      <c r="P312" s="108">
        <f t="shared" si="44"/>
        <v>3.5243790640656645</v>
      </c>
      <c r="Q312" s="108">
        <v>112892</v>
      </c>
      <c r="R312" s="108">
        <v>392819</v>
      </c>
      <c r="S312" s="125">
        <f t="shared" si="40"/>
        <v>8.374778808229399</v>
      </c>
      <c r="T312" s="108">
        <v>18654</v>
      </c>
      <c r="U312" s="125">
        <f t="shared" si="41"/>
        <v>0.39769747361688518</v>
      </c>
      <c r="V312" s="108">
        <v>9810</v>
      </c>
      <c r="W312" s="108">
        <v>9777</v>
      </c>
      <c r="X312" s="108">
        <v>191866</v>
      </c>
      <c r="Y312" s="108">
        <v>45594</v>
      </c>
      <c r="Z312" s="125">
        <f t="shared" si="42"/>
        <v>4.0905233983583837</v>
      </c>
      <c r="AA312" s="125">
        <f t="shared" si="43"/>
        <v>8.9866978922716623</v>
      </c>
      <c r="AB312" s="108">
        <v>45687</v>
      </c>
      <c r="AC312" s="78" t="s">
        <v>1643</v>
      </c>
      <c r="AD312" s="126">
        <v>465219</v>
      </c>
      <c r="AE312" s="108">
        <v>505711</v>
      </c>
      <c r="AF312" s="108">
        <v>21350</v>
      </c>
      <c r="AG312" s="108">
        <v>46905</v>
      </c>
    </row>
    <row r="313" spans="1:33" ht="15.75" thickBot="1" x14ac:dyDescent="0.3">
      <c r="A313" s="44" t="s">
        <v>907</v>
      </c>
      <c r="B313" s="107" t="s">
        <v>908</v>
      </c>
      <c r="C313" s="78" t="s">
        <v>822</v>
      </c>
      <c r="D313" s="108">
        <v>122056</v>
      </c>
      <c r="E313" s="108">
        <v>154202</v>
      </c>
      <c r="F313" s="108">
        <v>64567</v>
      </c>
      <c r="G313" s="108">
        <v>340825</v>
      </c>
      <c r="H313" s="125">
        <f t="shared" si="36"/>
        <v>2.8218430665371987</v>
      </c>
      <c r="I313" s="125">
        <f t="shared" si="37"/>
        <v>1.4927405557867481</v>
      </c>
      <c r="J313" s="125">
        <f t="shared" si="38"/>
        <v>7.879618070005086</v>
      </c>
      <c r="K313" s="125">
        <f t="shared" si="39"/>
        <v>25.326967377573009</v>
      </c>
      <c r="L313" s="126">
        <v>58393</v>
      </c>
      <c r="M313" s="108">
        <v>122960</v>
      </c>
      <c r="N313" s="108">
        <v>276258</v>
      </c>
      <c r="O313" s="108">
        <v>399218</v>
      </c>
      <c r="P313" s="108">
        <f t="shared" si="44"/>
        <v>9.2296203819299958</v>
      </c>
      <c r="Q313" s="108">
        <v>102489</v>
      </c>
      <c r="R313" s="108">
        <v>64567</v>
      </c>
      <c r="S313" s="125">
        <f t="shared" si="40"/>
        <v>1.4927405557867481</v>
      </c>
      <c r="T313" s="108">
        <v>25014</v>
      </c>
      <c r="U313" s="125">
        <f t="shared" si="41"/>
        <v>0.57830489665695661</v>
      </c>
      <c r="V313" s="108">
        <v>40758</v>
      </c>
      <c r="W313" s="108">
        <v>44700</v>
      </c>
      <c r="X313" s="108">
        <v>168145</v>
      </c>
      <c r="Y313" s="108">
        <v>159117</v>
      </c>
      <c r="Z313" s="125">
        <f t="shared" si="42"/>
        <v>3.8873861376982477</v>
      </c>
      <c r="AA313" s="125">
        <f t="shared" si="43"/>
        <v>12.49498402318496</v>
      </c>
      <c r="AB313" s="108">
        <v>25367</v>
      </c>
      <c r="AC313" s="78" t="s">
        <v>1643</v>
      </c>
      <c r="AD313" s="126">
        <v>11237</v>
      </c>
      <c r="AE313" s="108">
        <v>167056</v>
      </c>
      <c r="AF313" s="108">
        <v>13457</v>
      </c>
      <c r="AG313" s="108">
        <v>43254</v>
      </c>
    </row>
    <row r="314" spans="1:33" ht="15.75" thickBot="1" x14ac:dyDescent="0.3">
      <c r="A314" s="44" t="s">
        <v>917</v>
      </c>
      <c r="B314" s="107" t="s">
        <v>918</v>
      </c>
      <c r="C314" s="78" t="s">
        <v>822</v>
      </c>
      <c r="D314" s="108">
        <v>51749</v>
      </c>
      <c r="E314" s="108">
        <v>78098</v>
      </c>
      <c r="F314" s="108">
        <v>27172</v>
      </c>
      <c r="G314" s="108">
        <v>157019</v>
      </c>
      <c r="H314" s="125">
        <f t="shared" si="36"/>
        <v>1.4748767349730669</v>
      </c>
      <c r="I314" s="125">
        <f t="shared" si="37"/>
        <v>0.77441787556644914</v>
      </c>
      <c r="J314" s="125">
        <f t="shared" si="38"/>
        <v>4.4751332402314246</v>
      </c>
      <c r="K314" s="125">
        <f t="shared" si="39"/>
        <v>7.4657189045264358</v>
      </c>
      <c r="L314" s="126">
        <v>6462</v>
      </c>
      <c r="M314" s="108">
        <v>33634</v>
      </c>
      <c r="N314" s="108">
        <v>129847</v>
      </c>
      <c r="O314" s="108">
        <v>163481</v>
      </c>
      <c r="P314" s="108">
        <f t="shared" si="44"/>
        <v>4.6593040157323227</v>
      </c>
      <c r="Q314" s="108">
        <v>75236</v>
      </c>
      <c r="R314" s="108">
        <v>27172</v>
      </c>
      <c r="S314" s="125">
        <f t="shared" si="40"/>
        <v>0.77441787556644914</v>
      </c>
      <c r="T314" s="108">
        <v>10525</v>
      </c>
      <c r="U314" s="125">
        <f t="shared" si="41"/>
        <v>0.29996864935731182</v>
      </c>
      <c r="V314" s="108">
        <v>6836</v>
      </c>
      <c r="W314" s="108">
        <v>11691</v>
      </c>
      <c r="X314" s="108">
        <v>153567</v>
      </c>
      <c r="Y314" s="108">
        <v>57586</v>
      </c>
      <c r="Z314" s="125">
        <f t="shared" si="42"/>
        <v>4.376749223359079</v>
      </c>
      <c r="AA314" s="125">
        <f t="shared" si="43"/>
        <v>7.3015880562951692</v>
      </c>
      <c r="AB314" s="108">
        <v>58459</v>
      </c>
      <c r="AC314" s="78" t="s">
        <v>1643</v>
      </c>
      <c r="AD314" s="126">
        <v>35856</v>
      </c>
      <c r="AE314" s="108">
        <v>102408</v>
      </c>
      <c r="AF314" s="108">
        <v>21032</v>
      </c>
      <c r="AG314" s="108">
        <v>35087</v>
      </c>
    </row>
    <row r="315" spans="1:33" ht="15.75" thickBot="1" x14ac:dyDescent="0.3">
      <c r="A315" s="44" t="s">
        <v>933</v>
      </c>
      <c r="B315" s="107" t="s">
        <v>934</v>
      </c>
      <c r="C315" s="78" t="s">
        <v>822</v>
      </c>
      <c r="D315" s="108">
        <v>34132</v>
      </c>
      <c r="E315" s="108">
        <v>73757</v>
      </c>
      <c r="F315" s="108">
        <v>20914</v>
      </c>
      <c r="G315" s="108">
        <v>128803</v>
      </c>
      <c r="H315" s="125">
        <f t="shared" si="36"/>
        <v>0.89816325456554913</v>
      </c>
      <c r="I315" s="125">
        <f t="shared" si="37"/>
        <v>0.55033945581811483</v>
      </c>
      <c r="J315" s="125">
        <f t="shared" si="38"/>
        <v>3.3893742434608707</v>
      </c>
      <c r="K315" s="125">
        <f t="shared" si="39"/>
        <v>21.129101049868765</v>
      </c>
      <c r="L315" s="127">
        <v>0</v>
      </c>
      <c r="M315" s="108">
        <v>20914</v>
      </c>
      <c r="N315" s="108">
        <v>107889</v>
      </c>
      <c r="O315" s="108">
        <v>128803</v>
      </c>
      <c r="P315" s="108">
        <f t="shared" si="44"/>
        <v>3.3893742434608707</v>
      </c>
      <c r="Q315" s="108">
        <v>87102</v>
      </c>
      <c r="R315" s="108">
        <v>23682</v>
      </c>
      <c r="S315" s="125">
        <f t="shared" si="40"/>
        <v>0.62317772748802691</v>
      </c>
      <c r="T315" s="108">
        <v>4836</v>
      </c>
      <c r="U315" s="125">
        <f t="shared" si="41"/>
        <v>0.12725646018630599</v>
      </c>
      <c r="V315" s="108">
        <v>6294</v>
      </c>
      <c r="W315" s="108">
        <v>7800</v>
      </c>
      <c r="X315" s="108">
        <v>67196</v>
      </c>
      <c r="Y315" s="108">
        <v>91160</v>
      </c>
      <c r="Z315" s="125">
        <f t="shared" si="42"/>
        <v>1.7682227251197304</v>
      </c>
      <c r="AA315" s="125">
        <f t="shared" si="43"/>
        <v>11.022965879265092</v>
      </c>
      <c r="AB315" s="108">
        <v>25663</v>
      </c>
      <c r="AC315" s="78" t="s">
        <v>1643</v>
      </c>
      <c r="AD315" s="126">
        <v>24000</v>
      </c>
      <c r="AE315" s="108">
        <v>110784</v>
      </c>
      <c r="AF315" s="108">
        <v>6096</v>
      </c>
      <c r="AG315" s="108">
        <v>38002</v>
      </c>
    </row>
    <row r="316" spans="1:33" ht="15.75" thickBot="1" x14ac:dyDescent="0.3">
      <c r="A316" s="44" t="s">
        <v>953</v>
      </c>
      <c r="B316" s="107" t="s">
        <v>954</v>
      </c>
      <c r="C316" s="78" t="s">
        <v>822</v>
      </c>
      <c r="D316" s="108">
        <v>50746</v>
      </c>
      <c r="E316" s="108">
        <v>112760</v>
      </c>
      <c r="F316" s="108">
        <v>37461</v>
      </c>
      <c r="G316" s="108">
        <v>200967</v>
      </c>
      <c r="H316" s="125">
        <f t="shared" si="36"/>
        <v>1.169774786196722</v>
      </c>
      <c r="I316" s="125">
        <f t="shared" si="37"/>
        <v>0.86353472718471225</v>
      </c>
      <c r="J316" s="125">
        <f t="shared" si="38"/>
        <v>4.6326041354510039</v>
      </c>
      <c r="K316" s="125">
        <f t="shared" si="39"/>
        <v>10.755525822852556</v>
      </c>
      <c r="L316" s="126">
        <v>10814</v>
      </c>
      <c r="M316" s="108">
        <v>48275</v>
      </c>
      <c r="N316" s="108">
        <v>163506</v>
      </c>
      <c r="O316" s="108">
        <v>211781</v>
      </c>
      <c r="P316" s="108">
        <f t="shared" si="44"/>
        <v>4.8818837740024437</v>
      </c>
      <c r="Q316" s="108">
        <v>80191</v>
      </c>
      <c r="R316" s="108">
        <v>54376</v>
      </c>
      <c r="S316" s="125">
        <f t="shared" si="40"/>
        <v>1.2534519720615016</v>
      </c>
      <c r="T316" s="108">
        <v>13108</v>
      </c>
      <c r="U316" s="125">
        <f t="shared" si="41"/>
        <v>0.30215993176736361</v>
      </c>
      <c r="V316" s="108">
        <v>31311</v>
      </c>
      <c r="W316" s="108">
        <v>21326</v>
      </c>
      <c r="X316" s="108">
        <v>76544</v>
      </c>
      <c r="Y316" s="78" t="s">
        <v>3453</v>
      </c>
      <c r="Z316" s="125">
        <f t="shared" si="42"/>
        <v>1.764459094995505</v>
      </c>
      <c r="AA316" s="125">
        <f t="shared" si="43"/>
        <v>4.0965480331816968</v>
      </c>
      <c r="AB316" s="108">
        <v>7666</v>
      </c>
      <c r="AC316" s="78" t="s">
        <v>1643</v>
      </c>
      <c r="AD316" s="126">
        <v>18676</v>
      </c>
      <c r="AE316" s="108">
        <v>134567</v>
      </c>
      <c r="AF316" s="108">
        <v>18685</v>
      </c>
      <c r="AG316" s="108">
        <v>43381</v>
      </c>
    </row>
    <row r="317" spans="1:33" ht="15.75" thickBot="1" x14ac:dyDescent="0.3">
      <c r="A317" s="44" t="s">
        <v>957</v>
      </c>
      <c r="B317" s="107" t="s">
        <v>958</v>
      </c>
      <c r="C317" s="78" t="s">
        <v>822</v>
      </c>
      <c r="D317" s="108">
        <v>186290</v>
      </c>
      <c r="E317" s="108">
        <v>136337</v>
      </c>
      <c r="F317" s="108">
        <v>48027</v>
      </c>
      <c r="G317" s="108">
        <v>370654</v>
      </c>
      <c r="H317" s="125">
        <f t="shared" si="36"/>
        <v>5.2383094789528446</v>
      </c>
      <c r="I317" s="125">
        <f t="shared" si="37"/>
        <v>1.3504766189579056</v>
      </c>
      <c r="J317" s="125">
        <f t="shared" si="38"/>
        <v>10.422461547113572</v>
      </c>
      <c r="K317" s="125">
        <f t="shared" si="39"/>
        <v>26.874564965197216</v>
      </c>
      <c r="L317" s="126">
        <v>8962</v>
      </c>
      <c r="M317" s="108">
        <v>56989</v>
      </c>
      <c r="N317" s="108">
        <v>322627</v>
      </c>
      <c r="O317" s="108">
        <v>379616</v>
      </c>
      <c r="P317" s="108">
        <f t="shared" si="44"/>
        <v>10.67446503388353</v>
      </c>
      <c r="Q317" s="108">
        <v>110201</v>
      </c>
      <c r="R317" s="108">
        <v>42344</v>
      </c>
      <c r="S317" s="125">
        <f t="shared" si="40"/>
        <v>1.1906757022748362</v>
      </c>
      <c r="T317" s="108">
        <v>13587</v>
      </c>
      <c r="U317" s="125">
        <f t="shared" si="41"/>
        <v>0.3820543823636926</v>
      </c>
      <c r="V317" s="108">
        <v>5267</v>
      </c>
      <c r="W317" s="108">
        <v>5203</v>
      </c>
      <c r="X317" s="108">
        <v>144565</v>
      </c>
      <c r="Y317" s="108">
        <v>76096</v>
      </c>
      <c r="Z317" s="125">
        <f t="shared" si="42"/>
        <v>4.0650395073531476</v>
      </c>
      <c r="AA317" s="125">
        <f t="shared" si="43"/>
        <v>10.481801044083527</v>
      </c>
      <c r="AB317" s="108">
        <v>11351</v>
      </c>
      <c r="AC317" s="78" t="s">
        <v>1643</v>
      </c>
      <c r="AD317" s="126">
        <v>42236</v>
      </c>
      <c r="AE317" s="108">
        <v>152545</v>
      </c>
      <c r="AF317" s="108">
        <v>13792</v>
      </c>
      <c r="AG317" s="108">
        <v>35563</v>
      </c>
    </row>
    <row r="318" spans="1:33" ht="15.75" thickBot="1" x14ac:dyDescent="0.3">
      <c r="A318" s="44" t="s">
        <v>971</v>
      </c>
      <c r="B318" s="107" t="s">
        <v>972</v>
      </c>
      <c r="C318" s="78" t="s">
        <v>822</v>
      </c>
      <c r="D318" s="108">
        <v>115181</v>
      </c>
      <c r="E318" s="108">
        <v>146594</v>
      </c>
      <c r="F318" s="108">
        <v>51533</v>
      </c>
      <c r="G318" s="108">
        <v>313308</v>
      </c>
      <c r="H318" s="125">
        <f t="shared" si="36"/>
        <v>2.8661971830985915</v>
      </c>
      <c r="I318" s="125">
        <f t="shared" si="37"/>
        <v>1.2823620166227043</v>
      </c>
      <c r="J318" s="125">
        <f t="shared" si="38"/>
        <v>7.7964465236649581</v>
      </c>
      <c r="K318" s="125">
        <f t="shared" si="39"/>
        <v>36.137024221453288</v>
      </c>
      <c r="L318" s="126">
        <v>2024</v>
      </c>
      <c r="M318" s="108">
        <v>53557</v>
      </c>
      <c r="N318" s="108">
        <v>261775</v>
      </c>
      <c r="O318" s="108">
        <v>315332</v>
      </c>
      <c r="P318" s="108">
        <f t="shared" si="44"/>
        <v>7.8468123226994475</v>
      </c>
      <c r="Q318" s="108">
        <v>92656</v>
      </c>
      <c r="R318" s="108">
        <v>48287</v>
      </c>
      <c r="S318" s="125">
        <f t="shared" si="40"/>
        <v>1.2015876175782612</v>
      </c>
      <c r="T318" s="108">
        <v>66305</v>
      </c>
      <c r="U318" s="125">
        <f t="shared" si="41"/>
        <v>1.6499527198526851</v>
      </c>
      <c r="V318" s="108">
        <v>27517</v>
      </c>
      <c r="W318" s="108">
        <v>42041</v>
      </c>
      <c r="X318" s="108">
        <v>155003</v>
      </c>
      <c r="Y318" s="108">
        <v>89157</v>
      </c>
      <c r="Z318" s="125">
        <f t="shared" si="42"/>
        <v>3.8571393022445628</v>
      </c>
      <c r="AA318" s="125">
        <f t="shared" si="43"/>
        <v>17.878085351787774</v>
      </c>
      <c r="AB318" s="108">
        <v>13980</v>
      </c>
      <c r="AC318" s="78" t="s">
        <v>1643</v>
      </c>
      <c r="AD318" s="126">
        <v>21373</v>
      </c>
      <c r="AE318" s="108">
        <v>140943</v>
      </c>
      <c r="AF318" s="108">
        <v>8670</v>
      </c>
      <c r="AG318" s="108">
        <v>40186</v>
      </c>
    </row>
    <row r="319" spans="1:33" ht="15.75" thickBot="1" x14ac:dyDescent="0.3">
      <c r="A319" s="44" t="s">
        <v>973</v>
      </c>
      <c r="B319" s="107" t="s">
        <v>974</v>
      </c>
      <c r="C319" s="78" t="s">
        <v>822</v>
      </c>
      <c r="D319" s="108">
        <v>34039</v>
      </c>
      <c r="E319" s="108">
        <v>30655</v>
      </c>
      <c r="F319" s="108">
        <v>16010</v>
      </c>
      <c r="G319" s="108">
        <v>80704</v>
      </c>
      <c r="H319" s="125">
        <f t="shared" si="36"/>
        <v>1.2043661323992498</v>
      </c>
      <c r="I319" s="125">
        <f t="shared" si="37"/>
        <v>0.56646498956232527</v>
      </c>
      <c r="J319" s="125">
        <f t="shared" si="38"/>
        <v>2.8554647418886883</v>
      </c>
      <c r="K319" s="125">
        <f t="shared" si="39"/>
        <v>15.221425877027537</v>
      </c>
      <c r="L319" s="126">
        <v>12274</v>
      </c>
      <c r="M319" s="108">
        <v>28284</v>
      </c>
      <c r="N319" s="108">
        <v>64694</v>
      </c>
      <c r="O319" s="108">
        <v>92978</v>
      </c>
      <c r="P319" s="108">
        <f t="shared" si="44"/>
        <v>3.2897427732370943</v>
      </c>
      <c r="Q319" s="108">
        <v>44104</v>
      </c>
      <c r="R319" s="108">
        <v>18429</v>
      </c>
      <c r="S319" s="125">
        <f t="shared" si="40"/>
        <v>0.65205392208895019</v>
      </c>
      <c r="T319" s="108">
        <v>12642</v>
      </c>
      <c r="U319" s="125">
        <f t="shared" si="41"/>
        <v>0.44729858826026964</v>
      </c>
      <c r="V319" s="108">
        <v>13929</v>
      </c>
      <c r="W319" s="108">
        <v>12693</v>
      </c>
      <c r="X319" s="108">
        <v>79172</v>
      </c>
      <c r="Y319" s="78" t="s">
        <v>3453</v>
      </c>
      <c r="Z319" s="125">
        <f t="shared" si="42"/>
        <v>2.8012595973534302</v>
      </c>
      <c r="AA319" s="125">
        <f t="shared" si="43"/>
        <v>14.932478310071671</v>
      </c>
      <c r="AB319" s="108">
        <v>15000</v>
      </c>
      <c r="AC319" s="78" t="s">
        <v>1643</v>
      </c>
      <c r="AD319" s="126">
        <v>3360</v>
      </c>
      <c r="AE319" s="108">
        <v>62533</v>
      </c>
      <c r="AF319" s="108">
        <v>5302</v>
      </c>
      <c r="AG319" s="108">
        <v>28263</v>
      </c>
    </row>
    <row r="320" spans="1:33" ht="15.75" thickBot="1" x14ac:dyDescent="0.3">
      <c r="A320" s="44" t="s">
        <v>983</v>
      </c>
      <c r="B320" s="107" t="s">
        <v>984</v>
      </c>
      <c r="C320" s="78" t="s">
        <v>822</v>
      </c>
      <c r="D320" s="108">
        <v>61195</v>
      </c>
      <c r="E320" s="108">
        <v>238440</v>
      </c>
      <c r="F320" s="108">
        <v>57765</v>
      </c>
      <c r="G320" s="108">
        <v>357400</v>
      </c>
      <c r="H320" s="125">
        <f t="shared" si="36"/>
        <v>2.3187829184191582</v>
      </c>
      <c r="I320" s="125">
        <f t="shared" si="37"/>
        <v>2.1888143685347279</v>
      </c>
      <c r="J320" s="125">
        <f t="shared" si="38"/>
        <v>13.542495547724602</v>
      </c>
      <c r="K320" s="125">
        <f t="shared" si="39"/>
        <v>33.351997013811122</v>
      </c>
      <c r="L320" s="126">
        <v>68365</v>
      </c>
      <c r="M320" s="108">
        <v>126130</v>
      </c>
      <c r="N320" s="108">
        <v>299635</v>
      </c>
      <c r="O320" s="108">
        <v>425765</v>
      </c>
      <c r="P320" s="108">
        <f t="shared" si="44"/>
        <v>16.132961994619379</v>
      </c>
      <c r="Q320" s="108">
        <v>73631</v>
      </c>
      <c r="R320" s="108">
        <v>785055</v>
      </c>
      <c r="S320" s="125">
        <f t="shared" si="40"/>
        <v>29.747072865749686</v>
      </c>
      <c r="T320" s="108">
        <v>34427</v>
      </c>
      <c r="U320" s="125">
        <f t="shared" si="41"/>
        <v>1.3044977454435225</v>
      </c>
      <c r="V320" s="108">
        <v>36744</v>
      </c>
      <c r="W320" s="108">
        <v>20076</v>
      </c>
      <c r="X320" s="108">
        <v>134430</v>
      </c>
      <c r="Y320" s="108">
        <v>160988</v>
      </c>
      <c r="Z320" s="125">
        <f t="shared" si="42"/>
        <v>5.0937819711265204</v>
      </c>
      <c r="AA320" s="125">
        <f t="shared" si="43"/>
        <v>12.544792833146696</v>
      </c>
      <c r="AB320" s="108">
        <v>37853</v>
      </c>
      <c r="AC320" s="78" t="s">
        <v>1643</v>
      </c>
      <c r="AD320" s="126">
        <v>28923</v>
      </c>
      <c r="AE320" s="108">
        <v>858686</v>
      </c>
      <c r="AF320" s="108">
        <v>10716</v>
      </c>
      <c r="AG320" s="108">
        <v>26391</v>
      </c>
    </row>
    <row r="321" spans="1:33" ht="15.75" thickBot="1" x14ac:dyDescent="0.3">
      <c r="A321" s="44" t="s">
        <v>1001</v>
      </c>
      <c r="B321" s="107" t="s">
        <v>1002</v>
      </c>
      <c r="C321" s="78" t="s">
        <v>822</v>
      </c>
      <c r="D321" s="108">
        <v>93051</v>
      </c>
      <c r="E321" s="108">
        <v>147614</v>
      </c>
      <c r="F321" s="108">
        <v>49854</v>
      </c>
      <c r="G321" s="108">
        <v>290519</v>
      </c>
      <c r="H321" s="125">
        <f t="shared" si="36"/>
        <v>2.8370072258300558</v>
      </c>
      <c r="I321" s="125">
        <f t="shared" si="37"/>
        <v>1.519985365407482</v>
      </c>
      <c r="J321" s="125">
        <f t="shared" si="38"/>
        <v>8.8575566328241706</v>
      </c>
      <c r="K321" s="125">
        <f t="shared" si="39"/>
        <v>9.0428300183646151</v>
      </c>
      <c r="L321" s="126">
        <v>14942</v>
      </c>
      <c r="M321" s="108">
        <v>64796</v>
      </c>
      <c r="N321" s="108">
        <v>240665</v>
      </c>
      <c r="O321" s="108">
        <v>305461</v>
      </c>
      <c r="P321" s="108">
        <f t="shared" si="44"/>
        <v>9.313119302417757</v>
      </c>
      <c r="Q321" s="108">
        <v>70089</v>
      </c>
      <c r="R321" s="108">
        <v>28535</v>
      </c>
      <c r="S321" s="125">
        <f t="shared" si="40"/>
        <v>0.86999603646452639</v>
      </c>
      <c r="T321" s="108">
        <v>21042</v>
      </c>
      <c r="U321" s="125">
        <f t="shared" si="41"/>
        <v>0.64154394951065585</v>
      </c>
      <c r="V321" s="108">
        <v>11298</v>
      </c>
      <c r="W321" s="108">
        <v>15882</v>
      </c>
      <c r="X321" s="108">
        <v>158602</v>
      </c>
      <c r="Y321" s="108">
        <v>82000</v>
      </c>
      <c r="Z321" s="125">
        <f t="shared" si="42"/>
        <v>4.8355742553126619</v>
      </c>
      <c r="AA321" s="125">
        <f t="shared" si="43"/>
        <v>4.9367198929249545</v>
      </c>
      <c r="AB321" s="108">
        <v>22407</v>
      </c>
      <c r="AC321" s="78" t="s">
        <v>1643</v>
      </c>
      <c r="AD321" s="126">
        <v>44752</v>
      </c>
      <c r="AE321" s="108">
        <v>98624</v>
      </c>
      <c r="AF321" s="108">
        <v>32127</v>
      </c>
      <c r="AG321" s="108">
        <v>32799</v>
      </c>
    </row>
    <row r="322" spans="1:33" ht="15.75" thickBot="1" x14ac:dyDescent="0.3">
      <c r="A322" s="44" t="s">
        <v>1011</v>
      </c>
      <c r="B322" s="107" t="s">
        <v>1012</v>
      </c>
      <c r="C322" s="78" t="s">
        <v>822</v>
      </c>
      <c r="D322" s="108">
        <v>33408</v>
      </c>
      <c r="E322" s="108">
        <v>115412</v>
      </c>
      <c r="F322" s="108">
        <v>8080</v>
      </c>
      <c r="G322" s="108">
        <v>156900</v>
      </c>
      <c r="H322" s="125">
        <f t="shared" si="36"/>
        <v>1.2766738000611433</v>
      </c>
      <c r="I322" s="125">
        <f t="shared" si="37"/>
        <v>0.30877407520635891</v>
      </c>
      <c r="J322" s="125">
        <f t="shared" si="38"/>
        <v>5.9958728217670441</v>
      </c>
      <c r="K322" s="125">
        <f t="shared" si="39"/>
        <v>13.905876096782771</v>
      </c>
      <c r="L322" s="126">
        <v>1939</v>
      </c>
      <c r="M322" s="108">
        <v>10019</v>
      </c>
      <c r="N322" s="108">
        <v>148820</v>
      </c>
      <c r="O322" s="108">
        <v>158839</v>
      </c>
      <c r="P322" s="108">
        <f t="shared" si="44"/>
        <v>6.0699709568939166</v>
      </c>
      <c r="Q322" s="108">
        <v>106862</v>
      </c>
      <c r="R322" s="108">
        <v>11644</v>
      </c>
      <c r="S322" s="125">
        <f t="shared" si="40"/>
        <v>0.44497095689391625</v>
      </c>
      <c r="T322" s="108">
        <v>17893</v>
      </c>
      <c r="U322" s="125">
        <f t="shared" si="41"/>
        <v>0.68377407520635891</v>
      </c>
      <c r="V322" s="108">
        <v>14141</v>
      </c>
      <c r="W322" s="108">
        <v>11923</v>
      </c>
      <c r="X322" s="108">
        <v>108602</v>
      </c>
      <c r="Y322" s="108">
        <v>40471</v>
      </c>
      <c r="Z322" s="125">
        <f t="shared" si="42"/>
        <v>4.1501834301436871</v>
      </c>
      <c r="AA322" s="125">
        <f t="shared" si="43"/>
        <v>9.6252769653460959</v>
      </c>
      <c r="AB322" s="108">
        <v>14718</v>
      </c>
      <c r="AC322" s="78" t="s">
        <v>1643</v>
      </c>
      <c r="AD322" s="126">
        <v>18848</v>
      </c>
      <c r="AE322" s="108">
        <v>118506</v>
      </c>
      <c r="AF322" s="108">
        <v>11283</v>
      </c>
      <c r="AG322" s="108">
        <v>26168</v>
      </c>
    </row>
    <row r="323" spans="1:33" ht="15.75" thickBot="1" x14ac:dyDescent="0.3">
      <c r="A323" s="44" t="s">
        <v>1023</v>
      </c>
      <c r="B323" s="107" t="s">
        <v>1024</v>
      </c>
      <c r="C323" s="78" t="s">
        <v>822</v>
      </c>
      <c r="D323" s="108">
        <v>101911</v>
      </c>
      <c r="E323" s="108">
        <v>144643</v>
      </c>
      <c r="F323" s="108">
        <v>80434</v>
      </c>
      <c r="G323" s="108">
        <v>326988</v>
      </c>
      <c r="H323" s="125">
        <f t="shared" si="36"/>
        <v>2.0978406307252104</v>
      </c>
      <c r="I323" s="125">
        <f t="shared" si="37"/>
        <v>1.6557360176207827</v>
      </c>
      <c r="J323" s="125">
        <f t="shared" si="38"/>
        <v>6.7310566294077692</v>
      </c>
      <c r="K323" s="125">
        <f t="shared" si="39"/>
        <v>30.265457238059977</v>
      </c>
      <c r="L323" s="126">
        <v>1934</v>
      </c>
      <c r="M323" s="108">
        <v>82368</v>
      </c>
      <c r="N323" s="108">
        <v>246554</v>
      </c>
      <c r="O323" s="108">
        <v>328922</v>
      </c>
      <c r="P323" s="108">
        <f t="shared" si="44"/>
        <v>6.7708680705654709</v>
      </c>
      <c r="Q323" s="108">
        <v>78675</v>
      </c>
      <c r="R323" s="108">
        <v>113098</v>
      </c>
      <c r="S323" s="125">
        <f t="shared" si="40"/>
        <v>2.3281253216410382</v>
      </c>
      <c r="T323" s="108">
        <v>56455</v>
      </c>
      <c r="U323" s="125">
        <f t="shared" si="41"/>
        <v>1.1621276683340538</v>
      </c>
      <c r="V323" s="108">
        <v>12785</v>
      </c>
      <c r="W323" s="108">
        <v>13556</v>
      </c>
      <c r="X323" s="108">
        <v>230200</v>
      </c>
      <c r="Y323" s="108">
        <v>207497</v>
      </c>
      <c r="Z323" s="125">
        <f t="shared" si="42"/>
        <v>4.7386730891949194</v>
      </c>
      <c r="AA323" s="125">
        <f t="shared" si="43"/>
        <v>21.306923361717882</v>
      </c>
      <c r="AB323" s="108">
        <v>28412</v>
      </c>
      <c r="AC323" s="78" t="s">
        <v>1643</v>
      </c>
      <c r="AD323" s="126">
        <v>87600</v>
      </c>
      <c r="AE323" s="108">
        <v>191773</v>
      </c>
      <c r="AF323" s="108">
        <v>10804</v>
      </c>
      <c r="AG323" s="108">
        <v>48579</v>
      </c>
    </row>
    <row r="324" spans="1:33" ht="15.75" thickBot="1" x14ac:dyDescent="0.3">
      <c r="A324" s="44" t="s">
        <v>1025</v>
      </c>
      <c r="B324" s="107" t="s">
        <v>1026</v>
      </c>
      <c r="C324" s="78" t="s">
        <v>822</v>
      </c>
      <c r="D324" s="108">
        <v>29490</v>
      </c>
      <c r="E324" s="108">
        <v>60257</v>
      </c>
      <c r="F324" s="108">
        <v>18297</v>
      </c>
      <c r="G324" s="108">
        <v>108044</v>
      </c>
      <c r="H324" s="125">
        <f t="shared" ref="H324:H387" si="45">D324/AG324</f>
        <v>0.90900684298132051</v>
      </c>
      <c r="I324" s="125">
        <f t="shared" ref="I324:I387" si="46">F324/AG324</f>
        <v>0.56399112261882745</v>
      </c>
      <c r="J324" s="125">
        <f t="shared" ref="J324:J387" si="47">G324/AG324</f>
        <v>3.3303742062758155</v>
      </c>
      <c r="K324" s="125">
        <f t="shared" ref="K324:K387" si="48">G324/AF324</f>
        <v>5.8395849097394876</v>
      </c>
      <c r="L324" s="126">
        <v>5475</v>
      </c>
      <c r="M324" s="108">
        <v>23772</v>
      </c>
      <c r="N324" s="108">
        <v>89747</v>
      </c>
      <c r="O324" s="108">
        <v>113519</v>
      </c>
      <c r="P324" s="108">
        <f t="shared" si="44"/>
        <v>3.4991369212748906</v>
      </c>
      <c r="Q324" s="108">
        <v>70688</v>
      </c>
      <c r="R324" s="108">
        <v>22583</v>
      </c>
      <c r="S324" s="125">
        <f t="shared" ref="S324:S387" si="49">R324/AG324</f>
        <v>0.69610381604093463</v>
      </c>
      <c r="T324" s="108">
        <v>12839</v>
      </c>
      <c r="U324" s="125">
        <f t="shared" ref="U324:U387" si="50">T324/AG324</f>
        <v>0.39575241970285435</v>
      </c>
      <c r="V324" s="108">
        <v>20442</v>
      </c>
      <c r="W324" s="108">
        <v>19606</v>
      </c>
      <c r="X324" s="108">
        <v>74594</v>
      </c>
      <c r="Y324" s="108">
        <v>15304</v>
      </c>
      <c r="Z324" s="125">
        <f t="shared" ref="Z324:Z387" si="51">X324/AG324</f>
        <v>2.2993033721718761</v>
      </c>
      <c r="AA324" s="125">
        <f t="shared" ref="AA324:AA387" si="52">X324/AF324</f>
        <v>4.0316722516484704</v>
      </c>
      <c r="AB324" s="108">
        <v>29168</v>
      </c>
      <c r="AC324" s="78" t="s">
        <v>1643</v>
      </c>
      <c r="AD324" s="126">
        <v>15305</v>
      </c>
      <c r="AE324" s="108">
        <v>93271</v>
      </c>
      <c r="AF324" s="108">
        <v>18502</v>
      </c>
      <c r="AG324" s="108">
        <v>32442</v>
      </c>
    </row>
    <row r="325" spans="1:33" ht="15.75" thickBot="1" x14ac:dyDescent="0.3">
      <c r="A325" s="44" t="s">
        <v>1085</v>
      </c>
      <c r="B325" s="107" t="s">
        <v>1086</v>
      </c>
      <c r="C325" s="78" t="s">
        <v>822</v>
      </c>
      <c r="D325" s="108">
        <v>34636</v>
      </c>
      <c r="E325" s="108">
        <v>37250</v>
      </c>
      <c r="F325" s="108">
        <v>10428</v>
      </c>
      <c r="G325" s="108">
        <v>82314</v>
      </c>
      <c r="H325" s="125">
        <f t="shared" si="45"/>
        <v>1.2507583417593529</v>
      </c>
      <c r="I325" s="125">
        <f t="shared" si="46"/>
        <v>0.37657085078723096</v>
      </c>
      <c r="J325" s="125">
        <f t="shared" si="47"/>
        <v>2.9724830275891954</v>
      </c>
      <c r="K325" s="125">
        <f t="shared" si="48"/>
        <v>13.531809962189708</v>
      </c>
      <c r="L325" s="126">
        <v>0</v>
      </c>
      <c r="M325" s="108">
        <v>10428</v>
      </c>
      <c r="N325" s="108">
        <v>71886</v>
      </c>
      <c r="O325" s="108">
        <v>82314</v>
      </c>
      <c r="P325" s="108">
        <f t="shared" ref="P325:P388" si="53">O325/AG325</f>
        <v>2.9724830275891954</v>
      </c>
      <c r="Q325" s="108">
        <v>58750</v>
      </c>
      <c r="R325" s="108">
        <v>66617</v>
      </c>
      <c r="S325" s="125">
        <f t="shared" si="49"/>
        <v>2.4056406182290915</v>
      </c>
      <c r="T325" s="108">
        <v>6665</v>
      </c>
      <c r="U325" s="125">
        <f t="shared" si="50"/>
        <v>0.24068322981366461</v>
      </c>
      <c r="V325" s="108">
        <v>15539</v>
      </c>
      <c r="W325" s="108">
        <v>8804</v>
      </c>
      <c r="X325" s="108">
        <v>65766</v>
      </c>
      <c r="Y325" s="108">
        <v>58704</v>
      </c>
      <c r="Z325" s="125">
        <f t="shared" si="51"/>
        <v>2.3749097212191246</v>
      </c>
      <c r="AA325" s="125">
        <f t="shared" si="52"/>
        <v>10.811441722834127</v>
      </c>
      <c r="AB325" s="108">
        <v>12038</v>
      </c>
      <c r="AC325" s="78" t="s">
        <v>1643</v>
      </c>
      <c r="AD325" s="126">
        <v>26888</v>
      </c>
      <c r="AE325" s="108">
        <v>125367</v>
      </c>
      <c r="AF325" s="108">
        <v>6083</v>
      </c>
      <c r="AG325" s="108">
        <v>27692</v>
      </c>
    </row>
    <row r="326" spans="1:33" ht="15.75" thickBot="1" x14ac:dyDescent="0.3">
      <c r="A326" s="44" t="s">
        <v>1093</v>
      </c>
      <c r="B326" s="107" t="s">
        <v>1094</v>
      </c>
      <c r="C326" s="78" t="s">
        <v>822</v>
      </c>
      <c r="D326" s="108">
        <v>177278</v>
      </c>
      <c r="E326" s="108">
        <v>141465</v>
      </c>
      <c r="F326" s="108">
        <v>56356</v>
      </c>
      <c r="G326" s="108">
        <v>375099</v>
      </c>
      <c r="H326" s="125">
        <f t="shared" si="45"/>
        <v>3.7730765137809938</v>
      </c>
      <c r="I326" s="125">
        <f t="shared" si="46"/>
        <v>1.1994466319037991</v>
      </c>
      <c r="J326" s="125">
        <f t="shared" si="47"/>
        <v>7.9833776737256574</v>
      </c>
      <c r="K326" s="125">
        <f t="shared" si="48"/>
        <v>17.255451283466741</v>
      </c>
      <c r="L326" s="126">
        <v>0</v>
      </c>
      <c r="M326" s="108">
        <v>56356</v>
      </c>
      <c r="N326" s="108">
        <v>318743</v>
      </c>
      <c r="O326" s="108">
        <v>375099</v>
      </c>
      <c r="P326" s="108">
        <f t="shared" si="53"/>
        <v>7.9833776737256574</v>
      </c>
      <c r="Q326" s="108">
        <v>179826</v>
      </c>
      <c r="R326" s="108">
        <v>38135</v>
      </c>
      <c r="S326" s="125">
        <f t="shared" si="49"/>
        <v>0.81164201340853459</v>
      </c>
      <c r="T326" s="108">
        <v>102998</v>
      </c>
      <c r="U326" s="125">
        <f t="shared" si="50"/>
        <v>2.19214642971161</v>
      </c>
      <c r="V326" s="108">
        <v>16967</v>
      </c>
      <c r="W326" s="108">
        <v>20877</v>
      </c>
      <c r="X326" s="108">
        <v>134334</v>
      </c>
      <c r="Y326" s="108">
        <v>112226</v>
      </c>
      <c r="Z326" s="125">
        <f t="shared" si="51"/>
        <v>2.8590826859636054</v>
      </c>
      <c r="AA326" s="125">
        <f t="shared" si="52"/>
        <v>6.1796853436378694</v>
      </c>
      <c r="AB326" s="108">
        <v>4165</v>
      </c>
      <c r="AC326" s="78" t="s">
        <v>1643</v>
      </c>
      <c r="AD326" s="126">
        <v>5742</v>
      </c>
      <c r="AE326" s="108">
        <v>217961</v>
      </c>
      <c r="AF326" s="108">
        <v>21738</v>
      </c>
      <c r="AG326" s="108">
        <v>46985</v>
      </c>
    </row>
    <row r="327" spans="1:33" ht="15.75" thickBot="1" x14ac:dyDescent="0.3">
      <c r="A327" s="44" t="s">
        <v>1113</v>
      </c>
      <c r="B327" s="107" t="s">
        <v>1114</v>
      </c>
      <c r="C327" s="78" t="s">
        <v>822</v>
      </c>
      <c r="D327" s="108">
        <v>28467</v>
      </c>
      <c r="E327" s="108">
        <v>137491</v>
      </c>
      <c r="F327" s="108">
        <v>5203</v>
      </c>
      <c r="G327" s="108">
        <v>171161</v>
      </c>
      <c r="H327" s="125">
        <f t="shared" si="45"/>
        <v>0.69604870653821704</v>
      </c>
      <c r="I327" s="125">
        <f t="shared" si="46"/>
        <v>0.12721893491124261</v>
      </c>
      <c r="J327" s="125">
        <f t="shared" si="47"/>
        <v>4.1850701745806642</v>
      </c>
      <c r="K327" s="125">
        <f t="shared" si="48"/>
        <v>11.417583883663532</v>
      </c>
      <c r="L327" s="126">
        <v>40158</v>
      </c>
      <c r="M327" s="108">
        <v>45361</v>
      </c>
      <c r="N327" s="108">
        <v>165958</v>
      </c>
      <c r="O327" s="108">
        <v>211319</v>
      </c>
      <c r="P327" s="108">
        <f t="shared" si="53"/>
        <v>5.1669763802630939</v>
      </c>
      <c r="Q327" s="108">
        <v>135016</v>
      </c>
      <c r="R327" s="108">
        <v>19291</v>
      </c>
      <c r="S327" s="125">
        <f t="shared" si="49"/>
        <v>0.47168565700034232</v>
      </c>
      <c r="T327" s="108">
        <v>67542</v>
      </c>
      <c r="U327" s="125">
        <f t="shared" si="50"/>
        <v>1.6514743997261481</v>
      </c>
      <c r="V327" s="108">
        <v>10264</v>
      </c>
      <c r="W327" s="108">
        <v>3748</v>
      </c>
      <c r="X327" s="108">
        <v>187123</v>
      </c>
      <c r="Y327" s="108">
        <v>128021</v>
      </c>
      <c r="Z327" s="125">
        <f t="shared" si="51"/>
        <v>4.5753582082253414</v>
      </c>
      <c r="AA327" s="125">
        <f t="shared" si="52"/>
        <v>12.482356080314856</v>
      </c>
      <c r="AB327" s="108">
        <v>27201</v>
      </c>
      <c r="AC327" s="78" t="s">
        <v>1643</v>
      </c>
      <c r="AD327" s="126">
        <v>29101</v>
      </c>
      <c r="AE327" s="108">
        <v>154307</v>
      </c>
      <c r="AF327" s="108">
        <v>14991</v>
      </c>
      <c r="AG327" s="108">
        <v>40898</v>
      </c>
    </row>
    <row r="328" spans="1:33" ht="15.75" thickBot="1" x14ac:dyDescent="0.3">
      <c r="A328" s="44" t="s">
        <v>1171</v>
      </c>
      <c r="B328" s="107" t="s">
        <v>1172</v>
      </c>
      <c r="C328" s="78" t="s">
        <v>822</v>
      </c>
      <c r="D328" s="108">
        <v>21981</v>
      </c>
      <c r="E328" s="108">
        <v>72511</v>
      </c>
      <c r="F328" s="108">
        <v>20760</v>
      </c>
      <c r="G328" s="108">
        <v>115252</v>
      </c>
      <c r="H328" s="125">
        <f t="shared" si="45"/>
        <v>0.52603742880390558</v>
      </c>
      <c r="I328" s="125">
        <f t="shared" si="46"/>
        <v>0.49681711578040494</v>
      </c>
      <c r="J328" s="125">
        <f t="shared" si="47"/>
        <v>2.7581486622313696</v>
      </c>
      <c r="K328" s="125">
        <f t="shared" si="48"/>
        <v>8.3819636363636363</v>
      </c>
      <c r="L328" s="126">
        <v>0</v>
      </c>
      <c r="M328" s="108">
        <v>20760</v>
      </c>
      <c r="N328" s="108">
        <v>94492</v>
      </c>
      <c r="O328" s="108">
        <v>115252</v>
      </c>
      <c r="P328" s="108">
        <f t="shared" si="53"/>
        <v>2.7581486622313696</v>
      </c>
      <c r="Q328" s="108">
        <v>114612</v>
      </c>
      <c r="R328" s="108">
        <v>18320</v>
      </c>
      <c r="S328" s="125">
        <f t="shared" si="49"/>
        <v>0.43842435265399893</v>
      </c>
      <c r="T328" s="108">
        <v>23999</v>
      </c>
      <c r="U328" s="125">
        <f t="shared" si="50"/>
        <v>0.57433111568467909</v>
      </c>
      <c r="V328" s="108">
        <v>11040</v>
      </c>
      <c r="W328" s="108">
        <v>10749</v>
      </c>
      <c r="X328" s="108">
        <v>110683</v>
      </c>
      <c r="Y328" s="108">
        <v>76265</v>
      </c>
      <c r="Z328" s="125">
        <f t="shared" si="51"/>
        <v>2.6488058201311442</v>
      </c>
      <c r="AA328" s="125">
        <f t="shared" si="52"/>
        <v>8.0496727272727266</v>
      </c>
      <c r="AB328" s="108">
        <v>19362</v>
      </c>
      <c r="AC328" s="78" t="s">
        <v>1643</v>
      </c>
      <c r="AD328" s="126">
        <v>60252</v>
      </c>
      <c r="AE328" s="108">
        <v>132932</v>
      </c>
      <c r="AF328" s="108">
        <v>13750</v>
      </c>
      <c r="AG328" s="108">
        <v>41786</v>
      </c>
    </row>
    <row r="329" spans="1:33" ht="15.75" thickBot="1" x14ac:dyDescent="0.3">
      <c r="A329" s="44" t="s">
        <v>1215</v>
      </c>
      <c r="B329" s="107" t="s">
        <v>1216</v>
      </c>
      <c r="C329" s="78" t="s">
        <v>822</v>
      </c>
      <c r="D329" s="108">
        <v>51111</v>
      </c>
      <c r="E329" s="108">
        <v>95743</v>
      </c>
      <c r="F329" s="108">
        <v>16567</v>
      </c>
      <c r="G329" s="108">
        <v>163421</v>
      </c>
      <c r="H329" s="125">
        <f t="shared" si="45"/>
        <v>1.2536116357214686</v>
      </c>
      <c r="I329" s="125">
        <f t="shared" si="46"/>
        <v>0.40634274361678646</v>
      </c>
      <c r="J329" s="125">
        <f t="shared" si="47"/>
        <v>4.0082656790365698</v>
      </c>
      <c r="K329" s="125">
        <f t="shared" si="48"/>
        <v>25.419349821123035</v>
      </c>
      <c r="L329" s="127">
        <v>0</v>
      </c>
      <c r="M329" s="108">
        <v>16567</v>
      </c>
      <c r="N329" s="108">
        <v>146854</v>
      </c>
      <c r="O329" s="108">
        <v>163421</v>
      </c>
      <c r="P329" s="108">
        <f t="shared" si="53"/>
        <v>4.0082656790365698</v>
      </c>
      <c r="Q329" s="108">
        <v>126466</v>
      </c>
      <c r="R329" s="108">
        <v>676706</v>
      </c>
      <c r="S329" s="125">
        <f t="shared" si="49"/>
        <v>16.597728777807756</v>
      </c>
      <c r="T329" s="108">
        <v>8500</v>
      </c>
      <c r="U329" s="125">
        <f t="shared" si="50"/>
        <v>0.20848151872654583</v>
      </c>
      <c r="V329" s="108">
        <v>8984</v>
      </c>
      <c r="W329" s="108">
        <v>11055</v>
      </c>
      <c r="X329" s="108">
        <v>117500</v>
      </c>
      <c r="Y329" s="108">
        <v>10000</v>
      </c>
      <c r="Z329" s="125">
        <f t="shared" si="51"/>
        <v>2.8819504059257808</v>
      </c>
      <c r="AA329" s="125">
        <f t="shared" si="52"/>
        <v>18.276559340488411</v>
      </c>
      <c r="AB329" s="108">
        <v>11683</v>
      </c>
      <c r="AC329" s="78" t="s">
        <v>1643</v>
      </c>
      <c r="AD329" s="126">
        <v>8602</v>
      </c>
      <c r="AE329" s="108">
        <v>803172</v>
      </c>
      <c r="AF329" s="108">
        <v>6429</v>
      </c>
      <c r="AG329" s="108">
        <v>40771</v>
      </c>
    </row>
    <row r="330" spans="1:33" ht="15.75" thickBot="1" x14ac:dyDescent="0.3">
      <c r="A330" s="44" t="s">
        <v>1221</v>
      </c>
      <c r="B330" s="107" t="s">
        <v>1222</v>
      </c>
      <c r="C330" s="78" t="s">
        <v>822</v>
      </c>
      <c r="D330" s="108">
        <v>12104</v>
      </c>
      <c r="E330" s="108">
        <v>15912</v>
      </c>
      <c r="F330" s="108">
        <v>4170</v>
      </c>
      <c r="G330" s="108">
        <v>32186</v>
      </c>
      <c r="H330" s="125">
        <f t="shared" si="45"/>
        <v>0.31732382550335569</v>
      </c>
      <c r="I330" s="125">
        <f t="shared" si="46"/>
        <v>0.10932256711409397</v>
      </c>
      <c r="J330" s="125">
        <f t="shared" si="47"/>
        <v>0.84380243288590606</v>
      </c>
      <c r="K330" s="125">
        <f t="shared" si="48"/>
        <v>4.2211147540983607</v>
      </c>
      <c r="L330" s="126">
        <v>2428</v>
      </c>
      <c r="M330" s="108">
        <v>6598</v>
      </c>
      <c r="N330" s="108">
        <v>28016</v>
      </c>
      <c r="O330" s="108">
        <v>34614</v>
      </c>
      <c r="P330" s="108">
        <f t="shared" si="53"/>
        <v>0.90745595637583898</v>
      </c>
      <c r="Q330" s="108">
        <v>44568</v>
      </c>
      <c r="R330" s="108">
        <v>3754</v>
      </c>
      <c r="S330" s="125">
        <f t="shared" si="49"/>
        <v>9.8416526845637578E-2</v>
      </c>
      <c r="T330" s="108">
        <v>1436</v>
      </c>
      <c r="U330" s="125">
        <f t="shared" si="50"/>
        <v>3.7646812080536912E-2</v>
      </c>
      <c r="V330" s="108">
        <v>12033</v>
      </c>
      <c r="W330" s="108">
        <v>7942</v>
      </c>
      <c r="X330" s="108">
        <v>16893</v>
      </c>
      <c r="Y330" s="108">
        <v>5936</v>
      </c>
      <c r="Z330" s="125">
        <f t="shared" si="51"/>
        <v>0.44287437080536912</v>
      </c>
      <c r="AA330" s="125">
        <f t="shared" si="52"/>
        <v>2.2154754098360656</v>
      </c>
      <c r="AB330" s="108">
        <v>9788</v>
      </c>
      <c r="AC330" s="78" t="s">
        <v>1643</v>
      </c>
      <c r="AD330" s="126">
        <v>2382</v>
      </c>
      <c r="AE330" s="108">
        <v>48322</v>
      </c>
      <c r="AF330" s="108">
        <v>7625</v>
      </c>
      <c r="AG330" s="108">
        <v>38144</v>
      </c>
    </row>
    <row r="331" spans="1:33" ht="15.75" thickBot="1" x14ac:dyDescent="0.3">
      <c r="A331" s="44" t="s">
        <v>1231</v>
      </c>
      <c r="B331" s="107" t="s">
        <v>1232</v>
      </c>
      <c r="C331" s="78" t="s">
        <v>822</v>
      </c>
      <c r="D331" s="108">
        <v>130305</v>
      </c>
      <c r="E331" s="108">
        <v>301749</v>
      </c>
      <c r="F331" s="108">
        <v>71751</v>
      </c>
      <c r="G331" s="108">
        <v>503805</v>
      </c>
      <c r="H331" s="125">
        <f t="shared" si="45"/>
        <v>3.6664321890827236</v>
      </c>
      <c r="I331" s="125">
        <f t="shared" si="46"/>
        <v>2.0188801350590881</v>
      </c>
      <c r="J331" s="125">
        <f t="shared" si="47"/>
        <v>14.175717501406865</v>
      </c>
      <c r="K331" s="125">
        <f t="shared" si="48"/>
        <v>22.431211041852183</v>
      </c>
      <c r="L331" s="126">
        <v>29176</v>
      </c>
      <c r="M331" s="108">
        <v>100927</v>
      </c>
      <c r="N331" s="108">
        <v>432054</v>
      </c>
      <c r="O331" s="108">
        <v>532981</v>
      </c>
      <c r="P331" s="108">
        <f t="shared" si="53"/>
        <v>14.996651660101294</v>
      </c>
      <c r="Q331" s="108">
        <v>139606</v>
      </c>
      <c r="R331" s="108">
        <v>49485</v>
      </c>
      <c r="S331" s="125">
        <f t="shared" si="49"/>
        <v>1.3923747889701745</v>
      </c>
      <c r="T331" s="108">
        <v>18172</v>
      </c>
      <c r="U331" s="125">
        <f t="shared" si="50"/>
        <v>0.5113111986494091</v>
      </c>
      <c r="V331" s="108">
        <v>16708</v>
      </c>
      <c r="W331" s="108">
        <v>12182</v>
      </c>
      <c r="X331" s="108">
        <v>172991</v>
      </c>
      <c r="Y331" s="108">
        <v>85000</v>
      </c>
      <c r="Z331" s="125">
        <f t="shared" si="51"/>
        <v>4.8675014068655038</v>
      </c>
      <c r="AA331" s="125">
        <f t="shared" si="52"/>
        <v>7.7021816562778271</v>
      </c>
      <c r="AB331" s="108">
        <v>20327</v>
      </c>
      <c r="AC331" s="78" t="s">
        <v>1643</v>
      </c>
      <c r="AD331" s="126">
        <v>315889</v>
      </c>
      <c r="AE331" s="108">
        <v>189091</v>
      </c>
      <c r="AF331" s="108">
        <v>22460</v>
      </c>
      <c r="AG331" s="108">
        <v>35540</v>
      </c>
    </row>
    <row r="332" spans="1:33" ht="15.75" thickBot="1" x14ac:dyDescent="0.3">
      <c r="A332" s="44" t="s">
        <v>1247</v>
      </c>
      <c r="B332" s="107" t="s">
        <v>1248</v>
      </c>
      <c r="C332" s="78" t="s">
        <v>822</v>
      </c>
      <c r="D332" s="108">
        <v>33041</v>
      </c>
      <c r="E332" s="108">
        <v>55090</v>
      </c>
      <c r="F332" s="108">
        <v>13588</v>
      </c>
      <c r="G332" s="108">
        <v>101719</v>
      </c>
      <c r="H332" s="125">
        <f t="shared" si="45"/>
        <v>1.1127163736781842</v>
      </c>
      <c r="I332" s="125">
        <f t="shared" si="46"/>
        <v>0.45760086212702905</v>
      </c>
      <c r="J332" s="125">
        <f t="shared" si="47"/>
        <v>3.4255741900720684</v>
      </c>
      <c r="K332" s="125">
        <f t="shared" si="48"/>
        <v>18.128497594011762</v>
      </c>
      <c r="L332" s="126">
        <v>319</v>
      </c>
      <c r="M332" s="108">
        <v>13907</v>
      </c>
      <c r="N332" s="108">
        <v>88131</v>
      </c>
      <c r="O332" s="108">
        <v>102038</v>
      </c>
      <c r="P332" s="108">
        <f t="shared" si="53"/>
        <v>3.436317101097865</v>
      </c>
      <c r="Q332" s="108">
        <v>77714</v>
      </c>
      <c r="R332" s="108">
        <v>57003</v>
      </c>
      <c r="S332" s="125">
        <f t="shared" si="49"/>
        <v>1.9196807435845626</v>
      </c>
      <c r="T332" s="108">
        <v>5372</v>
      </c>
      <c r="U332" s="125">
        <f t="shared" si="50"/>
        <v>0.1809119687478952</v>
      </c>
      <c r="V332" s="108">
        <v>14952</v>
      </c>
      <c r="W332" s="108">
        <v>12656</v>
      </c>
      <c r="X332" s="108">
        <v>97409</v>
      </c>
      <c r="Y332" s="108">
        <v>12404</v>
      </c>
      <c r="Z332" s="125">
        <f t="shared" si="51"/>
        <v>3.2804270222940661</v>
      </c>
      <c r="AA332" s="125">
        <f t="shared" si="52"/>
        <v>17.360363571555872</v>
      </c>
      <c r="AB332" s="108">
        <v>27926</v>
      </c>
      <c r="AC332" s="78" t="s">
        <v>1643</v>
      </c>
      <c r="AD332" s="126">
        <v>5153</v>
      </c>
      <c r="AE332" s="108">
        <v>134717</v>
      </c>
      <c r="AF332" s="108">
        <v>5611</v>
      </c>
      <c r="AG332" s="108">
        <v>29694</v>
      </c>
    </row>
    <row r="333" spans="1:33" ht="15.75" thickBot="1" x14ac:dyDescent="0.3">
      <c r="A333" s="44" t="s">
        <v>1267</v>
      </c>
      <c r="B333" s="107" t="s">
        <v>1268</v>
      </c>
      <c r="C333" s="78" t="s">
        <v>822</v>
      </c>
      <c r="D333" s="108">
        <v>77078</v>
      </c>
      <c r="E333" s="108">
        <v>176954</v>
      </c>
      <c r="F333" s="108">
        <v>66501</v>
      </c>
      <c r="G333" s="108">
        <v>320533</v>
      </c>
      <c r="H333" s="125">
        <f t="shared" si="45"/>
        <v>2.6907072540668855</v>
      </c>
      <c r="I333" s="125">
        <f t="shared" si="46"/>
        <v>2.3214759477763041</v>
      </c>
      <c r="J333" s="125">
        <f t="shared" si="47"/>
        <v>11.189450534105983</v>
      </c>
      <c r="K333" s="125">
        <f t="shared" si="48"/>
        <v>21.700155710513844</v>
      </c>
      <c r="L333" s="126">
        <v>3677</v>
      </c>
      <c r="M333" s="108">
        <v>70178</v>
      </c>
      <c r="N333" s="108">
        <v>254032</v>
      </c>
      <c r="O333" s="108">
        <v>324210</v>
      </c>
      <c r="P333" s="108">
        <f t="shared" si="53"/>
        <v>11.317810514557006</v>
      </c>
      <c r="Q333" s="108">
        <v>68447</v>
      </c>
      <c r="R333" s="108">
        <v>28604</v>
      </c>
      <c r="S333" s="125">
        <f t="shared" si="49"/>
        <v>0.99853382671228097</v>
      </c>
      <c r="T333" s="108">
        <v>496</v>
      </c>
      <c r="U333" s="125">
        <f t="shared" si="50"/>
        <v>1.7314808350205962E-2</v>
      </c>
      <c r="V333" s="108">
        <v>7848</v>
      </c>
      <c r="W333" s="108">
        <v>8349</v>
      </c>
      <c r="X333" s="108">
        <v>193841</v>
      </c>
      <c r="Y333" s="108">
        <v>51778</v>
      </c>
      <c r="Z333" s="125">
        <f t="shared" si="51"/>
        <v>6.7667737205892617</v>
      </c>
      <c r="AA333" s="125">
        <f t="shared" si="52"/>
        <v>13.123079006160721</v>
      </c>
      <c r="AB333" s="108">
        <v>134370</v>
      </c>
      <c r="AC333" s="78" t="s">
        <v>1643</v>
      </c>
      <c r="AD333" s="126">
        <v>75196</v>
      </c>
      <c r="AE333" s="108">
        <v>97051</v>
      </c>
      <c r="AF333" s="108">
        <v>14771</v>
      </c>
      <c r="AG333" s="108">
        <v>28646</v>
      </c>
    </row>
    <row r="334" spans="1:33" ht="15.75" thickBot="1" x14ac:dyDescent="0.3">
      <c r="A334" s="44" t="s">
        <v>1323</v>
      </c>
      <c r="B334" s="107" t="s">
        <v>1324</v>
      </c>
      <c r="C334" s="78" t="s">
        <v>822</v>
      </c>
      <c r="D334" s="108">
        <v>125923</v>
      </c>
      <c r="E334" s="108">
        <v>154708</v>
      </c>
      <c r="F334" s="108">
        <v>71436</v>
      </c>
      <c r="G334" s="108">
        <v>352067</v>
      </c>
      <c r="H334" s="125">
        <f t="shared" si="45"/>
        <v>3.6534366205355848</v>
      </c>
      <c r="I334" s="125">
        <f t="shared" si="46"/>
        <v>2.0725911741665941</v>
      </c>
      <c r="J334" s="125">
        <f t="shared" si="47"/>
        <v>10.214611077262308</v>
      </c>
      <c r="K334" s="125">
        <f t="shared" si="48"/>
        <v>21.566125574272586</v>
      </c>
      <c r="L334" s="126">
        <v>82850</v>
      </c>
      <c r="M334" s="108">
        <v>154286</v>
      </c>
      <c r="N334" s="108">
        <v>280631</v>
      </c>
      <c r="O334" s="108">
        <v>434917</v>
      </c>
      <c r="P334" s="108">
        <f t="shared" si="53"/>
        <v>12.618359590332782</v>
      </c>
      <c r="Q334" s="108">
        <v>123852</v>
      </c>
      <c r="R334" s="108">
        <v>489479</v>
      </c>
      <c r="S334" s="125">
        <f t="shared" si="49"/>
        <v>14.201381031131227</v>
      </c>
      <c r="T334" s="108">
        <v>45570</v>
      </c>
      <c r="U334" s="125">
        <f t="shared" si="50"/>
        <v>1.3221342153364088</v>
      </c>
      <c r="V334" s="108">
        <v>12611</v>
      </c>
      <c r="W334" s="108">
        <v>41132</v>
      </c>
      <c r="X334" s="108">
        <v>163537</v>
      </c>
      <c r="Y334" s="108">
        <v>200440</v>
      </c>
      <c r="Z334" s="125">
        <f t="shared" si="51"/>
        <v>4.7447413467954851</v>
      </c>
      <c r="AA334" s="125">
        <f t="shared" si="52"/>
        <v>10.017580398162329</v>
      </c>
      <c r="AB334" s="108">
        <v>19633</v>
      </c>
      <c r="AC334" s="78" t="s">
        <v>1643</v>
      </c>
      <c r="AD334" s="126">
        <v>16556</v>
      </c>
      <c r="AE334" s="108">
        <v>613331</v>
      </c>
      <c r="AF334" s="108">
        <v>16325</v>
      </c>
      <c r="AG334" s="108">
        <v>34467</v>
      </c>
    </row>
    <row r="335" spans="1:33" ht="15.75" thickBot="1" x14ac:dyDescent="0.3">
      <c r="A335" s="44" t="s">
        <v>1329</v>
      </c>
      <c r="B335" s="107" t="s">
        <v>1330</v>
      </c>
      <c r="C335" s="78" t="s">
        <v>822</v>
      </c>
      <c r="D335" s="108">
        <v>30887</v>
      </c>
      <c r="E335" s="108">
        <v>39675</v>
      </c>
      <c r="F335" s="108">
        <v>6512</v>
      </c>
      <c r="G335" s="108">
        <v>77074</v>
      </c>
      <c r="H335" s="125">
        <f t="shared" si="45"/>
        <v>1.0534806780585968</v>
      </c>
      <c r="I335" s="125">
        <f t="shared" si="46"/>
        <v>0.22210853030458064</v>
      </c>
      <c r="J335" s="125">
        <f t="shared" si="47"/>
        <v>2.6288072580920221</v>
      </c>
      <c r="K335" s="125">
        <f t="shared" si="48"/>
        <v>7.6515437307654128</v>
      </c>
      <c r="L335" s="126">
        <v>0</v>
      </c>
      <c r="M335" s="108">
        <v>6512</v>
      </c>
      <c r="N335" s="108">
        <v>70562</v>
      </c>
      <c r="O335" s="108">
        <v>77074</v>
      </c>
      <c r="P335" s="108">
        <f t="shared" si="53"/>
        <v>2.6288072580920221</v>
      </c>
      <c r="Q335" s="108">
        <v>83366</v>
      </c>
      <c r="R335" s="108">
        <v>62073</v>
      </c>
      <c r="S335" s="125">
        <f t="shared" si="49"/>
        <v>2.117159521129643</v>
      </c>
      <c r="T335" s="108">
        <v>-1</v>
      </c>
      <c r="U335" s="125">
        <f t="shared" si="50"/>
        <v>-3.4107575292472457E-5</v>
      </c>
      <c r="V335" s="108">
        <v>9149</v>
      </c>
      <c r="W335" s="108">
        <v>9462</v>
      </c>
      <c r="X335" s="108">
        <v>158000</v>
      </c>
      <c r="Y335" s="108">
        <v>7191</v>
      </c>
      <c r="Z335" s="125">
        <f t="shared" si="51"/>
        <v>5.3889968962106485</v>
      </c>
      <c r="AA335" s="125">
        <f t="shared" si="52"/>
        <v>15.685495880075448</v>
      </c>
      <c r="AB335" s="108">
        <v>19635</v>
      </c>
      <c r="AC335" s="78" t="s">
        <v>1643</v>
      </c>
      <c r="AD335" s="126">
        <v>8523</v>
      </c>
      <c r="AE335" s="108">
        <v>145439</v>
      </c>
      <c r="AF335" s="108">
        <v>10073</v>
      </c>
      <c r="AG335" s="108">
        <v>29319</v>
      </c>
    </row>
    <row r="336" spans="1:33" ht="15.75" thickBot="1" x14ac:dyDescent="0.3">
      <c r="A336" s="44" t="s">
        <v>1335</v>
      </c>
      <c r="B336" s="107" t="s">
        <v>1336</v>
      </c>
      <c r="C336" s="78" t="s">
        <v>822</v>
      </c>
      <c r="D336" s="108">
        <v>179734</v>
      </c>
      <c r="E336" s="108">
        <v>221565</v>
      </c>
      <c r="F336" s="108">
        <v>78245</v>
      </c>
      <c r="G336" s="108">
        <v>479544</v>
      </c>
      <c r="H336" s="125">
        <f t="shared" si="45"/>
        <v>5.0780923320336777</v>
      </c>
      <c r="I336" s="125">
        <f t="shared" si="46"/>
        <v>2.2106854269085154</v>
      </c>
      <c r="J336" s="125">
        <f t="shared" si="47"/>
        <v>13.548737074080353</v>
      </c>
      <c r="K336" s="125">
        <f t="shared" si="48"/>
        <v>17.909471168210338</v>
      </c>
      <c r="L336" s="126">
        <v>65816</v>
      </c>
      <c r="M336" s="108">
        <v>144061</v>
      </c>
      <c r="N336" s="108">
        <v>401299</v>
      </c>
      <c r="O336" s="108">
        <v>545360</v>
      </c>
      <c r="P336" s="108">
        <f t="shared" si="53"/>
        <v>15.408261287223823</v>
      </c>
      <c r="Q336" s="108">
        <v>119263</v>
      </c>
      <c r="R336" s="108">
        <v>117520</v>
      </c>
      <c r="S336" s="125">
        <f t="shared" si="49"/>
        <v>3.3203367802452393</v>
      </c>
      <c r="T336" s="108">
        <v>34320</v>
      </c>
      <c r="U336" s="125">
        <f t="shared" si="50"/>
        <v>0.96965587387692831</v>
      </c>
      <c r="V336" s="108">
        <v>10897</v>
      </c>
      <c r="W336" s="108">
        <v>8859</v>
      </c>
      <c r="X336" s="108">
        <v>187431</v>
      </c>
      <c r="Y336" s="108">
        <v>231898</v>
      </c>
      <c r="Z336" s="125">
        <f t="shared" si="51"/>
        <v>5.2955585692490255</v>
      </c>
      <c r="AA336" s="125">
        <f t="shared" si="52"/>
        <v>6.999962653122199</v>
      </c>
      <c r="AB336" s="108">
        <v>19469</v>
      </c>
      <c r="AC336" s="78" t="s">
        <v>1643</v>
      </c>
      <c r="AD336" s="126">
        <v>17018</v>
      </c>
      <c r="AE336" s="108">
        <v>236783</v>
      </c>
      <c r="AF336" s="108">
        <v>26776</v>
      </c>
      <c r="AG336" s="108">
        <v>35394</v>
      </c>
    </row>
    <row r="337" spans="1:33" ht="15.75" thickBot="1" x14ac:dyDescent="0.3">
      <c r="A337" s="44" t="s">
        <v>1363</v>
      </c>
      <c r="B337" s="107" t="s">
        <v>1364</v>
      </c>
      <c r="C337" s="78" t="s">
        <v>822</v>
      </c>
      <c r="D337" s="108">
        <v>90163</v>
      </c>
      <c r="E337" s="108">
        <v>135510</v>
      </c>
      <c r="F337" s="108">
        <v>29668</v>
      </c>
      <c r="G337" s="108">
        <v>255341</v>
      </c>
      <c r="H337" s="125">
        <f t="shared" si="45"/>
        <v>2.4742185999286517</v>
      </c>
      <c r="I337" s="125">
        <f t="shared" si="46"/>
        <v>0.81413792157185583</v>
      </c>
      <c r="J337" s="125">
        <f t="shared" si="47"/>
        <v>7.0069701709612797</v>
      </c>
      <c r="K337" s="125">
        <f t="shared" si="48"/>
        <v>12.723155114853755</v>
      </c>
      <c r="L337" s="126">
        <v>8280</v>
      </c>
      <c r="M337" s="108">
        <v>37948</v>
      </c>
      <c r="N337" s="108">
        <v>225673</v>
      </c>
      <c r="O337" s="108">
        <v>263621</v>
      </c>
      <c r="P337" s="108">
        <f t="shared" si="53"/>
        <v>7.2341867676518206</v>
      </c>
      <c r="Q337" s="108">
        <v>180108</v>
      </c>
      <c r="R337" s="108">
        <v>13052</v>
      </c>
      <c r="S337" s="125">
        <f t="shared" si="49"/>
        <v>0.35816799758513762</v>
      </c>
      <c r="T337" s="108">
        <v>33413</v>
      </c>
      <c r="U337" s="125">
        <f t="shared" si="50"/>
        <v>0.9169067808237974</v>
      </c>
      <c r="V337" s="108">
        <v>8570</v>
      </c>
      <c r="W337" s="108">
        <v>7726</v>
      </c>
      <c r="X337" s="108">
        <v>193930</v>
      </c>
      <c r="Y337" s="108">
        <v>148741</v>
      </c>
      <c r="Z337" s="125">
        <f t="shared" si="51"/>
        <v>5.3217529705551438</v>
      </c>
      <c r="AA337" s="125">
        <f t="shared" si="52"/>
        <v>9.6631620907867859</v>
      </c>
      <c r="AB337" s="108">
        <v>25177</v>
      </c>
      <c r="AC337" s="78" t="s">
        <v>1643</v>
      </c>
      <c r="AD337" s="126">
        <v>18744</v>
      </c>
      <c r="AE337" s="108">
        <v>193160</v>
      </c>
      <c r="AF337" s="108">
        <v>20069</v>
      </c>
      <c r="AG337" s="108">
        <v>36441</v>
      </c>
    </row>
    <row r="338" spans="1:33" ht="15.75" thickBot="1" x14ac:dyDescent="0.3">
      <c r="A338" s="44" t="s">
        <v>1373</v>
      </c>
      <c r="B338" s="107" t="s">
        <v>1374</v>
      </c>
      <c r="C338" s="78" t="s">
        <v>822</v>
      </c>
      <c r="D338" s="108">
        <v>278545</v>
      </c>
      <c r="E338" s="108">
        <v>426021</v>
      </c>
      <c r="F338" s="108">
        <v>81196</v>
      </c>
      <c r="G338" s="108">
        <v>785762</v>
      </c>
      <c r="H338" s="125">
        <f t="shared" si="45"/>
        <v>7.5988924050632916</v>
      </c>
      <c r="I338" s="125">
        <f t="shared" si="46"/>
        <v>2.2150807507638586</v>
      </c>
      <c r="J338" s="125">
        <f t="shared" si="47"/>
        <v>21.436108686163248</v>
      </c>
      <c r="K338" s="125">
        <f t="shared" si="48"/>
        <v>12.011036380311831</v>
      </c>
      <c r="L338" s="126">
        <v>45714</v>
      </c>
      <c r="M338" s="108">
        <v>126910</v>
      </c>
      <c r="N338" s="108">
        <v>704566</v>
      </c>
      <c r="O338" s="108">
        <v>831476</v>
      </c>
      <c r="P338" s="108">
        <f t="shared" si="53"/>
        <v>22.68321693583588</v>
      </c>
      <c r="Q338" s="108">
        <v>242673</v>
      </c>
      <c r="R338" s="108">
        <v>1058602</v>
      </c>
      <c r="S338" s="125">
        <f t="shared" si="49"/>
        <v>28.879364906154517</v>
      </c>
      <c r="T338" s="108">
        <v>54245</v>
      </c>
      <c r="U338" s="125">
        <f t="shared" si="50"/>
        <v>1.4798395896988215</v>
      </c>
      <c r="V338" s="108">
        <v>15786</v>
      </c>
      <c r="W338" s="108">
        <v>14607</v>
      </c>
      <c r="X338" s="108">
        <v>321141</v>
      </c>
      <c r="Y338" s="108">
        <v>2979996</v>
      </c>
      <c r="Z338" s="125">
        <f t="shared" si="51"/>
        <v>8.7609395460497606</v>
      </c>
      <c r="AA338" s="125">
        <f t="shared" si="52"/>
        <v>4.9089116478141239</v>
      </c>
      <c r="AB338" s="108">
        <v>33114</v>
      </c>
      <c r="AC338" s="78" t="s">
        <v>1643</v>
      </c>
      <c r="AD338" s="126">
        <v>121145</v>
      </c>
      <c r="AE338" s="108">
        <v>1301275</v>
      </c>
      <c r="AF338" s="108">
        <v>65420</v>
      </c>
      <c r="AG338" s="108">
        <v>36656</v>
      </c>
    </row>
    <row r="339" spans="1:33" ht="15.75" thickBot="1" x14ac:dyDescent="0.3">
      <c r="A339" s="44" t="s">
        <v>1401</v>
      </c>
      <c r="B339" s="107" t="s">
        <v>1402</v>
      </c>
      <c r="C339" s="78" t="s">
        <v>822</v>
      </c>
      <c r="D339" s="108">
        <v>71626</v>
      </c>
      <c r="E339" s="108">
        <v>154631</v>
      </c>
      <c r="F339" s="108">
        <v>30181</v>
      </c>
      <c r="G339" s="108">
        <v>256438</v>
      </c>
      <c r="H339" s="125">
        <f t="shared" si="45"/>
        <v>1.4810388321409371</v>
      </c>
      <c r="I339" s="125">
        <f t="shared" si="46"/>
        <v>0.62406434804185107</v>
      </c>
      <c r="J339" s="125">
        <f t="shared" si="47"/>
        <v>5.3024688805260327</v>
      </c>
      <c r="K339" s="125">
        <f t="shared" si="48"/>
        <v>16.399437232205667</v>
      </c>
      <c r="L339" s="126">
        <v>48084</v>
      </c>
      <c r="M339" s="108">
        <v>78265</v>
      </c>
      <c r="N339" s="108">
        <v>226257</v>
      </c>
      <c r="O339" s="108">
        <v>304522</v>
      </c>
      <c r="P339" s="108">
        <f t="shared" si="53"/>
        <v>6.2967205657334269</v>
      </c>
      <c r="Q339" s="108">
        <v>153532</v>
      </c>
      <c r="R339" s="108">
        <v>69670</v>
      </c>
      <c r="S339" s="125">
        <f t="shared" si="49"/>
        <v>1.4405938546792936</v>
      </c>
      <c r="T339" s="108">
        <v>23664</v>
      </c>
      <c r="U339" s="125">
        <f t="shared" si="50"/>
        <v>0.48930978867706049</v>
      </c>
      <c r="V339" s="108">
        <v>49537</v>
      </c>
      <c r="W339" s="108">
        <v>16597</v>
      </c>
      <c r="X339" s="108">
        <v>162822</v>
      </c>
      <c r="Y339" s="108">
        <v>151782</v>
      </c>
      <c r="Z339" s="125">
        <f t="shared" si="51"/>
        <v>3.3667342128117115</v>
      </c>
      <c r="AA339" s="125">
        <f t="shared" si="52"/>
        <v>10.412611114663939</v>
      </c>
      <c r="AB339" s="108">
        <v>34539</v>
      </c>
      <c r="AC339" s="78" t="s">
        <v>1643</v>
      </c>
      <c r="AD339" s="126">
        <v>127903</v>
      </c>
      <c r="AE339" s="108">
        <v>223202</v>
      </c>
      <c r="AF339" s="108">
        <v>15637</v>
      </c>
      <c r="AG339" s="108">
        <v>48362</v>
      </c>
    </row>
    <row r="340" spans="1:33" ht="15.75" thickBot="1" x14ac:dyDescent="0.3">
      <c r="A340" s="44" t="s">
        <v>1425</v>
      </c>
      <c r="B340" s="107" t="s">
        <v>1426</v>
      </c>
      <c r="C340" s="78" t="s">
        <v>822</v>
      </c>
      <c r="D340" s="108">
        <v>119551</v>
      </c>
      <c r="E340" s="108">
        <v>216931</v>
      </c>
      <c r="F340" s="108">
        <v>28273</v>
      </c>
      <c r="G340" s="108">
        <v>364755</v>
      </c>
      <c r="H340" s="125">
        <f t="shared" si="45"/>
        <v>3.5329353704305682</v>
      </c>
      <c r="I340" s="125">
        <f t="shared" si="46"/>
        <v>0.83551523390171101</v>
      </c>
      <c r="J340" s="125">
        <f t="shared" si="47"/>
        <v>10.779130588965394</v>
      </c>
      <c r="K340" s="125">
        <f t="shared" si="48"/>
        <v>26.353225922982443</v>
      </c>
      <c r="L340" s="126">
        <v>0</v>
      </c>
      <c r="M340" s="108">
        <v>28273</v>
      </c>
      <c r="N340" s="108">
        <v>336482</v>
      </c>
      <c r="O340" s="108">
        <v>364755</v>
      </c>
      <c r="P340" s="108">
        <f t="shared" si="53"/>
        <v>10.779130588965394</v>
      </c>
      <c r="Q340" s="108">
        <v>98753</v>
      </c>
      <c r="R340" s="108">
        <v>15615</v>
      </c>
      <c r="S340" s="125">
        <f t="shared" si="49"/>
        <v>0.46144980643636041</v>
      </c>
      <c r="T340" s="108">
        <v>11613</v>
      </c>
      <c r="U340" s="125">
        <f t="shared" si="50"/>
        <v>0.34318390023345846</v>
      </c>
      <c r="V340" s="108">
        <v>21843</v>
      </c>
      <c r="W340" s="108">
        <v>19565</v>
      </c>
      <c r="X340" s="108">
        <v>220896</v>
      </c>
      <c r="Y340" s="108">
        <v>48642</v>
      </c>
      <c r="Z340" s="125">
        <f t="shared" si="51"/>
        <v>6.5278524779101037</v>
      </c>
      <c r="AA340" s="125">
        <f t="shared" si="52"/>
        <v>15.959540495628929</v>
      </c>
      <c r="AB340" s="108">
        <v>14511</v>
      </c>
      <c r="AC340" s="78" t="s">
        <v>1643</v>
      </c>
      <c r="AD340" s="126">
        <v>44523</v>
      </c>
      <c r="AE340" s="108">
        <v>114368</v>
      </c>
      <c r="AF340" s="108">
        <v>13841</v>
      </c>
      <c r="AG340" s="108">
        <v>33839</v>
      </c>
    </row>
    <row r="341" spans="1:33" ht="15.75" thickBot="1" x14ac:dyDescent="0.3">
      <c r="A341" s="44" t="s">
        <v>1427</v>
      </c>
      <c r="B341" s="107" t="s">
        <v>1428</v>
      </c>
      <c r="C341" s="78" t="s">
        <v>822</v>
      </c>
      <c r="D341" s="108">
        <v>21367</v>
      </c>
      <c r="E341" s="108">
        <v>22565</v>
      </c>
      <c r="F341" s="108">
        <v>10060</v>
      </c>
      <c r="G341" s="108">
        <v>53992</v>
      </c>
      <c r="H341" s="125">
        <f t="shared" si="45"/>
        <v>0.53594361392595569</v>
      </c>
      <c r="I341" s="125">
        <f t="shared" si="46"/>
        <v>0.25233269790308016</v>
      </c>
      <c r="J341" s="125">
        <f t="shared" si="47"/>
        <v>1.3542690879903683</v>
      </c>
      <c r="K341" s="125">
        <f t="shared" si="48"/>
        <v>6.1839422746535337</v>
      </c>
      <c r="L341" s="126">
        <v>2123</v>
      </c>
      <c r="M341" s="108">
        <v>12183</v>
      </c>
      <c r="N341" s="108">
        <v>43932</v>
      </c>
      <c r="O341" s="108">
        <v>56115</v>
      </c>
      <c r="P341" s="108">
        <f t="shared" si="53"/>
        <v>1.4075198153907895</v>
      </c>
      <c r="Q341" s="108">
        <v>47340</v>
      </c>
      <c r="R341" s="108">
        <v>24363</v>
      </c>
      <c r="S341" s="125">
        <f t="shared" si="49"/>
        <v>0.61109160228754889</v>
      </c>
      <c r="T341" s="108">
        <v>5259</v>
      </c>
      <c r="U341" s="125">
        <f t="shared" si="50"/>
        <v>0.1319103040032106</v>
      </c>
      <c r="V341" s="108">
        <v>12479</v>
      </c>
      <c r="W341" s="108">
        <v>8517</v>
      </c>
      <c r="X341" s="108">
        <v>56563</v>
      </c>
      <c r="Y341" s="108">
        <v>220201</v>
      </c>
      <c r="Z341" s="125">
        <f t="shared" si="51"/>
        <v>1.4187568977626166</v>
      </c>
      <c r="AA341" s="125">
        <f t="shared" si="52"/>
        <v>6.4784102622838162</v>
      </c>
      <c r="AB341" s="108">
        <v>14011</v>
      </c>
      <c r="AC341" s="78" t="s">
        <v>1643</v>
      </c>
      <c r="AD341" s="126">
        <v>4573</v>
      </c>
      <c r="AE341" s="108">
        <v>71703</v>
      </c>
      <c r="AF341" s="108">
        <v>8731</v>
      </c>
      <c r="AG341" s="108">
        <v>39868</v>
      </c>
    </row>
    <row r="342" spans="1:33" ht="15.75" thickBot="1" x14ac:dyDescent="0.3">
      <c r="A342" s="44" t="s">
        <v>1431</v>
      </c>
      <c r="B342" s="107" t="s">
        <v>1432</v>
      </c>
      <c r="C342" s="78" t="s">
        <v>822</v>
      </c>
      <c r="D342" s="108">
        <v>35945</v>
      </c>
      <c r="E342" s="108">
        <v>125568</v>
      </c>
      <c r="F342" s="108">
        <v>20082</v>
      </c>
      <c r="G342" s="108">
        <v>181595</v>
      </c>
      <c r="H342" s="125">
        <f t="shared" si="45"/>
        <v>0.75995264170489862</v>
      </c>
      <c r="I342" s="125">
        <f t="shared" si="46"/>
        <v>0.42457557242224997</v>
      </c>
      <c r="J342" s="125">
        <f t="shared" si="47"/>
        <v>3.8392989280957313</v>
      </c>
      <c r="K342" s="125">
        <f t="shared" si="48"/>
        <v>7.9347636109411868</v>
      </c>
      <c r="L342" s="126">
        <v>3423</v>
      </c>
      <c r="M342" s="108">
        <v>23505</v>
      </c>
      <c r="N342" s="108">
        <v>161513</v>
      </c>
      <c r="O342" s="108">
        <v>185018</v>
      </c>
      <c r="P342" s="108">
        <f t="shared" si="53"/>
        <v>3.9116683227975222</v>
      </c>
      <c r="Q342" s="108">
        <v>97463</v>
      </c>
      <c r="R342" s="108">
        <v>18133</v>
      </c>
      <c r="S342" s="125">
        <f t="shared" si="49"/>
        <v>0.38336962726484702</v>
      </c>
      <c r="T342" s="108">
        <v>18696</v>
      </c>
      <c r="U342" s="125">
        <f t="shared" si="50"/>
        <v>0.39527262732827334</v>
      </c>
      <c r="V342" s="108">
        <v>5221</v>
      </c>
      <c r="W342" s="108">
        <v>3824</v>
      </c>
      <c r="X342" s="108">
        <v>96269</v>
      </c>
      <c r="Y342" s="108">
        <v>514714</v>
      </c>
      <c r="Z342" s="125">
        <f t="shared" si="51"/>
        <v>2.0353284424617857</v>
      </c>
      <c r="AA342" s="125">
        <f t="shared" si="52"/>
        <v>4.2064580966529759</v>
      </c>
      <c r="AB342" s="108">
        <v>19515</v>
      </c>
      <c r="AC342" s="78" t="s">
        <v>1643</v>
      </c>
      <c r="AD342" s="126">
        <v>40596</v>
      </c>
      <c r="AE342" s="108">
        <v>115596</v>
      </c>
      <c r="AF342" s="108">
        <v>22886</v>
      </c>
      <c r="AG342" s="108">
        <v>47299</v>
      </c>
    </row>
    <row r="343" spans="1:33" ht="15.75" thickBot="1" x14ac:dyDescent="0.3">
      <c r="A343" s="44" t="s">
        <v>1449</v>
      </c>
      <c r="B343" s="107" t="s">
        <v>1450</v>
      </c>
      <c r="C343" s="78" t="s">
        <v>822</v>
      </c>
      <c r="D343" s="108">
        <v>130161</v>
      </c>
      <c r="E343" s="108">
        <v>139061</v>
      </c>
      <c r="F343" s="108">
        <v>53063</v>
      </c>
      <c r="G343" s="108">
        <v>322285</v>
      </c>
      <c r="H343" s="125">
        <f t="shared" si="45"/>
        <v>4.9348271155595995</v>
      </c>
      <c r="I343" s="125">
        <f t="shared" si="46"/>
        <v>2.0117910221413404</v>
      </c>
      <c r="J343" s="125">
        <f t="shared" si="47"/>
        <v>12.218873218077039</v>
      </c>
      <c r="K343" s="125">
        <f t="shared" si="48"/>
        <v>21.672046264541727</v>
      </c>
      <c r="L343" s="126">
        <v>63957</v>
      </c>
      <c r="M343" s="108">
        <v>117020</v>
      </c>
      <c r="N343" s="108">
        <v>269222</v>
      </c>
      <c r="O343" s="108">
        <v>386242</v>
      </c>
      <c r="P343" s="108">
        <f t="shared" si="53"/>
        <v>14.643691234455567</v>
      </c>
      <c r="Q343" s="108">
        <v>119122</v>
      </c>
      <c r="R343" s="108">
        <v>52758</v>
      </c>
      <c r="S343" s="125">
        <f t="shared" si="49"/>
        <v>2.0002274795268424</v>
      </c>
      <c r="T343" s="108">
        <v>20768</v>
      </c>
      <c r="U343" s="125">
        <f t="shared" si="50"/>
        <v>0.78738246891113128</v>
      </c>
      <c r="V343" s="108">
        <v>10973</v>
      </c>
      <c r="W343" s="108">
        <v>10279</v>
      </c>
      <c r="X343" s="108">
        <v>166485</v>
      </c>
      <c r="Y343" s="108">
        <v>125648</v>
      </c>
      <c r="Z343" s="125">
        <f t="shared" si="51"/>
        <v>6.3119881710646037</v>
      </c>
      <c r="AA343" s="125">
        <f t="shared" si="52"/>
        <v>11.195279402864635</v>
      </c>
      <c r="AB343" s="108">
        <v>19356</v>
      </c>
      <c r="AC343" s="78" t="s">
        <v>1643</v>
      </c>
      <c r="AD343" s="126">
        <v>40659</v>
      </c>
      <c r="AE343" s="108">
        <v>171880</v>
      </c>
      <c r="AF343" s="108">
        <v>14871</v>
      </c>
      <c r="AG343" s="108">
        <v>26376</v>
      </c>
    </row>
    <row r="344" spans="1:33" ht="15.75" thickBot="1" x14ac:dyDescent="0.3">
      <c r="A344" s="44" t="s">
        <v>1474</v>
      </c>
      <c r="B344" s="107" t="s">
        <v>1475</v>
      </c>
      <c r="C344" s="78" t="s">
        <v>822</v>
      </c>
      <c r="D344" s="108">
        <v>22136</v>
      </c>
      <c r="E344" s="108">
        <v>14747</v>
      </c>
      <c r="F344" s="108">
        <v>10743</v>
      </c>
      <c r="G344" s="108">
        <v>47626</v>
      </c>
      <c r="H344" s="125">
        <f t="shared" si="45"/>
        <v>0.79283667621776499</v>
      </c>
      <c r="I344" s="125">
        <f t="shared" si="46"/>
        <v>0.3847779369627507</v>
      </c>
      <c r="J344" s="125">
        <f t="shared" si="47"/>
        <v>1.7058022922636102</v>
      </c>
      <c r="K344" s="125">
        <f t="shared" si="48"/>
        <v>6.0654610290371878</v>
      </c>
      <c r="L344" s="126">
        <v>4251</v>
      </c>
      <c r="M344" s="108">
        <v>14994</v>
      </c>
      <c r="N344" s="108">
        <v>36883</v>
      </c>
      <c r="O344" s="108">
        <v>51877</v>
      </c>
      <c r="P344" s="108">
        <f t="shared" si="53"/>
        <v>1.8580587392550143</v>
      </c>
      <c r="Q344" s="108">
        <v>80285</v>
      </c>
      <c r="R344" s="108">
        <v>17669</v>
      </c>
      <c r="S344" s="125">
        <f t="shared" si="49"/>
        <v>0.63284383954154733</v>
      </c>
      <c r="T344" s="108">
        <v>11492</v>
      </c>
      <c r="U344" s="125">
        <f t="shared" si="50"/>
        <v>0.41160458452722065</v>
      </c>
      <c r="V344" s="108">
        <v>3141</v>
      </c>
      <c r="W344" s="108">
        <v>3909</v>
      </c>
      <c r="X344" s="108">
        <v>97344</v>
      </c>
      <c r="Y344" s="108">
        <v>23601</v>
      </c>
      <c r="Z344" s="125">
        <f t="shared" si="51"/>
        <v>3.4865329512893983</v>
      </c>
      <c r="AA344" s="125">
        <f t="shared" si="52"/>
        <v>12.397350993377483</v>
      </c>
      <c r="AB344" s="108">
        <v>14352</v>
      </c>
      <c r="AC344" s="78" t="s">
        <v>1643</v>
      </c>
      <c r="AD344" s="126">
        <v>3328</v>
      </c>
      <c r="AE344" s="108">
        <v>97954</v>
      </c>
      <c r="AF344" s="108">
        <v>7852</v>
      </c>
      <c r="AG344" s="108">
        <v>27920</v>
      </c>
    </row>
    <row r="345" spans="1:33" ht="15.75" thickBot="1" x14ac:dyDescent="0.3">
      <c r="A345" s="44" t="s">
        <v>1484</v>
      </c>
      <c r="B345" s="107" t="s">
        <v>1485</v>
      </c>
      <c r="C345" s="78" t="s">
        <v>822</v>
      </c>
      <c r="D345" s="108">
        <v>17554</v>
      </c>
      <c r="E345" s="108">
        <v>65049</v>
      </c>
      <c r="F345" s="108">
        <v>8385</v>
      </c>
      <c r="G345" s="108">
        <v>90988</v>
      </c>
      <c r="H345" s="125">
        <f t="shared" si="45"/>
        <v>0.58421805837521212</v>
      </c>
      <c r="I345" s="125">
        <f t="shared" si="46"/>
        <v>0.27906280161080971</v>
      </c>
      <c r="J345" s="125">
        <f t="shared" si="47"/>
        <v>3.0281891702998633</v>
      </c>
      <c r="K345" s="125">
        <f t="shared" si="48"/>
        <v>15.644429160935351</v>
      </c>
      <c r="L345" s="126">
        <v>290</v>
      </c>
      <c r="M345" s="108">
        <v>8675</v>
      </c>
      <c r="N345" s="108">
        <v>82603</v>
      </c>
      <c r="O345" s="108">
        <v>91278</v>
      </c>
      <c r="P345" s="108">
        <f t="shared" si="53"/>
        <v>3.0378407162112691</v>
      </c>
      <c r="Q345" s="108">
        <v>97923</v>
      </c>
      <c r="R345" s="108">
        <v>62073</v>
      </c>
      <c r="S345" s="125">
        <f t="shared" si="49"/>
        <v>2.0658634805471427</v>
      </c>
      <c r="T345" s="108">
        <v>4030</v>
      </c>
      <c r="U345" s="125">
        <f t="shared" si="50"/>
        <v>0.13412320697573801</v>
      </c>
      <c r="V345" s="108">
        <v>11403</v>
      </c>
      <c r="W345" s="108">
        <v>15943</v>
      </c>
      <c r="X345" s="108">
        <v>88002</v>
      </c>
      <c r="Y345" s="108">
        <v>38411</v>
      </c>
      <c r="Z345" s="125">
        <f t="shared" si="51"/>
        <v>2.928811528605185</v>
      </c>
      <c r="AA345" s="125">
        <f t="shared" si="52"/>
        <v>15.13101788170564</v>
      </c>
      <c r="AB345" s="108">
        <v>18916</v>
      </c>
      <c r="AC345" s="78" t="s">
        <v>1643</v>
      </c>
      <c r="AD345" s="126">
        <v>4782</v>
      </c>
      <c r="AE345" s="108">
        <v>159996</v>
      </c>
      <c r="AF345" s="108">
        <v>5816</v>
      </c>
      <c r="AG345" s="108">
        <v>30047</v>
      </c>
    </row>
    <row r="346" spans="1:33" ht="15.75" thickBot="1" x14ac:dyDescent="0.3">
      <c r="A346" s="44" t="s">
        <v>1502</v>
      </c>
      <c r="B346" s="107" t="s">
        <v>1503</v>
      </c>
      <c r="C346" s="78" t="s">
        <v>822</v>
      </c>
      <c r="D346" s="108">
        <v>68599</v>
      </c>
      <c r="E346" s="108">
        <v>65553</v>
      </c>
      <c r="F346" s="108">
        <v>15200</v>
      </c>
      <c r="G346" s="108">
        <v>149352</v>
      </c>
      <c r="H346" s="125">
        <f t="shared" si="45"/>
        <v>1.5941762915107713</v>
      </c>
      <c r="I346" s="125">
        <f t="shared" si="46"/>
        <v>0.35323371522855618</v>
      </c>
      <c r="J346" s="125">
        <f t="shared" si="47"/>
        <v>3.470800120843113</v>
      </c>
      <c r="K346" s="125">
        <f t="shared" si="48"/>
        <v>8.4123014531936473</v>
      </c>
      <c r="L346" s="126">
        <v>89</v>
      </c>
      <c r="M346" s="108">
        <v>15289</v>
      </c>
      <c r="N346" s="108">
        <v>134152</v>
      </c>
      <c r="O346" s="108">
        <v>149441</v>
      </c>
      <c r="P346" s="108">
        <f t="shared" si="53"/>
        <v>3.4728683972020171</v>
      </c>
      <c r="Q346" s="108">
        <v>240042</v>
      </c>
      <c r="R346" s="108">
        <v>12711</v>
      </c>
      <c r="S346" s="125">
        <f t="shared" si="49"/>
        <v>0.29539169435988011</v>
      </c>
      <c r="T346" s="108">
        <v>58240</v>
      </c>
      <c r="U346" s="125">
        <f t="shared" si="50"/>
        <v>1.3534428667704679</v>
      </c>
      <c r="V346" s="108">
        <v>6182</v>
      </c>
      <c r="W346" s="108">
        <v>16908</v>
      </c>
      <c r="X346" s="108">
        <v>323180</v>
      </c>
      <c r="Y346" s="108">
        <v>23404</v>
      </c>
      <c r="Z346" s="125">
        <f t="shared" si="51"/>
        <v>7.5103994794450513</v>
      </c>
      <c r="AA346" s="125">
        <f t="shared" si="52"/>
        <v>18.203221809169765</v>
      </c>
      <c r="AB346" s="108">
        <v>45240</v>
      </c>
      <c r="AC346" s="78" t="s">
        <v>1643</v>
      </c>
      <c r="AD346" s="126">
        <v>27120</v>
      </c>
      <c r="AE346" s="108">
        <v>252753</v>
      </c>
      <c r="AF346" s="108">
        <v>17754</v>
      </c>
      <c r="AG346" s="108">
        <v>43031</v>
      </c>
    </row>
    <row r="347" spans="1:33" ht="15.75" thickBot="1" x14ac:dyDescent="0.3">
      <c r="A347" s="44" t="s">
        <v>1546</v>
      </c>
      <c r="B347" s="107" t="s">
        <v>1547</v>
      </c>
      <c r="C347" s="78" t="s">
        <v>822</v>
      </c>
      <c r="D347" s="108">
        <v>88138</v>
      </c>
      <c r="E347" s="108">
        <v>90321</v>
      </c>
      <c r="F347" s="108">
        <v>26422</v>
      </c>
      <c r="G347" s="108">
        <v>204881</v>
      </c>
      <c r="H347" s="125">
        <f t="shared" si="45"/>
        <v>1.9911442448887382</v>
      </c>
      <c r="I347" s="125">
        <f t="shared" si="46"/>
        <v>0.59690500395346213</v>
      </c>
      <c r="J347" s="125">
        <f t="shared" si="47"/>
        <v>4.6285101095673786</v>
      </c>
      <c r="K347" s="125">
        <f t="shared" si="48"/>
        <v>11.700799543118219</v>
      </c>
      <c r="L347" s="126">
        <v>22988</v>
      </c>
      <c r="M347" s="108">
        <v>49410</v>
      </c>
      <c r="N347" s="108">
        <v>178459</v>
      </c>
      <c r="O347" s="108">
        <v>227869</v>
      </c>
      <c r="P347" s="108">
        <f t="shared" si="53"/>
        <v>5.1478368914492263</v>
      </c>
      <c r="Q347" s="108">
        <v>172001</v>
      </c>
      <c r="R347" s="108">
        <v>27061</v>
      </c>
      <c r="S347" s="125">
        <f t="shared" si="49"/>
        <v>0.61134078843329942</v>
      </c>
      <c r="T347" s="108">
        <v>34586</v>
      </c>
      <c r="U347" s="125">
        <f t="shared" si="50"/>
        <v>0.78133965887269852</v>
      </c>
      <c r="V347" s="108">
        <v>13125</v>
      </c>
      <c r="W347" s="108">
        <v>16373</v>
      </c>
      <c r="X347" s="108">
        <v>177642</v>
      </c>
      <c r="Y347" s="108">
        <v>62020</v>
      </c>
      <c r="Z347" s="125">
        <f t="shared" si="51"/>
        <v>4.0131480853947812</v>
      </c>
      <c r="AA347" s="125">
        <f t="shared" si="52"/>
        <v>10.145174186179327</v>
      </c>
      <c r="AB347" s="108">
        <v>25806</v>
      </c>
      <c r="AC347" s="78" t="s">
        <v>1643</v>
      </c>
      <c r="AD347" s="126">
        <v>44590</v>
      </c>
      <c r="AE347" s="108">
        <v>199062</v>
      </c>
      <c r="AF347" s="108">
        <v>17510</v>
      </c>
      <c r="AG347" s="108">
        <v>44265</v>
      </c>
    </row>
    <row r="348" spans="1:33" ht="15.75" thickBot="1" x14ac:dyDescent="0.3">
      <c r="A348" s="44" t="s">
        <v>1586</v>
      </c>
      <c r="B348" s="107" t="s">
        <v>1587</v>
      </c>
      <c r="C348" s="78" t="s">
        <v>822</v>
      </c>
      <c r="D348" s="108">
        <v>68639</v>
      </c>
      <c r="E348" s="108">
        <v>69238</v>
      </c>
      <c r="F348" s="108">
        <v>26606</v>
      </c>
      <c r="G348" s="108">
        <v>164483</v>
      </c>
      <c r="H348" s="125">
        <f t="shared" si="45"/>
        <v>2.2865185382591027</v>
      </c>
      <c r="I348" s="125">
        <f t="shared" si="46"/>
        <v>0.88630533995136418</v>
      </c>
      <c r="J348" s="125">
        <f t="shared" si="47"/>
        <v>5.4792964455844633</v>
      </c>
      <c r="K348" s="125">
        <f t="shared" si="48"/>
        <v>16.807991007561824</v>
      </c>
      <c r="L348" s="126">
        <v>7287</v>
      </c>
      <c r="M348" s="108">
        <v>33893</v>
      </c>
      <c r="N348" s="108">
        <v>137877</v>
      </c>
      <c r="O348" s="108">
        <v>171770</v>
      </c>
      <c r="P348" s="108">
        <f t="shared" si="53"/>
        <v>5.7220427062860191</v>
      </c>
      <c r="Q348" s="108">
        <v>63486</v>
      </c>
      <c r="R348" s="108">
        <v>62274</v>
      </c>
      <c r="S348" s="125">
        <f t="shared" si="49"/>
        <v>2.0744861587661148</v>
      </c>
      <c r="T348" s="108">
        <v>14943</v>
      </c>
      <c r="U348" s="125">
        <f t="shared" si="50"/>
        <v>0.49778473633365533</v>
      </c>
      <c r="V348" s="108">
        <v>18670</v>
      </c>
      <c r="W348" s="108">
        <v>14862</v>
      </c>
      <c r="X348" s="108">
        <v>67135</v>
      </c>
      <c r="Y348" s="108">
        <v>34005</v>
      </c>
      <c r="Z348" s="125">
        <f t="shared" si="51"/>
        <v>2.236416935940571</v>
      </c>
      <c r="AA348" s="125">
        <f t="shared" si="52"/>
        <v>6.8603106478642957</v>
      </c>
      <c r="AB348" s="108">
        <v>13075</v>
      </c>
      <c r="AC348" s="78" t="s">
        <v>1643</v>
      </c>
      <c r="AD348" s="126">
        <v>3877</v>
      </c>
      <c r="AE348" s="108">
        <v>125760</v>
      </c>
      <c r="AF348" s="108">
        <v>9786</v>
      </c>
      <c r="AG348" s="108">
        <v>30019</v>
      </c>
    </row>
    <row r="349" spans="1:33" ht="15.75" thickBot="1" x14ac:dyDescent="0.3">
      <c r="A349" s="44" t="s">
        <v>835</v>
      </c>
      <c r="B349" s="107" t="s">
        <v>836</v>
      </c>
      <c r="C349" s="78" t="s">
        <v>837</v>
      </c>
      <c r="D349" s="108">
        <v>2131118</v>
      </c>
      <c r="E349" s="108">
        <v>4227997</v>
      </c>
      <c r="F349" s="108">
        <v>547976</v>
      </c>
      <c r="G349" s="108">
        <v>6907091</v>
      </c>
      <c r="H349" s="125">
        <f t="shared" si="45"/>
        <v>13.027189926034598</v>
      </c>
      <c r="I349" s="125">
        <f t="shared" si="46"/>
        <v>3.3496913014242926</v>
      </c>
      <c r="J349" s="125">
        <f t="shared" si="47"/>
        <v>42.221963445198362</v>
      </c>
      <c r="K349" s="125">
        <f t="shared" si="48"/>
        <v>110.86823434991975</v>
      </c>
      <c r="L349" s="126">
        <v>76483</v>
      </c>
      <c r="M349" s="108">
        <v>624459</v>
      </c>
      <c r="N349" s="108">
        <v>6359115</v>
      </c>
      <c r="O349" s="108">
        <v>6983574</v>
      </c>
      <c r="P349" s="108">
        <f t="shared" si="53"/>
        <v>42.689492022739778</v>
      </c>
      <c r="Q349" s="108">
        <v>509386</v>
      </c>
      <c r="R349" s="108">
        <v>79052</v>
      </c>
      <c r="S349" s="125">
        <f t="shared" si="49"/>
        <v>0.48323247142245856</v>
      </c>
      <c r="T349" s="108">
        <v>0</v>
      </c>
      <c r="U349" s="125">
        <f t="shared" si="50"/>
        <v>0</v>
      </c>
      <c r="V349" s="108">
        <v>21142</v>
      </c>
      <c r="W349" s="108">
        <v>28747</v>
      </c>
      <c r="X349" s="108">
        <v>1767965</v>
      </c>
      <c r="Y349" s="108">
        <v>1918182</v>
      </c>
      <c r="Z349" s="125">
        <f t="shared" si="51"/>
        <v>10.807292621798398</v>
      </c>
      <c r="AA349" s="125">
        <f t="shared" si="52"/>
        <v>28.378250401284109</v>
      </c>
      <c r="AB349" s="108">
        <v>127114</v>
      </c>
      <c r="AC349" s="78" t="s">
        <v>1643</v>
      </c>
      <c r="AD349" s="126">
        <v>3504000</v>
      </c>
      <c r="AE349" s="108">
        <v>588438</v>
      </c>
      <c r="AF349" s="108">
        <v>62300</v>
      </c>
      <c r="AG349" s="108">
        <v>163590</v>
      </c>
    </row>
    <row r="350" spans="1:33" ht="15.75" thickBot="1" x14ac:dyDescent="0.3">
      <c r="A350" s="44" t="s">
        <v>861</v>
      </c>
      <c r="B350" s="107" t="s">
        <v>862</v>
      </c>
      <c r="C350" s="78" t="s">
        <v>837</v>
      </c>
      <c r="D350" s="108">
        <v>227296</v>
      </c>
      <c r="E350" s="108">
        <v>354597</v>
      </c>
      <c r="F350" s="108">
        <v>57284</v>
      </c>
      <c r="G350" s="108">
        <v>639177</v>
      </c>
      <c r="H350" s="125">
        <f t="shared" si="45"/>
        <v>2.1108273511575857</v>
      </c>
      <c r="I350" s="125">
        <f t="shared" si="46"/>
        <v>0.53197871490792248</v>
      </c>
      <c r="J350" s="125">
        <f t="shared" si="47"/>
        <v>5.935838263017617</v>
      </c>
      <c r="K350" s="125">
        <f t="shared" si="48"/>
        <v>11.344390607528885</v>
      </c>
      <c r="L350" s="126">
        <v>132747</v>
      </c>
      <c r="M350" s="108">
        <v>190031</v>
      </c>
      <c r="N350" s="108">
        <v>581893</v>
      </c>
      <c r="O350" s="108">
        <v>771924</v>
      </c>
      <c r="P350" s="108">
        <f t="shared" si="53"/>
        <v>7.1686184192197322</v>
      </c>
      <c r="Q350" s="108">
        <v>312560</v>
      </c>
      <c r="R350" s="108">
        <v>8547</v>
      </c>
      <c r="S350" s="125">
        <f t="shared" si="49"/>
        <v>7.9373334200091003E-2</v>
      </c>
      <c r="T350" s="108">
        <v>65790</v>
      </c>
      <c r="U350" s="125">
        <f t="shared" si="50"/>
        <v>0.61097129484310142</v>
      </c>
      <c r="V350" s="108">
        <v>63212</v>
      </c>
      <c r="W350" s="108">
        <v>68683</v>
      </c>
      <c r="X350" s="108">
        <v>327022</v>
      </c>
      <c r="Y350" s="108">
        <v>0</v>
      </c>
      <c r="Z350" s="125">
        <f t="shared" si="51"/>
        <v>3.0369517370752499</v>
      </c>
      <c r="AA350" s="125">
        <f t="shared" si="52"/>
        <v>5.8041282856787886</v>
      </c>
      <c r="AB350" s="108">
        <v>57163</v>
      </c>
      <c r="AC350" s="78" t="s">
        <v>1643</v>
      </c>
      <c r="AD350" s="126" t="s">
        <v>3453</v>
      </c>
      <c r="AE350" s="108">
        <v>321107</v>
      </c>
      <c r="AF350" s="108">
        <v>56343</v>
      </c>
      <c r="AG350" s="108">
        <v>107681</v>
      </c>
    </row>
    <row r="351" spans="1:33" ht="15.75" thickBot="1" x14ac:dyDescent="0.3">
      <c r="A351" s="44" t="s">
        <v>923</v>
      </c>
      <c r="B351" s="107" t="s">
        <v>924</v>
      </c>
      <c r="C351" s="78" t="s">
        <v>837</v>
      </c>
      <c r="D351" s="108">
        <v>548768</v>
      </c>
      <c r="E351" s="108">
        <v>573326</v>
      </c>
      <c r="F351" s="108">
        <v>135652</v>
      </c>
      <c r="G351" s="108">
        <v>1257746</v>
      </c>
      <c r="H351" s="125">
        <f t="shared" si="45"/>
        <v>6.0857241081033129</v>
      </c>
      <c r="I351" s="125">
        <f t="shared" si="46"/>
        <v>1.5043527441695408</v>
      </c>
      <c r="J351" s="125">
        <f t="shared" si="47"/>
        <v>13.948144122963637</v>
      </c>
      <c r="K351" s="125">
        <f t="shared" si="48"/>
        <v>17.628575833601975</v>
      </c>
      <c r="L351" s="126">
        <v>53954</v>
      </c>
      <c r="M351" s="108">
        <v>189606</v>
      </c>
      <c r="N351" s="108">
        <v>1122094</v>
      </c>
      <c r="O351" s="108">
        <v>1311700</v>
      </c>
      <c r="P351" s="108">
        <f t="shared" si="53"/>
        <v>14.546482871813071</v>
      </c>
      <c r="Q351" s="108">
        <v>295257</v>
      </c>
      <c r="R351" s="108">
        <v>100791</v>
      </c>
      <c r="S351" s="125">
        <f t="shared" si="49"/>
        <v>1.1177514333558827</v>
      </c>
      <c r="T351" s="108">
        <v>59160</v>
      </c>
      <c r="U351" s="125">
        <f t="shared" si="50"/>
        <v>0.65607221673893512</v>
      </c>
      <c r="V351" s="108">
        <v>15176</v>
      </c>
      <c r="W351" s="108">
        <v>13408</v>
      </c>
      <c r="X351" s="108">
        <v>516533</v>
      </c>
      <c r="Y351" s="108">
        <v>500210</v>
      </c>
      <c r="Z351" s="125">
        <f t="shared" si="51"/>
        <v>5.7282445964978432</v>
      </c>
      <c r="AA351" s="125">
        <f t="shared" si="52"/>
        <v>7.2397297713989373</v>
      </c>
      <c r="AB351" s="108">
        <v>0</v>
      </c>
      <c r="AC351" s="78" t="s">
        <v>1643</v>
      </c>
      <c r="AD351" s="126">
        <v>129742</v>
      </c>
      <c r="AE351" s="108">
        <v>396048</v>
      </c>
      <c r="AF351" s="108">
        <v>71347</v>
      </c>
      <c r="AG351" s="108">
        <v>90173</v>
      </c>
    </row>
    <row r="352" spans="1:33" ht="15.75" thickBot="1" x14ac:dyDescent="0.3">
      <c r="A352" s="44" t="s">
        <v>925</v>
      </c>
      <c r="B352" s="107" t="s">
        <v>926</v>
      </c>
      <c r="C352" s="78" t="s">
        <v>837</v>
      </c>
      <c r="D352" s="108">
        <v>680007</v>
      </c>
      <c r="E352" s="108">
        <v>1320489</v>
      </c>
      <c r="F352" s="108">
        <v>481119</v>
      </c>
      <c r="G352" s="108">
        <v>2481615</v>
      </c>
      <c r="H352" s="125">
        <f t="shared" si="45"/>
        <v>2.8468971234075333</v>
      </c>
      <c r="I352" s="125">
        <f t="shared" si="46"/>
        <v>2.014238525657396</v>
      </c>
      <c r="J352" s="125">
        <f t="shared" si="47"/>
        <v>10.389455703992732</v>
      </c>
      <c r="K352" s="125">
        <f t="shared" si="48"/>
        <v>33.244226235130213</v>
      </c>
      <c r="L352" s="126">
        <v>107702</v>
      </c>
      <c r="M352" s="108">
        <v>588821</v>
      </c>
      <c r="N352" s="108">
        <v>2000496</v>
      </c>
      <c r="O352" s="108">
        <v>2589317</v>
      </c>
      <c r="P352" s="108">
        <f t="shared" si="53"/>
        <v>10.840357700568118</v>
      </c>
      <c r="Q352" s="108">
        <v>490796</v>
      </c>
      <c r="R352" s="108">
        <v>232087</v>
      </c>
      <c r="S352" s="125">
        <f t="shared" si="49"/>
        <v>0.97164854579479942</v>
      </c>
      <c r="T352" s="108">
        <v>124852</v>
      </c>
      <c r="U352" s="125">
        <f t="shared" si="50"/>
        <v>0.5227016775587271</v>
      </c>
      <c r="V352" s="108">
        <v>52688</v>
      </c>
      <c r="W352" s="108">
        <v>49981</v>
      </c>
      <c r="X352" s="108">
        <v>1077475</v>
      </c>
      <c r="Y352" s="108">
        <v>1273672</v>
      </c>
      <c r="Z352" s="125">
        <f t="shared" si="51"/>
        <v>4.5109248552493311</v>
      </c>
      <c r="AA352" s="125">
        <f t="shared" si="52"/>
        <v>14.43407726931733</v>
      </c>
      <c r="AB352" s="108">
        <v>187836</v>
      </c>
      <c r="AC352" s="78" t="s">
        <v>1643</v>
      </c>
      <c r="AD352" s="126">
        <v>217393</v>
      </c>
      <c r="AE352" s="108">
        <v>722883</v>
      </c>
      <c r="AF352" s="108">
        <v>74648</v>
      </c>
      <c r="AG352" s="108">
        <v>238859</v>
      </c>
    </row>
    <row r="353" spans="1:33" ht="15.75" thickBot="1" x14ac:dyDescent="0.3">
      <c r="A353" s="44" t="s">
        <v>955</v>
      </c>
      <c r="B353" s="107" t="s">
        <v>956</v>
      </c>
      <c r="C353" s="78" t="s">
        <v>837</v>
      </c>
      <c r="D353" s="108">
        <v>137937</v>
      </c>
      <c r="E353" s="108">
        <v>154757</v>
      </c>
      <c r="F353" s="108">
        <v>21320</v>
      </c>
      <c r="G353" s="108">
        <v>314014</v>
      </c>
      <c r="H353" s="125">
        <f t="shared" si="45"/>
        <v>2.6711270333075134</v>
      </c>
      <c r="I353" s="125">
        <f t="shared" si="46"/>
        <v>0.41285824941905502</v>
      </c>
      <c r="J353" s="125">
        <f t="shared" si="47"/>
        <v>6.0808288148721923</v>
      </c>
      <c r="K353" s="125">
        <f t="shared" si="48"/>
        <v>28.745331380446721</v>
      </c>
      <c r="L353" s="126">
        <v>0</v>
      </c>
      <c r="M353" s="108">
        <v>21320</v>
      </c>
      <c r="N353" s="108">
        <v>292694</v>
      </c>
      <c r="O353" s="108">
        <v>314014</v>
      </c>
      <c r="P353" s="108">
        <f t="shared" si="53"/>
        <v>6.0808288148721923</v>
      </c>
      <c r="Q353" s="108">
        <v>144353</v>
      </c>
      <c r="R353" s="108">
        <v>28135</v>
      </c>
      <c r="S353" s="125">
        <f t="shared" si="49"/>
        <v>0.54482958946553062</v>
      </c>
      <c r="T353" s="108">
        <v>77858</v>
      </c>
      <c r="U353" s="125">
        <f t="shared" si="50"/>
        <v>1.5077072037180481</v>
      </c>
      <c r="V353" s="108">
        <v>12404</v>
      </c>
      <c r="W353" s="108">
        <v>14279</v>
      </c>
      <c r="X353" s="108">
        <v>226970</v>
      </c>
      <c r="Y353" s="108">
        <v>254440</v>
      </c>
      <c r="Z353" s="125">
        <f t="shared" si="51"/>
        <v>4.3952362509682414</v>
      </c>
      <c r="AA353" s="125">
        <f t="shared" si="52"/>
        <v>20.777187843280849</v>
      </c>
      <c r="AB353" s="108">
        <v>45276</v>
      </c>
      <c r="AC353" s="78" t="s">
        <v>1643</v>
      </c>
      <c r="AD353" s="126">
        <v>52924</v>
      </c>
      <c r="AE353" s="108">
        <v>172488</v>
      </c>
      <c r="AF353" s="108">
        <v>10924</v>
      </c>
      <c r="AG353" s="108">
        <v>51640</v>
      </c>
    </row>
    <row r="354" spans="1:33" ht="15.75" thickBot="1" x14ac:dyDescent="0.3">
      <c r="A354" s="44" t="s">
        <v>961</v>
      </c>
      <c r="B354" s="107" t="s">
        <v>962</v>
      </c>
      <c r="C354" s="78" t="s">
        <v>837</v>
      </c>
      <c r="D354" s="108">
        <v>789023</v>
      </c>
      <c r="E354" s="108">
        <v>957538</v>
      </c>
      <c r="F354" s="108">
        <v>128891</v>
      </c>
      <c r="G354" s="108">
        <v>1875452</v>
      </c>
      <c r="H354" s="125">
        <f t="shared" si="45"/>
        <v>4.6458756543192434</v>
      </c>
      <c r="I354" s="125">
        <f t="shared" si="46"/>
        <v>0.75892788798407851</v>
      </c>
      <c r="J354" s="125">
        <f t="shared" si="47"/>
        <v>11.042918631832448</v>
      </c>
      <c r="K354" s="125">
        <f t="shared" si="48"/>
        <v>13.307212544790152</v>
      </c>
      <c r="L354" s="126">
        <v>55280</v>
      </c>
      <c r="M354" s="108">
        <v>184171</v>
      </c>
      <c r="N354" s="108">
        <v>1746561</v>
      </c>
      <c r="O354" s="108">
        <v>1930732</v>
      </c>
      <c r="P354" s="108">
        <f t="shared" si="53"/>
        <v>11.368414854592453</v>
      </c>
      <c r="Q354" s="108">
        <v>371643</v>
      </c>
      <c r="R354" s="108">
        <v>18575</v>
      </c>
      <c r="S354" s="125">
        <f t="shared" si="49"/>
        <v>0.10937214793355826</v>
      </c>
      <c r="T354" s="108">
        <v>0</v>
      </c>
      <c r="U354" s="125">
        <f t="shared" si="50"/>
        <v>0</v>
      </c>
      <c r="V354" s="108">
        <v>10911</v>
      </c>
      <c r="W354" s="108">
        <v>8734</v>
      </c>
      <c r="X354" s="108">
        <v>650311</v>
      </c>
      <c r="Y354" s="108">
        <v>963975</v>
      </c>
      <c r="Z354" s="125">
        <f t="shared" si="51"/>
        <v>3.8291203711881674</v>
      </c>
      <c r="AA354" s="125">
        <f t="shared" si="52"/>
        <v>4.6142618937808209</v>
      </c>
      <c r="AB354" s="108">
        <v>103970</v>
      </c>
      <c r="AC354" s="78" t="s">
        <v>1643</v>
      </c>
      <c r="AD354" s="126" t="s">
        <v>3453</v>
      </c>
      <c r="AE354" s="108">
        <v>390218</v>
      </c>
      <c r="AF354" s="108">
        <v>140935</v>
      </c>
      <c r="AG354" s="108">
        <v>169833</v>
      </c>
    </row>
    <row r="355" spans="1:33" ht="15.75" thickBot="1" x14ac:dyDescent="0.3">
      <c r="A355" s="44" t="s">
        <v>995</v>
      </c>
      <c r="B355" s="107" t="s">
        <v>996</v>
      </c>
      <c r="C355" s="78" t="s">
        <v>837</v>
      </c>
      <c r="D355" s="108">
        <v>51862</v>
      </c>
      <c r="E355" s="108">
        <v>113122</v>
      </c>
      <c r="F355" s="108">
        <v>9172</v>
      </c>
      <c r="G355" s="108">
        <v>174156</v>
      </c>
      <c r="H355" s="125">
        <f t="shared" si="45"/>
        <v>0.89767023228441856</v>
      </c>
      <c r="I355" s="125">
        <f t="shared" si="46"/>
        <v>0.15875653408107454</v>
      </c>
      <c r="J355" s="125">
        <f t="shared" si="47"/>
        <v>3.0144355592481045</v>
      </c>
      <c r="K355" s="125">
        <f t="shared" si="48"/>
        <v>10.169693430656935</v>
      </c>
      <c r="L355" s="126">
        <v>623</v>
      </c>
      <c r="M355" s="108">
        <v>9795</v>
      </c>
      <c r="N355" s="108">
        <v>164984</v>
      </c>
      <c r="O355" s="108">
        <v>174779</v>
      </c>
      <c r="P355" s="108">
        <f t="shared" si="53"/>
        <v>3.0252189566240868</v>
      </c>
      <c r="Q355" s="108">
        <v>150133</v>
      </c>
      <c r="R355" s="108">
        <v>18852</v>
      </c>
      <c r="S355" s="125">
        <f t="shared" si="49"/>
        <v>0.32630595077370445</v>
      </c>
      <c r="T355" s="108">
        <v>19123</v>
      </c>
      <c r="U355" s="125">
        <f t="shared" si="50"/>
        <v>0.33099664208813651</v>
      </c>
      <c r="V355" s="108">
        <v>30347</v>
      </c>
      <c r="W355" s="108">
        <v>21937</v>
      </c>
      <c r="X355" s="108">
        <v>282000</v>
      </c>
      <c r="Y355" s="108">
        <v>31186</v>
      </c>
      <c r="Z355" s="125">
        <f t="shared" si="51"/>
        <v>4.8810883788555408</v>
      </c>
      <c r="AA355" s="125">
        <f t="shared" si="52"/>
        <v>16.467153284671532</v>
      </c>
      <c r="AB355" s="108">
        <v>83144</v>
      </c>
      <c r="AC355" s="78" t="s">
        <v>1643</v>
      </c>
      <c r="AD355" s="126">
        <v>25758</v>
      </c>
      <c r="AE355" s="108">
        <v>168985</v>
      </c>
      <c r="AF355" s="108">
        <v>17125</v>
      </c>
      <c r="AG355" s="108">
        <v>57774</v>
      </c>
    </row>
    <row r="356" spans="1:33" ht="15.75" thickBot="1" x14ac:dyDescent="0.3">
      <c r="A356" s="44" t="s">
        <v>997</v>
      </c>
      <c r="B356" s="107" t="s">
        <v>998</v>
      </c>
      <c r="C356" s="78" t="s">
        <v>837</v>
      </c>
      <c r="D356" s="108">
        <v>148189</v>
      </c>
      <c r="E356" s="108">
        <v>234734</v>
      </c>
      <c r="F356" s="108">
        <v>99309</v>
      </c>
      <c r="G356" s="108">
        <v>482232</v>
      </c>
      <c r="H356" s="125">
        <f t="shared" si="45"/>
        <v>1.5097755544914573</v>
      </c>
      <c r="I356" s="125">
        <f t="shared" si="46"/>
        <v>1.0117775309975243</v>
      </c>
      <c r="J356" s="125">
        <f t="shared" si="47"/>
        <v>4.9130642975762333</v>
      </c>
      <c r="K356" s="125">
        <f t="shared" si="48"/>
        <v>15.850381277938469</v>
      </c>
      <c r="L356" s="126">
        <v>34200</v>
      </c>
      <c r="M356" s="108">
        <v>133509</v>
      </c>
      <c r="N356" s="108">
        <v>382923</v>
      </c>
      <c r="O356" s="108">
        <v>516432</v>
      </c>
      <c r="P356" s="108">
        <f t="shared" si="53"/>
        <v>5.2614999032123322</v>
      </c>
      <c r="Q356" s="108">
        <v>200645</v>
      </c>
      <c r="R356" s="108">
        <v>859897</v>
      </c>
      <c r="S356" s="125">
        <f t="shared" si="49"/>
        <v>8.7607816368322933</v>
      </c>
      <c r="T356" s="108">
        <v>50000</v>
      </c>
      <c r="U356" s="125">
        <f t="shared" si="50"/>
        <v>0.50940878016973501</v>
      </c>
      <c r="V356" s="108">
        <v>8705</v>
      </c>
      <c r="W356" s="108">
        <v>5659</v>
      </c>
      <c r="X356" s="108">
        <v>320235</v>
      </c>
      <c r="Y356" s="108">
        <v>247592</v>
      </c>
      <c r="Z356" s="125">
        <f t="shared" si="51"/>
        <v>3.2626104143531016</v>
      </c>
      <c r="AA356" s="125">
        <f t="shared" si="52"/>
        <v>10.525736260846699</v>
      </c>
      <c r="AB356" s="108">
        <v>176287</v>
      </c>
      <c r="AC356" s="78" t="s">
        <v>1643</v>
      </c>
      <c r="AD356" s="126">
        <v>16400</v>
      </c>
      <c r="AE356" s="108">
        <v>1060542</v>
      </c>
      <c r="AF356" s="108">
        <v>30424</v>
      </c>
      <c r="AG356" s="108">
        <v>98153</v>
      </c>
    </row>
    <row r="357" spans="1:33" ht="15.75" thickBot="1" x14ac:dyDescent="0.3">
      <c r="A357" s="44" t="s">
        <v>1005</v>
      </c>
      <c r="B357" s="107" t="s">
        <v>1006</v>
      </c>
      <c r="C357" s="78" t="s">
        <v>837</v>
      </c>
      <c r="D357" s="108">
        <v>201843</v>
      </c>
      <c r="E357" s="108">
        <v>501072</v>
      </c>
      <c r="F357" s="108">
        <v>90084</v>
      </c>
      <c r="G357" s="108">
        <v>792999</v>
      </c>
      <c r="H357" s="125">
        <f t="shared" si="45"/>
        <v>0.28278159705342143</v>
      </c>
      <c r="I357" s="125">
        <f t="shared" si="46"/>
        <v>0.1262074849707962</v>
      </c>
      <c r="J357" s="125">
        <f t="shared" si="47"/>
        <v>1.1109898469690114</v>
      </c>
      <c r="K357" s="125">
        <f t="shared" si="48"/>
        <v>5.5346878097125867</v>
      </c>
      <c r="L357" s="126">
        <v>33984</v>
      </c>
      <c r="M357" s="108">
        <v>124068</v>
      </c>
      <c r="N357" s="108">
        <v>702915</v>
      </c>
      <c r="O357" s="108">
        <v>826983</v>
      </c>
      <c r="P357" s="108">
        <f t="shared" si="53"/>
        <v>1.1586013558856618</v>
      </c>
      <c r="Q357" s="108">
        <v>1916688</v>
      </c>
      <c r="R357" s="108">
        <v>10667</v>
      </c>
      <c r="S357" s="125">
        <f t="shared" si="49"/>
        <v>1.4944443432612706E-2</v>
      </c>
      <c r="T357" s="108">
        <v>670965</v>
      </c>
      <c r="U357" s="125">
        <f t="shared" si="50"/>
        <v>0.94002048258769899</v>
      </c>
      <c r="V357" s="108">
        <v>252</v>
      </c>
      <c r="W357" s="108">
        <v>296</v>
      </c>
      <c r="X357" s="108">
        <v>3098888</v>
      </c>
      <c r="Y357" s="108">
        <v>1146268</v>
      </c>
      <c r="Z357" s="125">
        <f t="shared" si="51"/>
        <v>4.3415352413989243</v>
      </c>
      <c r="AA357" s="125">
        <f t="shared" si="52"/>
        <v>21.628498443585197</v>
      </c>
      <c r="AB357" s="108">
        <v>260779</v>
      </c>
      <c r="AC357" s="78" t="s">
        <v>1643</v>
      </c>
      <c r="AD357" s="126">
        <v>196393</v>
      </c>
      <c r="AE357" s="108">
        <v>1927355</v>
      </c>
      <c r="AF357" s="108">
        <v>143278</v>
      </c>
      <c r="AG357" s="108">
        <v>713777</v>
      </c>
    </row>
    <row r="358" spans="1:33" ht="15.75" thickBot="1" x14ac:dyDescent="0.3">
      <c r="A358" s="44" t="s">
        <v>1051</v>
      </c>
      <c r="B358" s="107" t="s">
        <v>1052</v>
      </c>
      <c r="C358" s="78" t="s">
        <v>837</v>
      </c>
      <c r="D358" s="108">
        <v>445483</v>
      </c>
      <c r="E358" s="108">
        <v>522588</v>
      </c>
      <c r="F358" s="108">
        <v>65045</v>
      </c>
      <c r="G358" s="108">
        <v>1033116</v>
      </c>
      <c r="H358" s="125">
        <f t="shared" si="45"/>
        <v>4.9436590021306817</v>
      </c>
      <c r="I358" s="125">
        <f t="shared" si="46"/>
        <v>0.72182395241477271</v>
      </c>
      <c r="J358" s="125">
        <f t="shared" si="47"/>
        <v>11.464799360795455</v>
      </c>
      <c r="K358" s="125">
        <f t="shared" si="48"/>
        <v>23.610302351623741</v>
      </c>
      <c r="L358" s="126">
        <v>103489</v>
      </c>
      <c r="M358" s="108">
        <v>168534</v>
      </c>
      <c r="N358" s="108">
        <v>968071</v>
      </c>
      <c r="O358" s="108">
        <v>1136605</v>
      </c>
      <c r="P358" s="108">
        <f t="shared" si="53"/>
        <v>12.613247958096592</v>
      </c>
      <c r="Q358" s="108">
        <v>289410</v>
      </c>
      <c r="R358" s="108">
        <v>82951</v>
      </c>
      <c r="S358" s="125">
        <f t="shared" si="49"/>
        <v>0.9205322265625</v>
      </c>
      <c r="T358" s="108">
        <v>172453</v>
      </c>
      <c r="U358" s="125">
        <f t="shared" si="50"/>
        <v>1.9137628728693181</v>
      </c>
      <c r="V358" s="108">
        <v>10084</v>
      </c>
      <c r="W358" s="108">
        <v>5798</v>
      </c>
      <c r="X358" s="108">
        <v>578071</v>
      </c>
      <c r="Y358" s="108">
        <v>2500000</v>
      </c>
      <c r="Z358" s="125">
        <f t="shared" si="51"/>
        <v>6.4150279651988633</v>
      </c>
      <c r="AA358" s="125">
        <f t="shared" si="52"/>
        <v>13.210937678542862</v>
      </c>
      <c r="AB358" s="108">
        <v>124818</v>
      </c>
      <c r="AC358" s="78" t="s">
        <v>1643</v>
      </c>
      <c r="AD358" s="126">
        <v>365254</v>
      </c>
      <c r="AE358" s="108">
        <v>372361</v>
      </c>
      <c r="AF358" s="108">
        <v>43757</v>
      </c>
      <c r="AG358" s="108">
        <v>90112</v>
      </c>
    </row>
    <row r="359" spans="1:33" ht="15.75" thickBot="1" x14ac:dyDescent="0.3">
      <c r="A359" s="44" t="s">
        <v>1063</v>
      </c>
      <c r="B359" s="107" t="s">
        <v>1064</v>
      </c>
      <c r="C359" s="78" t="s">
        <v>837</v>
      </c>
      <c r="D359" s="108">
        <v>25338</v>
      </c>
      <c r="E359" s="108">
        <v>64885</v>
      </c>
      <c r="F359" s="108">
        <v>15340</v>
      </c>
      <c r="G359" s="108">
        <v>105563</v>
      </c>
      <c r="H359" s="125">
        <f t="shared" si="45"/>
        <v>0.24735927524064275</v>
      </c>
      <c r="I359" s="125">
        <f t="shared" si="46"/>
        <v>0.14975496417205225</v>
      </c>
      <c r="J359" s="125">
        <f t="shared" si="47"/>
        <v>1.0305464982330086</v>
      </c>
      <c r="K359" s="125">
        <f t="shared" si="48"/>
        <v>4.5593659568954346</v>
      </c>
      <c r="L359" s="126">
        <v>97513</v>
      </c>
      <c r="M359" s="108">
        <v>112853</v>
      </c>
      <c r="N359" s="108">
        <v>90223</v>
      </c>
      <c r="O359" s="108">
        <v>203076</v>
      </c>
      <c r="P359" s="108">
        <f t="shared" si="53"/>
        <v>1.9825058086182323</v>
      </c>
      <c r="Q359" s="108">
        <v>246838</v>
      </c>
      <c r="R359" s="108">
        <v>10822</v>
      </c>
      <c r="S359" s="125">
        <f t="shared" si="49"/>
        <v>0.10564851514145694</v>
      </c>
      <c r="T359" s="108">
        <v>24900</v>
      </c>
      <c r="U359" s="125">
        <f t="shared" si="50"/>
        <v>0.24308335123103658</v>
      </c>
      <c r="V359" s="108">
        <v>0</v>
      </c>
      <c r="W359" s="108">
        <v>0</v>
      </c>
      <c r="X359" s="108">
        <v>127721</v>
      </c>
      <c r="Y359" s="108">
        <v>106375</v>
      </c>
      <c r="Z359" s="125">
        <f t="shared" si="51"/>
        <v>1.2468613936778803</v>
      </c>
      <c r="AA359" s="125">
        <f t="shared" si="52"/>
        <v>5.5163909644538505</v>
      </c>
      <c r="AB359" s="108">
        <v>30487</v>
      </c>
      <c r="AC359" s="78" t="s">
        <v>1643</v>
      </c>
      <c r="AD359" s="126">
        <v>11201</v>
      </c>
      <c r="AE359" s="108">
        <v>257660</v>
      </c>
      <c r="AF359" s="108">
        <v>23153</v>
      </c>
      <c r="AG359" s="108">
        <v>102434</v>
      </c>
    </row>
    <row r="360" spans="1:33" ht="15.75" thickBot="1" x14ac:dyDescent="0.3">
      <c r="A360" s="44" t="s">
        <v>1089</v>
      </c>
      <c r="B360" s="107" t="s">
        <v>1090</v>
      </c>
      <c r="C360" s="78" t="s">
        <v>837</v>
      </c>
      <c r="D360" s="108">
        <v>232516</v>
      </c>
      <c r="E360" s="108">
        <v>951879</v>
      </c>
      <c r="F360" s="108">
        <v>554873</v>
      </c>
      <c r="G360" s="108">
        <v>1739268</v>
      </c>
      <c r="H360" s="125">
        <f t="shared" si="45"/>
        <v>0.69915535816842922</v>
      </c>
      <c r="I360" s="125">
        <f t="shared" si="46"/>
        <v>1.6684547775335496</v>
      </c>
      <c r="J360" s="125">
        <f t="shared" si="47"/>
        <v>5.2298273731308278</v>
      </c>
      <c r="K360" s="125">
        <f t="shared" si="48"/>
        <v>13.09058887283237</v>
      </c>
      <c r="L360" s="126">
        <v>597755</v>
      </c>
      <c r="M360" s="108">
        <v>1152628</v>
      </c>
      <c r="N360" s="108">
        <v>1184395</v>
      </c>
      <c r="O360" s="108">
        <v>2337023</v>
      </c>
      <c r="P360" s="108">
        <f t="shared" si="53"/>
        <v>7.0272245893308716</v>
      </c>
      <c r="Q360" s="108">
        <v>716355</v>
      </c>
      <c r="R360" s="108">
        <v>66886</v>
      </c>
      <c r="S360" s="125">
        <f t="shared" si="49"/>
        <v>0.20112037574383507</v>
      </c>
      <c r="T360" s="108">
        <v>316784</v>
      </c>
      <c r="U360" s="125">
        <f t="shared" si="50"/>
        <v>0.9525418938138781</v>
      </c>
      <c r="V360" s="108">
        <v>25139</v>
      </c>
      <c r="W360" s="108">
        <v>27774</v>
      </c>
      <c r="X360" s="108">
        <v>930786</v>
      </c>
      <c r="Y360" s="108">
        <v>507417</v>
      </c>
      <c r="Z360" s="125">
        <f t="shared" si="51"/>
        <v>2.7987924237822757</v>
      </c>
      <c r="AA360" s="125">
        <f t="shared" si="52"/>
        <v>7.0055545520231215</v>
      </c>
      <c r="AB360" s="108">
        <v>165281</v>
      </c>
      <c r="AC360" s="78" t="s">
        <v>1643</v>
      </c>
      <c r="AD360" s="126">
        <v>56887</v>
      </c>
      <c r="AE360" s="108">
        <v>783241</v>
      </c>
      <c r="AF360" s="108">
        <v>132864</v>
      </c>
      <c r="AG360" s="108">
        <v>332567</v>
      </c>
    </row>
    <row r="361" spans="1:33" ht="15.75" thickBot="1" x14ac:dyDescent="0.3">
      <c r="A361" s="44" t="s">
        <v>1103</v>
      </c>
      <c r="B361" s="107" t="s">
        <v>1104</v>
      </c>
      <c r="C361" s="78" t="s">
        <v>837</v>
      </c>
      <c r="D361" s="108">
        <v>308996</v>
      </c>
      <c r="E361" s="108">
        <v>239562</v>
      </c>
      <c r="F361" s="108">
        <v>72320</v>
      </c>
      <c r="G361" s="108">
        <v>620878</v>
      </c>
      <c r="H361" s="125">
        <f t="shared" si="45"/>
        <v>4.0282633918677568</v>
      </c>
      <c r="I361" s="125">
        <f t="shared" si="46"/>
        <v>0.94280834865136165</v>
      </c>
      <c r="J361" s="125">
        <f t="shared" si="47"/>
        <v>8.0941504686664842</v>
      </c>
      <c r="K361" s="125">
        <f t="shared" si="48"/>
        <v>16.331158924719869</v>
      </c>
      <c r="L361" s="126">
        <v>126649</v>
      </c>
      <c r="M361" s="108">
        <v>198969</v>
      </c>
      <c r="N361" s="108">
        <v>548558</v>
      </c>
      <c r="O361" s="108">
        <v>747527</v>
      </c>
      <c r="P361" s="108">
        <f t="shared" si="53"/>
        <v>9.7452253379743699</v>
      </c>
      <c r="Q361" s="108">
        <v>203077</v>
      </c>
      <c r="R361" s="108">
        <v>515500</v>
      </c>
      <c r="S361" s="125">
        <f t="shared" si="49"/>
        <v>6.7203775405112962</v>
      </c>
      <c r="T361" s="108">
        <v>50746</v>
      </c>
      <c r="U361" s="125">
        <f t="shared" si="50"/>
        <v>0.66155631167950779</v>
      </c>
      <c r="V361" s="108">
        <v>18909</v>
      </c>
      <c r="W361" s="108">
        <v>18907</v>
      </c>
      <c r="X361" s="108">
        <v>224134</v>
      </c>
      <c r="Y361" s="108">
        <v>177520</v>
      </c>
      <c r="Z361" s="125">
        <f t="shared" si="51"/>
        <v>2.9219497568670394</v>
      </c>
      <c r="AA361" s="125">
        <f t="shared" si="52"/>
        <v>5.8954705665737279</v>
      </c>
      <c r="AB361" s="108">
        <v>21574</v>
      </c>
      <c r="AC361" s="78" t="s">
        <v>1643</v>
      </c>
      <c r="AD361" s="126" t="s">
        <v>3453</v>
      </c>
      <c r="AE361" s="108">
        <v>718577</v>
      </c>
      <c r="AF361" s="108">
        <v>38018</v>
      </c>
      <c r="AG361" s="108">
        <v>76707</v>
      </c>
    </row>
    <row r="362" spans="1:33" ht="15.75" thickBot="1" x14ac:dyDescent="0.3">
      <c r="A362" s="44" t="s">
        <v>1107</v>
      </c>
      <c r="B362" s="107" t="s">
        <v>1108</v>
      </c>
      <c r="C362" s="78" t="s">
        <v>837</v>
      </c>
      <c r="D362" s="108">
        <v>407905</v>
      </c>
      <c r="E362" s="108">
        <v>704304</v>
      </c>
      <c r="F362" s="108">
        <v>309931</v>
      </c>
      <c r="G362" s="108">
        <v>1422140</v>
      </c>
      <c r="H362" s="125">
        <f t="shared" si="45"/>
        <v>2.1692459051265689</v>
      </c>
      <c r="I362" s="125">
        <f t="shared" si="46"/>
        <v>1.6482184641565625</v>
      </c>
      <c r="J362" s="125">
        <f t="shared" si="47"/>
        <v>7.5629653265262711</v>
      </c>
      <c r="K362" s="125">
        <f t="shared" si="48"/>
        <v>25.5032907124796</v>
      </c>
      <c r="L362" s="126">
        <v>370284</v>
      </c>
      <c r="M362" s="108">
        <v>680215</v>
      </c>
      <c r="N362" s="108">
        <v>1112209</v>
      </c>
      <c r="O362" s="108">
        <v>1792424</v>
      </c>
      <c r="P362" s="108">
        <f t="shared" si="53"/>
        <v>9.53214209742608</v>
      </c>
      <c r="Q362" s="108">
        <v>835942</v>
      </c>
      <c r="R362" s="108">
        <v>47898</v>
      </c>
      <c r="S362" s="125">
        <f t="shared" si="49"/>
        <v>0.25472239948947034</v>
      </c>
      <c r="T362" s="108">
        <v>122538</v>
      </c>
      <c r="U362" s="125">
        <f t="shared" si="50"/>
        <v>0.65165922144224631</v>
      </c>
      <c r="V362" s="108">
        <v>7387</v>
      </c>
      <c r="W362" s="108">
        <v>7041</v>
      </c>
      <c r="X362" s="108">
        <v>697626</v>
      </c>
      <c r="Y362" s="108">
        <v>529982</v>
      </c>
      <c r="Z362" s="125">
        <f t="shared" si="51"/>
        <v>3.7099872367581366</v>
      </c>
      <c r="AA362" s="125">
        <f t="shared" si="52"/>
        <v>12.51055359288417</v>
      </c>
      <c r="AB362" s="108">
        <v>114945</v>
      </c>
      <c r="AC362" s="78" t="s">
        <v>1643</v>
      </c>
      <c r="AD362" s="126">
        <v>278628</v>
      </c>
      <c r="AE362" s="108">
        <v>883840</v>
      </c>
      <c r="AF362" s="108">
        <v>55763</v>
      </c>
      <c r="AG362" s="108">
        <v>188040</v>
      </c>
    </row>
    <row r="363" spans="1:33" ht="15.75" thickBot="1" x14ac:dyDescent="0.3">
      <c r="A363" s="44" t="s">
        <v>1111</v>
      </c>
      <c r="B363" s="107" t="s">
        <v>1112</v>
      </c>
      <c r="C363" s="78" t="s">
        <v>837</v>
      </c>
      <c r="D363" s="108">
        <v>178416</v>
      </c>
      <c r="E363" s="108">
        <v>276370</v>
      </c>
      <c r="F363" s="108">
        <v>130707</v>
      </c>
      <c r="G363" s="108">
        <v>585493</v>
      </c>
      <c r="H363" s="125">
        <f t="shared" si="45"/>
        <v>3.4892535153423427</v>
      </c>
      <c r="I363" s="125">
        <f t="shared" si="46"/>
        <v>2.5562161422173548</v>
      </c>
      <c r="J363" s="125">
        <f t="shared" si="47"/>
        <v>11.450394070365517</v>
      </c>
      <c r="K363" s="125">
        <f t="shared" si="48"/>
        <v>22.508572966323236</v>
      </c>
      <c r="L363" s="126">
        <v>75616</v>
      </c>
      <c r="M363" s="108">
        <v>206323</v>
      </c>
      <c r="N363" s="108">
        <v>454786</v>
      </c>
      <c r="O363" s="108">
        <v>661109</v>
      </c>
      <c r="P363" s="108">
        <f t="shared" si="53"/>
        <v>12.9292042321006</v>
      </c>
      <c r="Q363" s="108">
        <v>210024</v>
      </c>
      <c r="R363" s="108">
        <v>487808</v>
      </c>
      <c r="S363" s="125">
        <f t="shared" si="49"/>
        <v>9.5399839633895915</v>
      </c>
      <c r="T363" s="108">
        <v>64890</v>
      </c>
      <c r="U363" s="125">
        <f t="shared" si="50"/>
        <v>1.2690434748596797</v>
      </c>
      <c r="V363" s="108">
        <v>18446</v>
      </c>
      <c r="W363" s="108">
        <v>17602</v>
      </c>
      <c r="X363" s="108">
        <v>498384</v>
      </c>
      <c r="Y363" s="108">
        <v>298891</v>
      </c>
      <c r="Z363" s="125">
        <f t="shared" si="51"/>
        <v>9.7468171239708212</v>
      </c>
      <c r="AA363" s="125">
        <f t="shared" si="52"/>
        <v>19.159772412732586</v>
      </c>
      <c r="AB363" s="108">
        <v>44030</v>
      </c>
      <c r="AC363" s="78" t="s">
        <v>1643</v>
      </c>
      <c r="AD363" s="126">
        <v>72752</v>
      </c>
      <c r="AE363" s="108">
        <v>697832</v>
      </c>
      <c r="AF363" s="108">
        <v>26012</v>
      </c>
      <c r="AG363" s="108">
        <v>51133</v>
      </c>
    </row>
    <row r="364" spans="1:33" ht="15.75" thickBot="1" x14ac:dyDescent="0.3">
      <c r="A364" s="44" t="s">
        <v>1137</v>
      </c>
      <c r="B364" s="107" t="s">
        <v>1138</v>
      </c>
      <c r="C364" s="78" t="s">
        <v>837</v>
      </c>
      <c r="D364" s="108">
        <v>448541</v>
      </c>
      <c r="E364" s="108">
        <v>609363</v>
      </c>
      <c r="F364" s="108">
        <v>233452</v>
      </c>
      <c r="G364" s="108">
        <v>1291356</v>
      </c>
      <c r="H364" s="125">
        <f t="shared" si="45"/>
        <v>4.3792995713853333</v>
      </c>
      <c r="I364" s="125">
        <f t="shared" si="46"/>
        <v>2.2792927369829044</v>
      </c>
      <c r="J364" s="125">
        <f t="shared" si="47"/>
        <v>12.608066547552795</v>
      </c>
      <c r="K364" s="125">
        <f t="shared" si="48"/>
        <v>27.313521859599398</v>
      </c>
      <c r="L364" s="126">
        <v>85210</v>
      </c>
      <c r="M364" s="108">
        <v>318662</v>
      </c>
      <c r="N364" s="108">
        <v>1057904</v>
      </c>
      <c r="O364" s="108">
        <v>1376566</v>
      </c>
      <c r="P364" s="108">
        <f t="shared" si="53"/>
        <v>13.440008591820197</v>
      </c>
      <c r="Q364" s="108">
        <v>279733</v>
      </c>
      <c r="R364" s="108">
        <v>163493</v>
      </c>
      <c r="S364" s="125">
        <f t="shared" si="49"/>
        <v>1.5962527947824219</v>
      </c>
      <c r="T364" s="108">
        <v>195754</v>
      </c>
      <c r="U364" s="125">
        <f t="shared" si="50"/>
        <v>1.9112308758774885</v>
      </c>
      <c r="V364" s="108">
        <v>26793</v>
      </c>
      <c r="W364" s="108">
        <v>42987</v>
      </c>
      <c r="X364" s="108">
        <v>794589</v>
      </c>
      <c r="Y364" s="108">
        <v>794111</v>
      </c>
      <c r="Z364" s="125">
        <f t="shared" si="51"/>
        <v>7.757915702527753</v>
      </c>
      <c r="AA364" s="125">
        <f t="shared" si="52"/>
        <v>16.806383383743309</v>
      </c>
      <c r="AB364" s="108">
        <v>60879</v>
      </c>
      <c r="AC364" s="78" t="s">
        <v>1643</v>
      </c>
      <c r="AD364" s="126">
        <v>67580</v>
      </c>
      <c r="AE364" s="108">
        <v>443226</v>
      </c>
      <c r="AF364" s="108">
        <v>47279</v>
      </c>
      <c r="AG364" s="108">
        <v>102423</v>
      </c>
    </row>
    <row r="365" spans="1:33" ht="15.75" thickBot="1" x14ac:dyDescent="0.3">
      <c r="A365" s="44" t="s">
        <v>1159</v>
      </c>
      <c r="B365" s="107" t="s">
        <v>1160</v>
      </c>
      <c r="C365" s="78" t="s">
        <v>837</v>
      </c>
      <c r="D365" s="108">
        <v>176778</v>
      </c>
      <c r="E365" s="108">
        <v>183265</v>
      </c>
      <c r="F365" s="108">
        <v>110496</v>
      </c>
      <c r="G365" s="108">
        <v>470539</v>
      </c>
      <c r="H365" s="125">
        <f t="shared" si="45"/>
        <v>3.3653410497058767</v>
      </c>
      <c r="I365" s="125">
        <f t="shared" si="46"/>
        <v>2.1035237678234879</v>
      </c>
      <c r="J365" s="125">
        <f t="shared" si="47"/>
        <v>8.9576995564354931</v>
      </c>
      <c r="K365" s="125">
        <f t="shared" si="48"/>
        <v>17.324705449189985</v>
      </c>
      <c r="L365" s="126">
        <v>98540</v>
      </c>
      <c r="M365" s="108">
        <v>209036</v>
      </c>
      <c r="N365" s="108">
        <v>360043</v>
      </c>
      <c r="O365" s="108">
        <v>569079</v>
      </c>
      <c r="P365" s="108">
        <f t="shared" si="53"/>
        <v>10.833615717032496</v>
      </c>
      <c r="Q365" s="108">
        <v>146430</v>
      </c>
      <c r="R365" s="108">
        <v>127335</v>
      </c>
      <c r="S365" s="125">
        <f t="shared" si="49"/>
        <v>2.4240895505339908</v>
      </c>
      <c r="T365" s="108">
        <v>49634</v>
      </c>
      <c r="U365" s="125">
        <f t="shared" si="50"/>
        <v>0.94488758590492872</v>
      </c>
      <c r="V365" s="108">
        <v>10318</v>
      </c>
      <c r="W365" s="108">
        <v>10911</v>
      </c>
      <c r="X365" s="108">
        <v>144222</v>
      </c>
      <c r="Y365" s="108">
        <v>112565</v>
      </c>
      <c r="Z365" s="125">
        <f t="shared" si="51"/>
        <v>2.7455691142035827</v>
      </c>
      <c r="AA365" s="125">
        <f t="shared" si="52"/>
        <v>5.3100883652430042</v>
      </c>
      <c r="AB365" s="108">
        <v>18551</v>
      </c>
      <c r="AC365" s="78" t="s">
        <v>1643</v>
      </c>
      <c r="AD365" s="126">
        <v>46384</v>
      </c>
      <c r="AE365" s="108">
        <v>273765</v>
      </c>
      <c r="AF365" s="108">
        <v>27160</v>
      </c>
      <c r="AG365" s="108">
        <v>52529</v>
      </c>
    </row>
    <row r="366" spans="1:33" ht="15.75" thickBot="1" x14ac:dyDescent="0.3">
      <c r="A366" s="44" t="s">
        <v>1179</v>
      </c>
      <c r="B366" s="107" t="s">
        <v>1180</v>
      </c>
      <c r="C366" s="78" t="s">
        <v>837</v>
      </c>
      <c r="D366" s="108">
        <v>292093</v>
      </c>
      <c r="E366" s="108">
        <v>1259981</v>
      </c>
      <c r="F366" s="108">
        <v>174531</v>
      </c>
      <c r="G366" s="108">
        <v>1726605</v>
      </c>
      <c r="H366" s="125">
        <f t="shared" si="45"/>
        <v>1.8227559782337377</v>
      </c>
      <c r="I366" s="125">
        <f t="shared" si="46"/>
        <v>1.0891305975737606</v>
      </c>
      <c r="J366" s="125">
        <f t="shared" si="47"/>
        <v>10.774580649992512</v>
      </c>
      <c r="K366" s="125">
        <f t="shared" si="48"/>
        <v>28.607489023278934</v>
      </c>
      <c r="L366" s="126">
        <v>72714</v>
      </c>
      <c r="M366" s="108">
        <v>247245</v>
      </c>
      <c r="N366" s="108">
        <v>1552074</v>
      </c>
      <c r="O366" s="108">
        <v>1799319</v>
      </c>
      <c r="P366" s="108">
        <f t="shared" si="53"/>
        <v>11.228339823273926</v>
      </c>
      <c r="Q366" s="108">
        <v>452248</v>
      </c>
      <c r="R366" s="108">
        <v>128231</v>
      </c>
      <c r="S366" s="125">
        <f t="shared" si="49"/>
        <v>0.80020343467625177</v>
      </c>
      <c r="T366" s="108">
        <v>90267</v>
      </c>
      <c r="U366" s="125">
        <f t="shared" si="50"/>
        <v>0.56329564175527935</v>
      </c>
      <c r="V366" s="108">
        <v>25913</v>
      </c>
      <c r="W366" s="108">
        <v>27655</v>
      </c>
      <c r="X366" s="108">
        <v>542449</v>
      </c>
      <c r="Y366" s="108">
        <v>714886</v>
      </c>
      <c r="Z366" s="125">
        <f t="shared" si="51"/>
        <v>3.3850594079177276</v>
      </c>
      <c r="AA366" s="125">
        <f t="shared" si="52"/>
        <v>8.9876397978626468</v>
      </c>
      <c r="AB366" s="108">
        <v>142882</v>
      </c>
      <c r="AC366" s="78" t="s">
        <v>1643</v>
      </c>
      <c r="AD366" s="126">
        <v>46138</v>
      </c>
      <c r="AE366" s="108">
        <v>580479</v>
      </c>
      <c r="AF366" s="108">
        <v>60355</v>
      </c>
      <c r="AG366" s="108">
        <v>160248</v>
      </c>
    </row>
    <row r="367" spans="1:33" ht="15.75" thickBot="1" x14ac:dyDescent="0.3">
      <c r="A367" s="44" t="s">
        <v>1187</v>
      </c>
      <c r="B367" s="107" t="s">
        <v>1188</v>
      </c>
      <c r="C367" s="78" t="s">
        <v>837</v>
      </c>
      <c r="D367" s="108">
        <v>352308</v>
      </c>
      <c r="E367" s="108">
        <v>1166088</v>
      </c>
      <c r="F367" s="108">
        <v>222261</v>
      </c>
      <c r="G367" s="108">
        <v>1740657</v>
      </c>
      <c r="H367" s="125">
        <f t="shared" si="45"/>
        <v>3.0255313667396626</v>
      </c>
      <c r="I367" s="125">
        <f t="shared" si="46"/>
        <v>1.9087208553394306</v>
      </c>
      <c r="J367" s="125">
        <f t="shared" si="47"/>
        <v>14.948318948859978</v>
      </c>
      <c r="K367" s="125">
        <f t="shared" si="48"/>
        <v>31.04103359726086</v>
      </c>
      <c r="L367" s="126">
        <v>46960</v>
      </c>
      <c r="M367" s="108">
        <v>269221</v>
      </c>
      <c r="N367" s="108">
        <v>1518396</v>
      </c>
      <c r="O367" s="108">
        <v>1787617</v>
      </c>
      <c r="P367" s="108">
        <f t="shared" si="53"/>
        <v>15.351599467559792</v>
      </c>
      <c r="Q367" s="108">
        <v>554321</v>
      </c>
      <c r="R367" s="108">
        <v>532011</v>
      </c>
      <c r="S367" s="125">
        <f t="shared" si="49"/>
        <v>4.5687749581347417</v>
      </c>
      <c r="T367" s="108">
        <v>197448</v>
      </c>
      <c r="U367" s="125">
        <f t="shared" si="50"/>
        <v>1.6956331315213191</v>
      </c>
      <c r="V367" s="108">
        <v>17700</v>
      </c>
      <c r="W367" s="108">
        <v>14863</v>
      </c>
      <c r="X367" s="108">
        <v>543755</v>
      </c>
      <c r="Y367" s="108">
        <v>574622</v>
      </c>
      <c r="Z367" s="125">
        <f t="shared" si="51"/>
        <v>4.669629438790845</v>
      </c>
      <c r="AA367" s="125">
        <f t="shared" si="52"/>
        <v>9.6967508381482279</v>
      </c>
      <c r="AB367" s="108">
        <v>108430</v>
      </c>
      <c r="AC367" s="78" t="s">
        <v>1643</v>
      </c>
      <c r="AD367" s="126">
        <v>29917</v>
      </c>
      <c r="AE367" s="108">
        <v>1086332</v>
      </c>
      <c r="AF367" s="108">
        <v>56076</v>
      </c>
      <c r="AG367" s="108">
        <v>116445</v>
      </c>
    </row>
    <row r="368" spans="1:33" ht="15.75" thickBot="1" x14ac:dyDescent="0.3">
      <c r="A368" s="44" t="s">
        <v>1191</v>
      </c>
      <c r="B368" s="107" t="s">
        <v>1192</v>
      </c>
      <c r="C368" s="78" t="s">
        <v>837</v>
      </c>
      <c r="D368" s="108">
        <v>2552109</v>
      </c>
      <c r="E368" s="108">
        <v>4234578</v>
      </c>
      <c r="F368" s="108">
        <v>922839</v>
      </c>
      <c r="G368" s="108">
        <v>7709526</v>
      </c>
      <c r="H368" s="125">
        <f t="shared" si="45"/>
        <v>6.4502577970985193</v>
      </c>
      <c r="I368" s="125">
        <f t="shared" si="46"/>
        <v>2.3324040843148159</v>
      </c>
      <c r="J368" s="125">
        <f t="shared" si="47"/>
        <v>19.485229742708388</v>
      </c>
      <c r="K368" s="125">
        <f t="shared" si="48"/>
        <v>47.072450848699475</v>
      </c>
      <c r="L368" s="126">
        <v>339893</v>
      </c>
      <c r="M368" s="108">
        <v>1262732</v>
      </c>
      <c r="N368" s="108">
        <v>6786687</v>
      </c>
      <c r="O368" s="108">
        <v>8049419</v>
      </c>
      <c r="P368" s="108">
        <f t="shared" si="53"/>
        <v>20.344282970226963</v>
      </c>
      <c r="Q368" s="108">
        <v>910695</v>
      </c>
      <c r="R368" s="108">
        <v>352724</v>
      </c>
      <c r="S368" s="125">
        <f t="shared" si="49"/>
        <v>0.89148258605873731</v>
      </c>
      <c r="T368" s="108">
        <v>491332</v>
      </c>
      <c r="U368" s="125">
        <f t="shared" si="50"/>
        <v>1.2418035687206188</v>
      </c>
      <c r="V368" s="108">
        <v>31407</v>
      </c>
      <c r="W368" s="108">
        <v>32562</v>
      </c>
      <c r="X368" s="108">
        <v>2702377</v>
      </c>
      <c r="Y368" s="108">
        <v>1394544</v>
      </c>
      <c r="Z368" s="125">
        <f t="shared" si="51"/>
        <v>6.8300485265126625</v>
      </c>
      <c r="AA368" s="125">
        <f t="shared" si="52"/>
        <v>16.500042740261325</v>
      </c>
      <c r="AB368" s="108">
        <v>375297</v>
      </c>
      <c r="AC368" s="78" t="s">
        <v>1643</v>
      </c>
      <c r="AD368" s="126">
        <v>846525</v>
      </c>
      <c r="AE368" s="108">
        <v>1263419</v>
      </c>
      <c r="AF368" s="108">
        <v>163780</v>
      </c>
      <c r="AG368" s="108">
        <v>395660</v>
      </c>
    </row>
    <row r="369" spans="1:33" ht="15.75" thickBot="1" x14ac:dyDescent="0.3">
      <c r="A369" s="44" t="s">
        <v>1201</v>
      </c>
      <c r="B369" s="107" t="s">
        <v>1202</v>
      </c>
      <c r="C369" s="78" t="s">
        <v>837</v>
      </c>
      <c r="D369" s="108">
        <v>51837</v>
      </c>
      <c r="E369" s="108">
        <v>91821</v>
      </c>
      <c r="F369" s="108">
        <v>21836</v>
      </c>
      <c r="G369" s="108">
        <v>165494</v>
      </c>
      <c r="H369" s="125">
        <f t="shared" si="45"/>
        <v>0.86386361363863617</v>
      </c>
      <c r="I369" s="125">
        <f t="shared" si="46"/>
        <v>0.36389694363896946</v>
      </c>
      <c r="J369" s="125">
        <f t="shared" si="47"/>
        <v>2.7579575375795753</v>
      </c>
      <c r="K369" s="125">
        <f t="shared" si="48"/>
        <v>8.4280912609492766</v>
      </c>
      <c r="L369" s="126">
        <v>614</v>
      </c>
      <c r="M369" s="108">
        <v>22450</v>
      </c>
      <c r="N369" s="108">
        <v>143658</v>
      </c>
      <c r="O369" s="108">
        <v>166108</v>
      </c>
      <c r="P369" s="108">
        <f t="shared" si="53"/>
        <v>2.7681898476818985</v>
      </c>
      <c r="Q369" s="108">
        <v>95941</v>
      </c>
      <c r="R369" s="108">
        <v>21730</v>
      </c>
      <c r="S369" s="125">
        <f t="shared" si="49"/>
        <v>0.36213045362130453</v>
      </c>
      <c r="T369" s="108">
        <v>10214</v>
      </c>
      <c r="U369" s="125">
        <f t="shared" si="50"/>
        <v>0.17021631170216311</v>
      </c>
      <c r="V369" s="108">
        <v>13915</v>
      </c>
      <c r="W369" s="108">
        <v>23547</v>
      </c>
      <c r="X369" s="108">
        <v>123611</v>
      </c>
      <c r="Y369" s="108">
        <v>91744</v>
      </c>
      <c r="Z369" s="125">
        <f t="shared" si="51"/>
        <v>2.0599773355997733</v>
      </c>
      <c r="AA369" s="125">
        <f t="shared" si="52"/>
        <v>6.2951212059482584</v>
      </c>
      <c r="AB369" s="108">
        <v>16998</v>
      </c>
      <c r="AC369" s="78" t="s">
        <v>1643</v>
      </c>
      <c r="AD369" s="126">
        <v>41922</v>
      </c>
      <c r="AE369" s="108">
        <v>117671</v>
      </c>
      <c r="AF369" s="108">
        <v>19636</v>
      </c>
      <c r="AG369" s="108">
        <v>60006</v>
      </c>
    </row>
    <row r="370" spans="1:33" ht="15.75" thickBot="1" x14ac:dyDescent="0.3">
      <c r="A370" s="44" t="s">
        <v>1227</v>
      </c>
      <c r="B370" s="107" t="s">
        <v>1228</v>
      </c>
      <c r="C370" s="78" t="s">
        <v>837</v>
      </c>
      <c r="D370" s="108">
        <v>124847</v>
      </c>
      <c r="E370" s="108">
        <v>210270</v>
      </c>
      <c r="F370" s="108">
        <v>68592</v>
      </c>
      <c r="G370" s="108">
        <v>403709</v>
      </c>
      <c r="H370" s="125">
        <f t="shared" si="45"/>
        <v>1.2878525303789894</v>
      </c>
      <c r="I370" s="125">
        <f t="shared" si="46"/>
        <v>0.70755709599554373</v>
      </c>
      <c r="J370" s="125">
        <f t="shared" si="47"/>
        <v>4.1644385302552038</v>
      </c>
      <c r="K370" s="125">
        <f t="shared" si="48"/>
        <v>13.512367372895538</v>
      </c>
      <c r="L370" s="126">
        <v>921</v>
      </c>
      <c r="M370" s="108">
        <v>69513</v>
      </c>
      <c r="N370" s="108">
        <v>335117</v>
      </c>
      <c r="O370" s="108">
        <v>404630</v>
      </c>
      <c r="P370" s="108">
        <f t="shared" si="53"/>
        <v>4.1739390563429684</v>
      </c>
      <c r="Q370" s="108">
        <v>254498</v>
      </c>
      <c r="R370" s="108">
        <v>18003</v>
      </c>
      <c r="S370" s="125">
        <f t="shared" si="49"/>
        <v>0.18570898062759175</v>
      </c>
      <c r="T370" s="108">
        <v>126000</v>
      </c>
      <c r="U370" s="125">
        <f t="shared" si="50"/>
        <v>1.2997462400198057</v>
      </c>
      <c r="V370" s="108">
        <v>48553</v>
      </c>
      <c r="W370" s="108">
        <v>47587</v>
      </c>
      <c r="X370" s="108">
        <v>286366</v>
      </c>
      <c r="Y370" s="108">
        <v>3650916</v>
      </c>
      <c r="Z370" s="125">
        <f t="shared" si="51"/>
        <v>2.9539931092818388</v>
      </c>
      <c r="AA370" s="125">
        <f t="shared" si="52"/>
        <v>9.584831141011481</v>
      </c>
      <c r="AB370" s="108">
        <v>29400</v>
      </c>
      <c r="AC370" s="78" t="s">
        <v>1643</v>
      </c>
      <c r="AD370" s="126">
        <v>48216</v>
      </c>
      <c r="AE370" s="108">
        <v>272501</v>
      </c>
      <c r="AF370" s="108">
        <v>29877</v>
      </c>
      <c r="AG370" s="108">
        <v>96942</v>
      </c>
    </row>
    <row r="371" spans="1:33" ht="15.75" thickBot="1" x14ac:dyDescent="0.3">
      <c r="A371" s="44" t="s">
        <v>1293</v>
      </c>
      <c r="B371" s="107" t="s">
        <v>1294</v>
      </c>
      <c r="C371" s="78" t="s">
        <v>837</v>
      </c>
      <c r="D371" s="108">
        <v>249866</v>
      </c>
      <c r="E371" s="108">
        <v>486121</v>
      </c>
      <c r="F371" s="108">
        <v>114436</v>
      </c>
      <c r="G371" s="108">
        <v>850423</v>
      </c>
      <c r="H371" s="125">
        <f t="shared" si="45"/>
        <v>1.6662732152979227</v>
      </c>
      <c r="I371" s="125">
        <f t="shared" si="46"/>
        <v>0.76313560734887131</v>
      </c>
      <c r="J371" s="125">
        <f t="shared" si="47"/>
        <v>5.6711880230735892</v>
      </c>
      <c r="K371" s="125">
        <f t="shared" si="48"/>
        <v>18.235724241449557</v>
      </c>
      <c r="L371" s="126">
        <v>124967</v>
      </c>
      <c r="M371" s="108">
        <v>239403</v>
      </c>
      <c r="N371" s="108">
        <v>735987</v>
      </c>
      <c r="O371" s="108">
        <v>975390</v>
      </c>
      <c r="P371" s="108">
        <f t="shared" si="53"/>
        <v>6.5045513654096228</v>
      </c>
      <c r="Q371" s="108">
        <v>405203</v>
      </c>
      <c r="R371" s="108">
        <v>57376</v>
      </c>
      <c r="S371" s="125">
        <f t="shared" si="49"/>
        <v>0.38262145310259743</v>
      </c>
      <c r="T371" s="108">
        <v>35057</v>
      </c>
      <c r="U371" s="125">
        <f t="shared" si="50"/>
        <v>0.23378346837384548</v>
      </c>
      <c r="V371" s="108">
        <v>35802</v>
      </c>
      <c r="W371" s="108">
        <v>38421</v>
      </c>
      <c r="X371" s="108">
        <v>592312</v>
      </c>
      <c r="Y371" s="108">
        <v>459502</v>
      </c>
      <c r="Z371" s="125">
        <f t="shared" si="51"/>
        <v>3.9499316461605147</v>
      </c>
      <c r="AA371" s="125">
        <f t="shared" si="52"/>
        <v>12.701018548300633</v>
      </c>
      <c r="AB371" s="108">
        <v>167480</v>
      </c>
      <c r="AC371" s="78" t="s">
        <v>1643</v>
      </c>
      <c r="AD371" s="126">
        <v>45002</v>
      </c>
      <c r="AE371" s="108">
        <v>462579</v>
      </c>
      <c r="AF371" s="108">
        <v>46635</v>
      </c>
      <c r="AG371" s="108">
        <v>149955</v>
      </c>
    </row>
    <row r="372" spans="1:33" ht="15.75" thickBot="1" x14ac:dyDescent="0.3">
      <c r="A372" s="44" t="s">
        <v>1307</v>
      </c>
      <c r="B372" s="107" t="s">
        <v>1308</v>
      </c>
      <c r="C372" s="78" t="s">
        <v>837</v>
      </c>
      <c r="D372" s="108">
        <v>129384</v>
      </c>
      <c r="E372" s="108">
        <v>311502</v>
      </c>
      <c r="F372" s="108">
        <v>51842</v>
      </c>
      <c r="G372" s="108">
        <v>492728</v>
      </c>
      <c r="H372" s="125">
        <f t="shared" si="45"/>
        <v>1.222310395646752</v>
      </c>
      <c r="I372" s="125">
        <f t="shared" si="46"/>
        <v>0.48975928655103351</v>
      </c>
      <c r="J372" s="125">
        <f t="shared" si="47"/>
        <v>4.654876620186676</v>
      </c>
      <c r="K372" s="125">
        <f t="shared" si="48"/>
        <v>24.929319504174046</v>
      </c>
      <c r="L372" s="126">
        <v>22508</v>
      </c>
      <c r="M372" s="108">
        <v>74350</v>
      </c>
      <c r="N372" s="108">
        <v>440886</v>
      </c>
      <c r="O372" s="108">
        <v>515236</v>
      </c>
      <c r="P372" s="108">
        <f t="shared" si="53"/>
        <v>4.8675131315421529</v>
      </c>
      <c r="Q372" s="108">
        <v>190810</v>
      </c>
      <c r="R372" s="108">
        <v>233293</v>
      </c>
      <c r="S372" s="125">
        <f t="shared" si="49"/>
        <v>2.2039545780901637</v>
      </c>
      <c r="T372" s="108">
        <v>67907</v>
      </c>
      <c r="U372" s="125">
        <f t="shared" si="50"/>
        <v>0.64152779352303213</v>
      </c>
      <c r="V372" s="108">
        <v>48111</v>
      </c>
      <c r="W372" s="108">
        <v>54467</v>
      </c>
      <c r="X372" s="108">
        <v>379417</v>
      </c>
      <c r="Y372" s="108">
        <v>141736</v>
      </c>
      <c r="Z372" s="125">
        <f t="shared" si="51"/>
        <v>3.5844103087329477</v>
      </c>
      <c r="AA372" s="125">
        <f t="shared" si="52"/>
        <v>19.196407791550723</v>
      </c>
      <c r="AB372" s="108">
        <v>64651</v>
      </c>
      <c r="AC372" s="78" t="s">
        <v>1643</v>
      </c>
      <c r="AD372" s="126">
        <v>28694</v>
      </c>
      <c r="AE372" s="108">
        <v>424103</v>
      </c>
      <c r="AF372" s="108">
        <v>19765</v>
      </c>
      <c r="AG372" s="108">
        <v>105852</v>
      </c>
    </row>
    <row r="373" spans="1:33" ht="15.75" thickBot="1" x14ac:dyDescent="0.3">
      <c r="A373" s="44" t="s">
        <v>1327</v>
      </c>
      <c r="B373" s="107" t="s">
        <v>1328</v>
      </c>
      <c r="C373" s="78" t="s">
        <v>837</v>
      </c>
      <c r="D373" s="108">
        <v>394335</v>
      </c>
      <c r="E373" s="108">
        <v>463519</v>
      </c>
      <c r="F373" s="108">
        <v>79861</v>
      </c>
      <c r="G373" s="108">
        <v>937715</v>
      </c>
      <c r="H373" s="125">
        <f t="shared" si="45"/>
        <v>7.1213024162964569</v>
      </c>
      <c r="I373" s="125">
        <f t="shared" si="46"/>
        <v>1.4422111460252103</v>
      </c>
      <c r="J373" s="125">
        <f t="shared" si="47"/>
        <v>16.934211001553077</v>
      </c>
      <c r="K373" s="125">
        <f t="shared" si="48"/>
        <v>41.16757397488805</v>
      </c>
      <c r="L373" s="126">
        <v>303446</v>
      </c>
      <c r="M373" s="108">
        <v>383307</v>
      </c>
      <c r="N373" s="108">
        <v>857854</v>
      </c>
      <c r="O373" s="108">
        <v>1241161</v>
      </c>
      <c r="P373" s="108">
        <f t="shared" si="53"/>
        <v>22.414147433813703</v>
      </c>
      <c r="Q373" s="108">
        <v>169739</v>
      </c>
      <c r="R373" s="108">
        <v>68531</v>
      </c>
      <c r="S373" s="125">
        <f t="shared" si="49"/>
        <v>1.237602484920721</v>
      </c>
      <c r="T373" s="108">
        <v>114709</v>
      </c>
      <c r="U373" s="125">
        <f t="shared" si="50"/>
        <v>2.0715317658106693</v>
      </c>
      <c r="V373" s="108">
        <v>41109</v>
      </c>
      <c r="W373" s="108">
        <v>59168</v>
      </c>
      <c r="X373" s="108">
        <v>463818</v>
      </c>
      <c r="Y373" s="108">
        <v>1613944</v>
      </c>
      <c r="Z373" s="125">
        <f t="shared" si="51"/>
        <v>8.3760970852746777</v>
      </c>
      <c r="AA373" s="125">
        <f t="shared" si="52"/>
        <v>20.362542804460443</v>
      </c>
      <c r="AB373" s="108">
        <v>41159</v>
      </c>
      <c r="AC373" s="78" t="s">
        <v>1643</v>
      </c>
      <c r="AD373" s="126">
        <v>1275535</v>
      </c>
      <c r="AE373" s="108">
        <v>238270</v>
      </c>
      <c r="AF373" s="108">
        <v>22778</v>
      </c>
      <c r="AG373" s="108">
        <v>55374</v>
      </c>
    </row>
    <row r="374" spans="1:33" ht="15.75" thickBot="1" x14ac:dyDescent="0.3">
      <c r="A374" s="44" t="s">
        <v>1375</v>
      </c>
      <c r="B374" s="107" t="s">
        <v>1376</v>
      </c>
      <c r="C374" s="78" t="s">
        <v>837</v>
      </c>
      <c r="D374" s="108">
        <v>5153</v>
      </c>
      <c r="E374" s="108">
        <v>25003</v>
      </c>
      <c r="F374" s="108">
        <v>7041</v>
      </c>
      <c r="G374" s="108">
        <v>37197</v>
      </c>
      <c r="H374" s="125">
        <f t="shared" si="45"/>
        <v>8.6583214315718721E-2</v>
      </c>
      <c r="I374" s="125">
        <f t="shared" si="46"/>
        <v>0.1183063093337814</v>
      </c>
      <c r="J374" s="125">
        <f t="shared" si="47"/>
        <v>0.62500210031084602</v>
      </c>
      <c r="K374" s="125">
        <f t="shared" si="48"/>
        <v>3.62085077387326</v>
      </c>
      <c r="L374" s="126">
        <v>26533</v>
      </c>
      <c r="M374" s="108">
        <v>33574</v>
      </c>
      <c r="N374" s="108">
        <v>30156</v>
      </c>
      <c r="O374" s="108">
        <v>63730</v>
      </c>
      <c r="P374" s="108">
        <f t="shared" si="53"/>
        <v>1.0708224817272955</v>
      </c>
      <c r="Q374" s="108">
        <v>67228</v>
      </c>
      <c r="R374" s="108">
        <v>26033</v>
      </c>
      <c r="S374" s="125">
        <f t="shared" si="49"/>
        <v>0.43741913803242882</v>
      </c>
      <c r="T374" s="108">
        <v>20248</v>
      </c>
      <c r="U374" s="125">
        <f t="shared" si="50"/>
        <v>0.34021675207930774</v>
      </c>
      <c r="V374" s="108">
        <v>7185</v>
      </c>
      <c r="W374" s="108">
        <v>3945</v>
      </c>
      <c r="X374" s="108">
        <v>199110</v>
      </c>
      <c r="Y374" s="108">
        <v>12281</v>
      </c>
      <c r="Z374" s="125">
        <f t="shared" si="51"/>
        <v>3.3455431403847768</v>
      </c>
      <c r="AA374" s="125">
        <f t="shared" si="52"/>
        <v>19.381874817482721</v>
      </c>
      <c r="AB374" s="108">
        <v>58964</v>
      </c>
      <c r="AC374" s="78" t="s">
        <v>1643</v>
      </c>
      <c r="AD374" s="126" t="s">
        <v>3453</v>
      </c>
      <c r="AE374" s="108">
        <v>93261</v>
      </c>
      <c r="AF374" s="108">
        <v>10273</v>
      </c>
      <c r="AG374" s="108">
        <v>59515</v>
      </c>
    </row>
    <row r="375" spans="1:33" ht="15.75" thickBot="1" x14ac:dyDescent="0.3">
      <c r="A375" s="44" t="s">
        <v>1379</v>
      </c>
      <c r="B375" s="107" t="s">
        <v>1380</v>
      </c>
      <c r="C375" s="78" t="s">
        <v>837</v>
      </c>
      <c r="D375" s="108">
        <v>337406</v>
      </c>
      <c r="E375" s="108">
        <v>324847</v>
      </c>
      <c r="F375" s="108">
        <v>112993</v>
      </c>
      <c r="G375" s="108">
        <v>775246</v>
      </c>
      <c r="H375" s="125">
        <f t="shared" si="45"/>
        <v>6.4674333908376465</v>
      </c>
      <c r="I375" s="125">
        <f t="shared" si="46"/>
        <v>2.1658616062871383</v>
      </c>
      <c r="J375" s="125">
        <f t="shared" si="47"/>
        <v>14.859996166379146</v>
      </c>
      <c r="K375" s="125">
        <f t="shared" si="48"/>
        <v>19.192582873270123</v>
      </c>
      <c r="L375" s="126">
        <v>51765</v>
      </c>
      <c r="M375" s="108">
        <v>164758</v>
      </c>
      <c r="N375" s="108">
        <v>662253</v>
      </c>
      <c r="O375" s="108">
        <v>827011</v>
      </c>
      <c r="P375" s="108">
        <f t="shared" si="53"/>
        <v>15.852233084147977</v>
      </c>
      <c r="Q375" s="108">
        <v>197492</v>
      </c>
      <c r="R375" s="108">
        <v>66334</v>
      </c>
      <c r="S375" s="125">
        <f t="shared" si="49"/>
        <v>1.2714970289438374</v>
      </c>
      <c r="T375" s="108">
        <v>107487</v>
      </c>
      <c r="U375" s="125">
        <f t="shared" si="50"/>
        <v>2.0603220241518114</v>
      </c>
      <c r="V375" s="108">
        <v>13416</v>
      </c>
      <c r="W375" s="108">
        <v>15012</v>
      </c>
      <c r="X375" s="108">
        <v>699351</v>
      </c>
      <c r="Y375" s="108">
        <v>377324</v>
      </c>
      <c r="Z375" s="125">
        <f t="shared" si="51"/>
        <v>13.405232892466936</v>
      </c>
      <c r="AA375" s="125">
        <f t="shared" si="52"/>
        <v>17.313668209838337</v>
      </c>
      <c r="AB375" s="108">
        <v>31763</v>
      </c>
      <c r="AC375" s="78" t="s">
        <v>1643</v>
      </c>
      <c r="AD375" s="126">
        <v>96876</v>
      </c>
      <c r="AE375" s="108">
        <v>263826</v>
      </c>
      <c r="AF375" s="108">
        <v>40393</v>
      </c>
      <c r="AG375" s="108">
        <v>52170</v>
      </c>
    </row>
    <row r="376" spans="1:33" ht="15.75" thickBot="1" x14ac:dyDescent="0.3">
      <c r="A376" s="44" t="s">
        <v>1389</v>
      </c>
      <c r="B376" s="107" t="s">
        <v>1390</v>
      </c>
      <c r="C376" s="78" t="s">
        <v>837</v>
      </c>
      <c r="D376" s="108">
        <v>83785</v>
      </c>
      <c r="E376" s="108">
        <v>158592</v>
      </c>
      <c r="F376" s="108">
        <v>39872</v>
      </c>
      <c r="G376" s="108">
        <v>282249</v>
      </c>
      <c r="H376" s="125">
        <f t="shared" si="45"/>
        <v>0.67194642713930552</v>
      </c>
      <c r="I376" s="125">
        <f t="shared" si="46"/>
        <v>0.31976902718742484</v>
      </c>
      <c r="J376" s="125">
        <f t="shared" si="47"/>
        <v>2.2636057422407569</v>
      </c>
      <c r="K376" s="125">
        <f t="shared" si="48"/>
        <v>5.7016544451851399</v>
      </c>
      <c r="L376" s="126">
        <v>275465</v>
      </c>
      <c r="M376" s="108">
        <v>315337</v>
      </c>
      <c r="N376" s="108">
        <v>242377</v>
      </c>
      <c r="O376" s="108">
        <v>557714</v>
      </c>
      <c r="P376" s="108">
        <f t="shared" si="53"/>
        <v>4.4728045552971372</v>
      </c>
      <c r="Q376" s="108">
        <v>318186</v>
      </c>
      <c r="R376" s="108">
        <v>5300</v>
      </c>
      <c r="S376" s="125">
        <f t="shared" si="49"/>
        <v>4.2505413425294729E-2</v>
      </c>
      <c r="T376" s="108">
        <v>178469</v>
      </c>
      <c r="U376" s="125">
        <f t="shared" si="50"/>
        <v>1.431301628037533</v>
      </c>
      <c r="V376" s="108">
        <v>20306</v>
      </c>
      <c r="W376" s="108">
        <v>23022</v>
      </c>
      <c r="X376" s="108">
        <v>273134</v>
      </c>
      <c r="Y376" s="108">
        <v>275465</v>
      </c>
      <c r="Z376" s="125">
        <f t="shared" si="51"/>
        <v>2.1905044510385756</v>
      </c>
      <c r="AA376" s="125">
        <f t="shared" si="52"/>
        <v>5.5175241904531038</v>
      </c>
      <c r="AB376" s="108">
        <v>65772</v>
      </c>
      <c r="AC376" s="78" t="s">
        <v>1643</v>
      </c>
      <c r="AD376" s="126">
        <v>42702</v>
      </c>
      <c r="AE376" s="108">
        <v>323486</v>
      </c>
      <c r="AF376" s="108">
        <v>49503</v>
      </c>
      <c r="AG376" s="108">
        <v>124690</v>
      </c>
    </row>
    <row r="377" spans="1:33" ht="15.75" thickBot="1" x14ac:dyDescent="0.3">
      <c r="A377" s="44" t="s">
        <v>1423</v>
      </c>
      <c r="B377" s="107" t="s">
        <v>1424</v>
      </c>
      <c r="C377" s="78" t="s">
        <v>837</v>
      </c>
      <c r="D377" s="108">
        <v>853073</v>
      </c>
      <c r="E377" s="108">
        <v>1000766</v>
      </c>
      <c r="F377" s="108">
        <v>163808</v>
      </c>
      <c r="G377" s="108">
        <v>2017647</v>
      </c>
      <c r="H377" s="125">
        <f t="shared" si="45"/>
        <v>8.4895556550728966</v>
      </c>
      <c r="I377" s="125">
        <f t="shared" si="46"/>
        <v>1.6301736577598647</v>
      </c>
      <c r="J377" s="125">
        <f t="shared" si="47"/>
        <v>20.07908643081057</v>
      </c>
      <c r="K377" s="125">
        <f t="shared" si="48"/>
        <v>31.22954169052889</v>
      </c>
      <c r="L377" s="126">
        <v>57198</v>
      </c>
      <c r="M377" s="108">
        <v>221006</v>
      </c>
      <c r="N377" s="108">
        <v>1853839</v>
      </c>
      <c r="O377" s="108">
        <v>2074845</v>
      </c>
      <c r="P377" s="108">
        <f t="shared" si="53"/>
        <v>20.648305717271235</v>
      </c>
      <c r="Q377" s="108">
        <v>255183</v>
      </c>
      <c r="R377" s="108">
        <v>14074</v>
      </c>
      <c r="S377" s="125">
        <f t="shared" si="49"/>
        <v>0.14006070557794695</v>
      </c>
      <c r="T377" s="108">
        <v>0</v>
      </c>
      <c r="U377" s="125">
        <f t="shared" si="50"/>
        <v>0</v>
      </c>
      <c r="V377" s="108">
        <v>20254</v>
      </c>
      <c r="W377" s="108">
        <v>22162</v>
      </c>
      <c r="X377" s="108">
        <v>529046</v>
      </c>
      <c r="Y377" s="108">
        <v>191987</v>
      </c>
      <c r="Z377" s="125">
        <f t="shared" si="51"/>
        <v>5.2649251132009756</v>
      </c>
      <c r="AA377" s="125">
        <f t="shared" si="52"/>
        <v>8.1886792452830193</v>
      </c>
      <c r="AB377" s="108">
        <v>52393</v>
      </c>
      <c r="AC377" s="78" t="s">
        <v>1643</v>
      </c>
      <c r="AD377" s="126">
        <v>176434</v>
      </c>
      <c r="AE377" s="108">
        <v>269257</v>
      </c>
      <c r="AF377" s="108">
        <v>64607</v>
      </c>
      <c r="AG377" s="108">
        <v>100485</v>
      </c>
    </row>
    <row r="378" spans="1:33" ht="15.75" thickBot="1" x14ac:dyDescent="0.3">
      <c r="A378" s="44" t="s">
        <v>1433</v>
      </c>
      <c r="B378" s="107" t="s">
        <v>1434</v>
      </c>
      <c r="C378" s="78" t="s">
        <v>837</v>
      </c>
      <c r="D378" s="108">
        <v>117358</v>
      </c>
      <c r="E378" s="108">
        <v>98104</v>
      </c>
      <c r="F378" s="108">
        <v>92450</v>
      </c>
      <c r="G378" s="108">
        <v>307912</v>
      </c>
      <c r="H378" s="125">
        <f t="shared" si="45"/>
        <v>2.050422810818366</v>
      </c>
      <c r="I378" s="125">
        <f t="shared" si="46"/>
        <v>1.6152421552868823</v>
      </c>
      <c r="J378" s="125">
        <f t="shared" si="47"/>
        <v>5.3796911035012931</v>
      </c>
      <c r="K378" s="125">
        <f t="shared" si="48"/>
        <v>12.891438141092737</v>
      </c>
      <c r="L378" s="126">
        <v>116448</v>
      </c>
      <c r="M378" s="108">
        <v>208898</v>
      </c>
      <c r="N378" s="108">
        <v>215462</v>
      </c>
      <c r="O378" s="108">
        <v>424360</v>
      </c>
      <c r="P378" s="108">
        <f t="shared" si="53"/>
        <v>7.4142148298273813</v>
      </c>
      <c r="Q378" s="108">
        <v>149530</v>
      </c>
      <c r="R378" s="108">
        <v>603071</v>
      </c>
      <c r="S378" s="125">
        <f t="shared" si="49"/>
        <v>10.536567894332238</v>
      </c>
      <c r="T378" s="108">
        <v>20369</v>
      </c>
      <c r="U378" s="125">
        <f t="shared" si="50"/>
        <v>0.35587741980571669</v>
      </c>
      <c r="V378" s="108">
        <v>21487</v>
      </c>
      <c r="W378" s="108">
        <v>37022</v>
      </c>
      <c r="X378" s="108">
        <v>163413</v>
      </c>
      <c r="Y378" s="108">
        <v>102190</v>
      </c>
      <c r="Z378" s="125">
        <f t="shared" si="51"/>
        <v>2.855073729820393</v>
      </c>
      <c r="AA378" s="125">
        <f t="shared" si="52"/>
        <v>6.8416579443165171</v>
      </c>
      <c r="AB378" s="108">
        <v>22861</v>
      </c>
      <c r="AC378" s="78" t="s">
        <v>1643</v>
      </c>
      <c r="AD378" s="126">
        <v>168617</v>
      </c>
      <c r="AE378" s="108">
        <v>752601</v>
      </c>
      <c r="AF378" s="108">
        <v>23885</v>
      </c>
      <c r="AG378" s="108">
        <v>57236</v>
      </c>
    </row>
    <row r="379" spans="1:33" ht="15.75" thickBot="1" x14ac:dyDescent="0.3">
      <c r="A379" s="44" t="s">
        <v>1439</v>
      </c>
      <c r="B379" s="107" t="s">
        <v>1440</v>
      </c>
      <c r="C379" s="78" t="s">
        <v>837</v>
      </c>
      <c r="D379" s="108">
        <v>167147</v>
      </c>
      <c r="E379" s="108">
        <v>354935</v>
      </c>
      <c r="F379" s="108">
        <v>53617</v>
      </c>
      <c r="G379" s="108">
        <v>575699</v>
      </c>
      <c r="H379" s="125">
        <f t="shared" si="45"/>
        <v>1.0426356105594092</v>
      </c>
      <c r="I379" s="125">
        <f t="shared" si="46"/>
        <v>0.33445406457408056</v>
      </c>
      <c r="J379" s="125">
        <f t="shared" si="47"/>
        <v>3.5911160736563699</v>
      </c>
      <c r="K379" s="125">
        <f t="shared" si="48"/>
        <v>9.3803301125902276</v>
      </c>
      <c r="L379" s="126">
        <v>86056</v>
      </c>
      <c r="M379" s="108">
        <v>139673</v>
      </c>
      <c r="N379" s="108">
        <v>522082</v>
      </c>
      <c r="O379" s="108">
        <v>661755</v>
      </c>
      <c r="P379" s="108">
        <f t="shared" si="53"/>
        <v>4.1279193073506661</v>
      </c>
      <c r="Q379" s="108">
        <v>441279</v>
      </c>
      <c r="R379" s="108">
        <v>27675</v>
      </c>
      <c r="S379" s="125">
        <f t="shared" si="49"/>
        <v>0.1726321173711263</v>
      </c>
      <c r="T379" s="108">
        <v>10834</v>
      </c>
      <c r="U379" s="125">
        <f t="shared" si="50"/>
        <v>6.7580717600678672E-2</v>
      </c>
      <c r="V379" s="108">
        <v>12334</v>
      </c>
      <c r="W379" s="108">
        <v>12621</v>
      </c>
      <c r="X379" s="108">
        <v>518752</v>
      </c>
      <c r="Y379" s="108">
        <v>6509225</v>
      </c>
      <c r="Z379" s="125">
        <f t="shared" si="51"/>
        <v>3.2358900144717802</v>
      </c>
      <c r="AA379" s="125">
        <f t="shared" si="52"/>
        <v>8.4524465155687363</v>
      </c>
      <c r="AB379" s="108">
        <v>80529</v>
      </c>
      <c r="AC379" s="78" t="s">
        <v>1643</v>
      </c>
      <c r="AD379" s="126">
        <v>30602</v>
      </c>
      <c r="AE379" s="108">
        <v>468954</v>
      </c>
      <c r="AF379" s="108">
        <v>61373</v>
      </c>
      <c r="AG379" s="108">
        <v>160312</v>
      </c>
    </row>
    <row r="380" spans="1:33" ht="15.75" thickBot="1" x14ac:dyDescent="0.3">
      <c r="A380" s="44" t="s">
        <v>1441</v>
      </c>
      <c r="B380" s="107" t="s">
        <v>1442</v>
      </c>
      <c r="C380" s="78" t="s">
        <v>837</v>
      </c>
      <c r="D380" s="108">
        <v>63172</v>
      </c>
      <c r="E380" s="108">
        <v>147402</v>
      </c>
      <c r="F380" s="108">
        <v>36522</v>
      </c>
      <c r="G380" s="108">
        <v>247096</v>
      </c>
      <c r="H380" s="125">
        <f t="shared" si="45"/>
        <v>1.0578916520137318</v>
      </c>
      <c r="I380" s="125">
        <f t="shared" si="46"/>
        <v>0.61160512434061798</v>
      </c>
      <c r="J380" s="125">
        <f t="shared" si="47"/>
        <v>4.1379217951938374</v>
      </c>
      <c r="K380" s="125">
        <f t="shared" si="48"/>
        <v>8.2045356443204831</v>
      </c>
      <c r="L380" s="126">
        <v>55554</v>
      </c>
      <c r="M380" s="108">
        <v>92076</v>
      </c>
      <c r="N380" s="108">
        <v>210574</v>
      </c>
      <c r="O380" s="108">
        <v>302650</v>
      </c>
      <c r="P380" s="108">
        <f t="shared" si="53"/>
        <v>5.0682408105166203</v>
      </c>
      <c r="Q380" s="108">
        <v>125221</v>
      </c>
      <c r="R380" s="108">
        <v>13080</v>
      </c>
      <c r="S380" s="125">
        <f t="shared" si="49"/>
        <v>0.21904044209997489</v>
      </c>
      <c r="T380" s="108">
        <v>20363</v>
      </c>
      <c r="U380" s="125">
        <f t="shared" si="50"/>
        <v>0.34100309804906642</v>
      </c>
      <c r="V380" s="108">
        <v>20466</v>
      </c>
      <c r="W380" s="108">
        <v>15913</v>
      </c>
      <c r="X380" s="108">
        <v>144946</v>
      </c>
      <c r="Y380" s="108">
        <v>94151</v>
      </c>
      <c r="Z380" s="125">
        <f t="shared" si="51"/>
        <v>2.4272963242066483</v>
      </c>
      <c r="AA380" s="125">
        <f t="shared" si="52"/>
        <v>4.8127635554670123</v>
      </c>
      <c r="AB380" s="108">
        <v>18817</v>
      </c>
      <c r="AC380" s="78" t="s">
        <v>1643</v>
      </c>
      <c r="AD380" s="126">
        <v>49486</v>
      </c>
      <c r="AE380" s="108">
        <v>138301</v>
      </c>
      <c r="AF380" s="108">
        <v>30117</v>
      </c>
      <c r="AG380" s="108">
        <v>59715</v>
      </c>
    </row>
    <row r="381" spans="1:33" ht="15.75" thickBot="1" x14ac:dyDescent="0.3">
      <c r="A381" s="44" t="s">
        <v>1470</v>
      </c>
      <c r="B381" s="107" t="s">
        <v>1471</v>
      </c>
      <c r="C381" s="78" t="s">
        <v>837</v>
      </c>
      <c r="D381" s="108">
        <v>134497</v>
      </c>
      <c r="E381" s="108">
        <v>134390</v>
      </c>
      <c r="F381" s="108">
        <v>41807</v>
      </c>
      <c r="G381" s="108">
        <v>310694</v>
      </c>
      <c r="H381" s="125">
        <f t="shared" si="45"/>
        <v>1.8223538019619532</v>
      </c>
      <c r="I381" s="125">
        <f t="shared" si="46"/>
        <v>0.56645981247628852</v>
      </c>
      <c r="J381" s="125">
        <f t="shared" si="47"/>
        <v>4.2097176304807329</v>
      </c>
      <c r="K381" s="125">
        <f t="shared" si="48"/>
        <v>9.1466674517192654</v>
      </c>
      <c r="L381" s="126">
        <v>0</v>
      </c>
      <c r="M381" s="108">
        <v>41807</v>
      </c>
      <c r="N381" s="108">
        <v>268887</v>
      </c>
      <c r="O381" s="108">
        <v>310694</v>
      </c>
      <c r="P381" s="108">
        <f t="shared" si="53"/>
        <v>4.2097176304807329</v>
      </c>
      <c r="Q381" s="108">
        <v>116287</v>
      </c>
      <c r="R381" s="108">
        <v>18201</v>
      </c>
      <c r="S381" s="125">
        <f t="shared" si="49"/>
        <v>0.24661264972088234</v>
      </c>
      <c r="T381" s="108">
        <v>29857</v>
      </c>
      <c r="U381" s="125">
        <f t="shared" si="50"/>
        <v>0.40454446913446424</v>
      </c>
      <c r="V381" s="108">
        <v>20653</v>
      </c>
      <c r="W381" s="108">
        <v>35403</v>
      </c>
      <c r="X381" s="108">
        <v>157257</v>
      </c>
      <c r="Y381" s="108">
        <v>131385</v>
      </c>
      <c r="Z381" s="125">
        <f t="shared" si="51"/>
        <v>2.1307381713728253</v>
      </c>
      <c r="AA381" s="125">
        <f t="shared" si="52"/>
        <v>4.629563118228921</v>
      </c>
      <c r="AB381" s="108">
        <v>17669</v>
      </c>
      <c r="AC381" s="78" t="s">
        <v>1643</v>
      </c>
      <c r="AD381" s="126">
        <v>45505</v>
      </c>
      <c r="AE381" s="108">
        <v>134488</v>
      </c>
      <c r="AF381" s="108">
        <v>33968</v>
      </c>
      <c r="AG381" s="108">
        <v>73804</v>
      </c>
    </row>
    <row r="382" spans="1:33" ht="15.75" thickBot="1" x14ac:dyDescent="0.3">
      <c r="A382" s="44" t="s">
        <v>1482</v>
      </c>
      <c r="B382" s="107" t="s">
        <v>1483</v>
      </c>
      <c r="C382" s="78" t="s">
        <v>837</v>
      </c>
      <c r="D382" s="108">
        <v>156480</v>
      </c>
      <c r="E382" s="108">
        <v>155939</v>
      </c>
      <c r="F382" s="108">
        <v>22524</v>
      </c>
      <c r="G382" s="108">
        <v>334943</v>
      </c>
      <c r="H382" s="125">
        <f t="shared" si="45"/>
        <v>2.0639987337431083</v>
      </c>
      <c r="I382" s="125">
        <f t="shared" si="46"/>
        <v>0.29709552325428024</v>
      </c>
      <c r="J382" s="125">
        <f t="shared" si="47"/>
        <v>4.4179571055477878</v>
      </c>
      <c r="K382" s="125">
        <f t="shared" si="48"/>
        <v>14.687261565446175</v>
      </c>
      <c r="L382" s="126">
        <v>30081</v>
      </c>
      <c r="M382" s="108">
        <v>52605</v>
      </c>
      <c r="N382" s="108">
        <v>312419</v>
      </c>
      <c r="O382" s="108">
        <v>365024</v>
      </c>
      <c r="P382" s="108">
        <f t="shared" si="53"/>
        <v>4.8147307885087187</v>
      </c>
      <c r="Q382" s="108">
        <v>225495</v>
      </c>
      <c r="R382" s="108">
        <v>17816</v>
      </c>
      <c r="S382" s="125">
        <f t="shared" si="49"/>
        <v>0.23499617484897248</v>
      </c>
      <c r="T382" s="108">
        <v>51928</v>
      </c>
      <c r="U382" s="125">
        <f t="shared" si="50"/>
        <v>0.6849394570923576</v>
      </c>
      <c r="V382" s="108">
        <v>8382</v>
      </c>
      <c r="W382" s="108">
        <v>8622</v>
      </c>
      <c r="X382" s="108">
        <v>95743</v>
      </c>
      <c r="Y382" s="108">
        <v>366773</v>
      </c>
      <c r="Z382" s="125">
        <f t="shared" si="51"/>
        <v>1.2628670166460021</v>
      </c>
      <c r="AA382" s="125">
        <f t="shared" si="52"/>
        <v>4.1983336987502744</v>
      </c>
      <c r="AB382" s="108">
        <v>67062</v>
      </c>
      <c r="AC382" s="78" t="s">
        <v>1643</v>
      </c>
      <c r="AD382" s="126" t="s">
        <v>3453</v>
      </c>
      <c r="AE382" s="108">
        <v>243311</v>
      </c>
      <c r="AF382" s="108">
        <v>22805</v>
      </c>
      <c r="AG382" s="108">
        <v>75814</v>
      </c>
    </row>
    <row r="383" spans="1:33" ht="15.75" thickBot="1" x14ac:dyDescent="0.3">
      <c r="A383" s="44" t="s">
        <v>1496</v>
      </c>
      <c r="B383" s="107" t="s">
        <v>1497</v>
      </c>
      <c r="C383" s="78" t="s">
        <v>837</v>
      </c>
      <c r="D383" s="108">
        <v>241545</v>
      </c>
      <c r="E383" s="108">
        <v>265682</v>
      </c>
      <c r="F383" s="108">
        <v>124930</v>
      </c>
      <c r="G383" s="108">
        <v>632157</v>
      </c>
      <c r="H383" s="125">
        <f t="shared" si="45"/>
        <v>1.8623505192792542</v>
      </c>
      <c r="I383" s="125">
        <f t="shared" si="46"/>
        <v>0.96323024849844641</v>
      </c>
      <c r="J383" s="125">
        <f t="shared" si="47"/>
        <v>4.8740314111905256</v>
      </c>
      <c r="K383" s="125">
        <f t="shared" si="48"/>
        <v>9.8094004096579983</v>
      </c>
      <c r="L383" s="126">
        <v>26566</v>
      </c>
      <c r="M383" s="108">
        <v>151496</v>
      </c>
      <c r="N383" s="108">
        <v>507227</v>
      </c>
      <c r="O383" s="108">
        <v>658723</v>
      </c>
      <c r="P383" s="108">
        <f t="shared" si="53"/>
        <v>5.0788595131805181</v>
      </c>
      <c r="Q383" s="108">
        <v>218333</v>
      </c>
      <c r="R383" s="108">
        <v>111228</v>
      </c>
      <c r="S383" s="125">
        <f t="shared" si="49"/>
        <v>0.85758564059861675</v>
      </c>
      <c r="T383" s="108">
        <v>54365</v>
      </c>
      <c r="U383" s="125">
        <f t="shared" si="50"/>
        <v>0.41916283086222716</v>
      </c>
      <c r="V383" s="108">
        <v>61875</v>
      </c>
      <c r="W383" s="108">
        <v>68940</v>
      </c>
      <c r="X383" s="108">
        <v>223577</v>
      </c>
      <c r="Y383" s="108">
        <v>964500</v>
      </c>
      <c r="Z383" s="125">
        <f t="shared" si="51"/>
        <v>1.7238143701956068</v>
      </c>
      <c r="AA383" s="125">
        <f t="shared" si="52"/>
        <v>3.4693222022220844</v>
      </c>
      <c r="AB383" s="108">
        <v>49808</v>
      </c>
      <c r="AC383" s="78" t="s">
        <v>1643</v>
      </c>
      <c r="AD383" s="126">
        <v>137384</v>
      </c>
      <c r="AE383" s="108">
        <v>329561</v>
      </c>
      <c r="AF383" s="108">
        <v>64444</v>
      </c>
      <c r="AG383" s="108">
        <v>129699</v>
      </c>
    </row>
    <row r="384" spans="1:33" ht="15.75" thickBot="1" x14ac:dyDescent="0.3">
      <c r="A384" s="44" t="s">
        <v>1512</v>
      </c>
      <c r="B384" s="107" t="s">
        <v>1513</v>
      </c>
      <c r="C384" s="78" t="s">
        <v>837</v>
      </c>
      <c r="D384" s="108">
        <v>28925</v>
      </c>
      <c r="E384" s="108">
        <v>61521</v>
      </c>
      <c r="F384" s="108">
        <v>13138</v>
      </c>
      <c r="G384" s="108">
        <v>103584</v>
      </c>
      <c r="H384" s="125">
        <f t="shared" si="45"/>
        <v>0.4581742725443918</v>
      </c>
      <c r="I384" s="125">
        <f t="shared" si="46"/>
        <v>0.20810695221048298</v>
      </c>
      <c r="J384" s="125">
        <f t="shared" si="47"/>
        <v>1.6407786982623433</v>
      </c>
      <c r="K384" s="125">
        <f t="shared" si="48"/>
        <v>9.0918985341876599</v>
      </c>
      <c r="L384" s="126">
        <v>4186</v>
      </c>
      <c r="M384" s="108">
        <v>17324</v>
      </c>
      <c r="N384" s="108">
        <v>90446</v>
      </c>
      <c r="O384" s="108">
        <v>107770</v>
      </c>
      <c r="P384" s="108">
        <f t="shared" si="53"/>
        <v>1.7070852671429251</v>
      </c>
      <c r="Q384" s="108">
        <v>130449</v>
      </c>
      <c r="R384" s="108">
        <v>62073</v>
      </c>
      <c r="S384" s="125">
        <f t="shared" si="49"/>
        <v>0.98324119687633649</v>
      </c>
      <c r="T384" s="108">
        <v>14821</v>
      </c>
      <c r="U384" s="125">
        <f t="shared" si="50"/>
        <v>0.23476580443839001</v>
      </c>
      <c r="V384" s="108">
        <v>21790</v>
      </c>
      <c r="W384" s="108">
        <v>13389</v>
      </c>
      <c r="X384" s="108">
        <v>123396</v>
      </c>
      <c r="Y384" s="108">
        <v>74889</v>
      </c>
      <c r="Z384" s="125">
        <f t="shared" si="51"/>
        <v>1.9546023348275807</v>
      </c>
      <c r="AA384" s="125">
        <f t="shared" si="52"/>
        <v>10.830861055033793</v>
      </c>
      <c r="AB384" s="108">
        <v>18554</v>
      </c>
      <c r="AC384" s="78" t="s">
        <v>1643</v>
      </c>
      <c r="AD384" s="126">
        <v>16303</v>
      </c>
      <c r="AE384" s="108">
        <v>192522</v>
      </c>
      <c r="AF384" s="108">
        <v>11393</v>
      </c>
      <c r="AG384" s="108">
        <v>63131</v>
      </c>
    </row>
    <row r="385" spans="1:33" ht="15.75" thickBot="1" x14ac:dyDescent="0.3">
      <c r="A385" s="44" t="s">
        <v>1538</v>
      </c>
      <c r="B385" s="107" t="s">
        <v>1539</v>
      </c>
      <c r="C385" s="78" t="s">
        <v>837</v>
      </c>
      <c r="D385" s="108">
        <v>328019</v>
      </c>
      <c r="E385" s="108">
        <v>677686</v>
      </c>
      <c r="F385" s="108">
        <v>98618</v>
      </c>
      <c r="G385" s="108">
        <v>1104323</v>
      </c>
      <c r="H385" s="125">
        <f t="shared" si="45"/>
        <v>3.367889851739291</v>
      </c>
      <c r="I385" s="125">
        <f t="shared" si="46"/>
        <v>1.0125467164975974</v>
      </c>
      <c r="J385" s="125">
        <f t="shared" si="47"/>
        <v>11.338484126658178</v>
      </c>
      <c r="K385" s="125">
        <f t="shared" si="48"/>
        <v>17.211212069261101</v>
      </c>
      <c r="L385" s="126">
        <v>56724</v>
      </c>
      <c r="M385" s="108">
        <v>155342</v>
      </c>
      <c r="N385" s="108">
        <v>1005705</v>
      </c>
      <c r="O385" s="108">
        <v>1161047</v>
      </c>
      <c r="P385" s="108">
        <f t="shared" si="53"/>
        <v>11.920889974947636</v>
      </c>
      <c r="Q385" s="108">
        <v>302906</v>
      </c>
      <c r="R385" s="108">
        <v>32917</v>
      </c>
      <c r="S385" s="125">
        <f t="shared" si="49"/>
        <v>0.33797075855271264</v>
      </c>
      <c r="T385" s="108">
        <v>63581</v>
      </c>
      <c r="U385" s="125">
        <f t="shared" si="50"/>
        <v>0.65280915027311182</v>
      </c>
      <c r="V385" s="108">
        <v>31124</v>
      </c>
      <c r="W385" s="108">
        <v>44644</v>
      </c>
      <c r="X385" s="108">
        <v>587240</v>
      </c>
      <c r="Y385" s="108">
        <v>318155</v>
      </c>
      <c r="Z385" s="125">
        <f t="shared" si="51"/>
        <v>6.0294057250811122</v>
      </c>
      <c r="AA385" s="125">
        <f t="shared" si="52"/>
        <v>9.1523151972320491</v>
      </c>
      <c r="AB385" s="108">
        <v>45134</v>
      </c>
      <c r="AC385" s="78" t="s">
        <v>1643</v>
      </c>
      <c r="AD385" s="126">
        <v>172997</v>
      </c>
      <c r="AE385" s="108">
        <v>335823</v>
      </c>
      <c r="AF385" s="108">
        <v>64163</v>
      </c>
      <c r="AG385" s="108">
        <v>97396</v>
      </c>
    </row>
    <row r="386" spans="1:33" ht="15.75" thickBot="1" x14ac:dyDescent="0.3">
      <c r="A386" s="44" t="s">
        <v>1540</v>
      </c>
      <c r="B386" s="107" t="s">
        <v>1541</v>
      </c>
      <c r="C386" s="78" t="s">
        <v>837</v>
      </c>
      <c r="D386" s="108">
        <v>50185</v>
      </c>
      <c r="E386" s="108">
        <v>81882</v>
      </c>
      <c r="F386" s="108">
        <v>37655</v>
      </c>
      <c r="G386" s="108">
        <v>169722</v>
      </c>
      <c r="H386" s="125">
        <f t="shared" si="45"/>
        <v>0.69005582597695458</v>
      </c>
      <c r="I386" s="125">
        <f t="shared" si="46"/>
        <v>0.51776531089294064</v>
      </c>
      <c r="J386" s="125">
        <f t="shared" si="47"/>
        <v>2.3337183400709511</v>
      </c>
      <c r="K386" s="125">
        <f t="shared" si="48"/>
        <v>9.942706502636204</v>
      </c>
      <c r="L386" s="126">
        <v>5386</v>
      </c>
      <c r="M386" s="108">
        <v>43041</v>
      </c>
      <c r="N386" s="108">
        <v>132067</v>
      </c>
      <c r="O386" s="108">
        <v>175108</v>
      </c>
      <c r="P386" s="108">
        <f t="shared" si="53"/>
        <v>2.4077771360998819</v>
      </c>
      <c r="Q386" s="108">
        <v>108199</v>
      </c>
      <c r="R386" s="108">
        <v>62073</v>
      </c>
      <c r="S386" s="125">
        <f t="shared" si="49"/>
        <v>0.85351868657701513</v>
      </c>
      <c r="T386" s="108">
        <v>21543</v>
      </c>
      <c r="U386" s="125">
        <f t="shared" si="50"/>
        <v>0.29622143387509281</v>
      </c>
      <c r="V386" s="108">
        <v>16356</v>
      </c>
      <c r="W386" s="108">
        <v>18713</v>
      </c>
      <c r="X386" s="108">
        <v>324051</v>
      </c>
      <c r="Y386" s="108">
        <v>81402</v>
      </c>
      <c r="Z386" s="125">
        <f t="shared" si="51"/>
        <v>4.4557792261364577</v>
      </c>
      <c r="AA386" s="125">
        <f t="shared" si="52"/>
        <v>18.98365553602812</v>
      </c>
      <c r="AB386" s="108">
        <v>17674</v>
      </c>
      <c r="AC386" s="78" t="s">
        <v>1643</v>
      </c>
      <c r="AD386" s="126">
        <v>4260</v>
      </c>
      <c r="AE386" s="108">
        <v>170272</v>
      </c>
      <c r="AF386" s="108">
        <v>17070</v>
      </c>
      <c r="AG386" s="108">
        <v>72726</v>
      </c>
    </row>
    <row r="387" spans="1:33" ht="15.75" thickBot="1" x14ac:dyDescent="0.3">
      <c r="A387" s="44" t="s">
        <v>1542</v>
      </c>
      <c r="B387" s="107" t="s">
        <v>1543</v>
      </c>
      <c r="C387" s="78" t="s">
        <v>837</v>
      </c>
      <c r="D387" s="108">
        <v>589494</v>
      </c>
      <c r="E387" s="108">
        <v>511381</v>
      </c>
      <c r="F387" s="108">
        <v>163247</v>
      </c>
      <c r="G387" s="108">
        <v>1264122</v>
      </c>
      <c r="H387" s="125">
        <f t="shared" si="45"/>
        <v>7.2795011113855272</v>
      </c>
      <c r="I387" s="125">
        <f t="shared" si="46"/>
        <v>2.0158928130402569</v>
      </c>
      <c r="J387" s="125">
        <f t="shared" si="47"/>
        <v>15.61029883921956</v>
      </c>
      <c r="K387" s="125">
        <f t="shared" si="48"/>
        <v>24.178914349106766</v>
      </c>
      <c r="L387" s="126">
        <v>107920</v>
      </c>
      <c r="M387" s="108">
        <v>271167</v>
      </c>
      <c r="N387" s="108">
        <v>1100875</v>
      </c>
      <c r="O387" s="108">
        <v>1372042</v>
      </c>
      <c r="P387" s="108">
        <f t="shared" si="53"/>
        <v>16.942973573721908</v>
      </c>
      <c r="Q387" s="108">
        <v>212345</v>
      </c>
      <c r="R387" s="108">
        <v>669482</v>
      </c>
      <c r="S387" s="125">
        <f t="shared" si="49"/>
        <v>8.2672511731291678</v>
      </c>
      <c r="T387" s="108">
        <v>44400</v>
      </c>
      <c r="U387" s="125">
        <f t="shared" si="50"/>
        <v>0.54828352679673997</v>
      </c>
      <c r="V387" s="108">
        <v>14341</v>
      </c>
      <c r="W387" s="108">
        <v>13699</v>
      </c>
      <c r="X387" s="108">
        <v>377100</v>
      </c>
      <c r="Y387" s="108">
        <v>302587</v>
      </c>
      <c r="Z387" s="125">
        <f t="shared" si="51"/>
        <v>4.6567053593479875</v>
      </c>
      <c r="AA387" s="125">
        <f t="shared" si="52"/>
        <v>7.2128074671971234</v>
      </c>
      <c r="AB387" s="108">
        <v>28586</v>
      </c>
      <c r="AC387" s="78" t="s">
        <v>1643</v>
      </c>
      <c r="AD387" s="126">
        <v>82676</v>
      </c>
      <c r="AE387" s="108">
        <v>881827</v>
      </c>
      <c r="AF387" s="108">
        <v>52282</v>
      </c>
      <c r="AG387" s="108">
        <v>80980</v>
      </c>
    </row>
    <row r="388" spans="1:33" ht="15.75" thickBot="1" x14ac:dyDescent="0.3">
      <c r="A388" s="44" t="s">
        <v>1564</v>
      </c>
      <c r="B388" s="107" t="s">
        <v>1565</v>
      </c>
      <c r="C388" s="78" t="s">
        <v>837</v>
      </c>
      <c r="D388" s="108">
        <v>172185</v>
      </c>
      <c r="E388" s="108">
        <v>506285</v>
      </c>
      <c r="F388" s="108">
        <v>79798</v>
      </c>
      <c r="G388" s="108">
        <v>758268</v>
      </c>
      <c r="H388" s="125">
        <f t="shared" ref="H388:H393" si="54">D388/AG388</f>
        <v>1.2844259115593484</v>
      </c>
      <c r="I388" s="125">
        <f t="shared" ref="I388:I393" si="55">F388/AG388</f>
        <v>0.59525869785761176</v>
      </c>
      <c r="J388" s="125">
        <f t="shared" ref="J388:J393" si="56">G388/AG388</f>
        <v>5.6563525690756098</v>
      </c>
      <c r="K388" s="125">
        <f t="shared" ref="K388:K393" si="57">G388/AF388</f>
        <v>10.265036754254153</v>
      </c>
      <c r="L388" s="126">
        <v>96411</v>
      </c>
      <c r="M388" s="108">
        <v>176209</v>
      </c>
      <c r="N388" s="108">
        <v>678470</v>
      </c>
      <c r="O388" s="108">
        <v>854679</v>
      </c>
      <c r="P388" s="108">
        <f t="shared" si="53"/>
        <v>6.3755370889777403</v>
      </c>
      <c r="Q388" s="108">
        <v>270923</v>
      </c>
      <c r="R388" s="108">
        <v>67736</v>
      </c>
      <c r="S388" s="125">
        <f t="shared" ref="S388:S393" si="58">R388/AG388</f>
        <v>0.50528137494778302</v>
      </c>
      <c r="T388" s="108">
        <v>47143</v>
      </c>
      <c r="U388" s="125">
        <f t="shared" ref="U388:U393" si="59">T388/AG388</f>
        <v>0.35166646774482307</v>
      </c>
      <c r="V388" s="108">
        <v>51902</v>
      </c>
      <c r="W388" s="108">
        <v>35255</v>
      </c>
      <c r="X388" s="108">
        <v>273641</v>
      </c>
      <c r="Y388" s="108">
        <v>195304</v>
      </c>
      <c r="Z388" s="125">
        <f t="shared" ref="Z388:Z393" si="60">X388/AG388</f>
        <v>2.0412439577490002</v>
      </c>
      <c r="AA388" s="125">
        <f t="shared" ref="AA388:AA393" si="61">X388/AF388</f>
        <v>3.7044091567504638</v>
      </c>
      <c r="AB388" s="108">
        <v>62757</v>
      </c>
      <c r="AC388" s="78" t="s">
        <v>1643</v>
      </c>
      <c r="AD388" s="126">
        <v>112161</v>
      </c>
      <c r="AE388" s="108">
        <v>338659</v>
      </c>
      <c r="AF388" s="108">
        <v>73869</v>
      </c>
      <c r="AG388" s="108">
        <v>134056</v>
      </c>
    </row>
    <row r="389" spans="1:33" ht="15.75" thickBot="1" x14ac:dyDescent="0.3">
      <c r="A389" s="44" t="s">
        <v>1566</v>
      </c>
      <c r="B389" s="107" t="s">
        <v>1567</v>
      </c>
      <c r="C389" s="78" t="s">
        <v>837</v>
      </c>
      <c r="D389" s="108">
        <v>66813</v>
      </c>
      <c r="E389" s="108">
        <v>146006</v>
      </c>
      <c r="F389" s="108">
        <v>47994</v>
      </c>
      <c r="G389" s="108">
        <v>260813</v>
      </c>
      <c r="H389" s="125">
        <f t="shared" si="54"/>
        <v>0.92799699987499484</v>
      </c>
      <c r="I389" s="125">
        <f t="shared" si="55"/>
        <v>0.66661110879619989</v>
      </c>
      <c r="J389" s="125">
        <f t="shared" si="56"/>
        <v>3.6225537175160074</v>
      </c>
      <c r="K389" s="125">
        <f t="shared" si="57"/>
        <v>11.512381372765393</v>
      </c>
      <c r="L389" s="126">
        <v>36236</v>
      </c>
      <c r="M389" s="108">
        <v>84230</v>
      </c>
      <c r="N389" s="108">
        <v>212819</v>
      </c>
      <c r="O389" s="108">
        <v>297049</v>
      </c>
      <c r="P389" s="108">
        <f t="shared" ref="P389:P393" si="62">O389/AG389</f>
        <v>4.1258524660749751</v>
      </c>
      <c r="Q389" s="108">
        <v>120152</v>
      </c>
      <c r="R389" s="108">
        <v>35281</v>
      </c>
      <c r="S389" s="125">
        <f t="shared" si="58"/>
        <v>0.49003430698501327</v>
      </c>
      <c r="T389" s="108">
        <v>22228</v>
      </c>
      <c r="U389" s="125">
        <f t="shared" si="59"/>
        <v>0.30873508618414658</v>
      </c>
      <c r="V389" s="108">
        <v>33951</v>
      </c>
      <c r="W389" s="108">
        <v>36081</v>
      </c>
      <c r="X389" s="108">
        <v>165833</v>
      </c>
      <c r="Y389" s="108">
        <v>356138</v>
      </c>
      <c r="Z389" s="125">
        <f t="shared" si="60"/>
        <v>2.3033320832812478</v>
      </c>
      <c r="AA389" s="125">
        <f t="shared" si="61"/>
        <v>7.3199293754138157</v>
      </c>
      <c r="AB389" s="108">
        <v>58222</v>
      </c>
      <c r="AC389" s="78" t="s">
        <v>1643</v>
      </c>
      <c r="AD389" s="126">
        <v>14766</v>
      </c>
      <c r="AE389" s="108">
        <v>155433</v>
      </c>
      <c r="AF389" s="108">
        <v>22655</v>
      </c>
      <c r="AG389" s="108">
        <v>71997</v>
      </c>
    </row>
    <row r="390" spans="1:33" ht="15.75" thickBot="1" x14ac:dyDescent="0.3">
      <c r="A390" s="44" t="s">
        <v>1574</v>
      </c>
      <c r="B390" s="107" t="s">
        <v>1575</v>
      </c>
      <c r="C390" s="78" t="s">
        <v>837</v>
      </c>
      <c r="D390" s="108">
        <v>1437688</v>
      </c>
      <c r="E390" s="108">
        <v>1327097</v>
      </c>
      <c r="F390" s="108">
        <v>131709</v>
      </c>
      <c r="G390" s="108">
        <v>2896494</v>
      </c>
      <c r="H390" s="125">
        <f t="shared" si="54"/>
        <v>20.036067173019301</v>
      </c>
      <c r="I390" s="125">
        <f t="shared" si="55"/>
        <v>1.8355375931990803</v>
      </c>
      <c r="J390" s="125">
        <f t="shared" si="56"/>
        <v>40.366441362971223</v>
      </c>
      <c r="K390" s="125">
        <f t="shared" si="57"/>
        <v>41.655794287686597</v>
      </c>
      <c r="L390" s="126">
        <v>70696</v>
      </c>
      <c r="M390" s="108">
        <v>202405</v>
      </c>
      <c r="N390" s="108">
        <v>2764785</v>
      </c>
      <c r="O390" s="108">
        <v>2967190</v>
      </c>
      <c r="P390" s="108">
        <f t="shared" si="62"/>
        <v>41.351682809560309</v>
      </c>
      <c r="Q390" s="108">
        <v>197213</v>
      </c>
      <c r="R390" s="108">
        <v>77077</v>
      </c>
      <c r="S390" s="125">
        <f t="shared" si="58"/>
        <v>1.0741690474531391</v>
      </c>
      <c r="T390" s="108">
        <v>298943</v>
      </c>
      <c r="U390" s="125">
        <f t="shared" si="59"/>
        <v>4.1661626367500526</v>
      </c>
      <c r="V390" s="108">
        <v>14577</v>
      </c>
      <c r="W390" s="108">
        <v>14577</v>
      </c>
      <c r="X390" s="108">
        <v>1035116</v>
      </c>
      <c r="Y390" s="108">
        <v>2268313</v>
      </c>
      <c r="Z390" s="125">
        <f t="shared" si="60"/>
        <v>14.425698557591806</v>
      </c>
      <c r="AA390" s="125">
        <f t="shared" si="61"/>
        <v>14.886472804671095</v>
      </c>
      <c r="AB390" s="108">
        <v>326071</v>
      </c>
      <c r="AC390" s="78" t="s">
        <v>1643</v>
      </c>
      <c r="AD390" s="126">
        <v>140705</v>
      </c>
      <c r="AE390" s="108">
        <v>274290</v>
      </c>
      <c r="AF390" s="108">
        <v>69534</v>
      </c>
      <c r="AG390" s="108">
        <v>71755</v>
      </c>
    </row>
    <row r="391" spans="1:33" ht="15.75" thickBot="1" x14ac:dyDescent="0.3">
      <c r="A391" s="44" t="s">
        <v>1594</v>
      </c>
      <c r="B391" s="107" t="s">
        <v>1595</v>
      </c>
      <c r="C391" s="78" t="s">
        <v>837</v>
      </c>
      <c r="D391" s="108">
        <v>126769</v>
      </c>
      <c r="E391" s="108">
        <v>523759</v>
      </c>
      <c r="F391" s="108">
        <v>224738</v>
      </c>
      <c r="G391" s="108">
        <v>875266</v>
      </c>
      <c r="H391" s="125">
        <f t="shared" si="54"/>
        <v>1.4120117176622595</v>
      </c>
      <c r="I391" s="125">
        <f t="shared" si="55"/>
        <v>2.5032357232760445</v>
      </c>
      <c r="J391" s="125">
        <f t="shared" si="56"/>
        <v>9.7491172768687555</v>
      </c>
      <c r="K391" s="125">
        <f t="shared" si="57"/>
        <v>22.977082403591211</v>
      </c>
      <c r="L391" s="126">
        <v>152951</v>
      </c>
      <c r="M391" s="108">
        <v>377689</v>
      </c>
      <c r="N391" s="108">
        <v>650528</v>
      </c>
      <c r="O391" s="108">
        <v>1028217</v>
      </c>
      <c r="P391" s="108">
        <f t="shared" si="62"/>
        <v>11.452756212477306</v>
      </c>
      <c r="Q391" s="108">
        <v>208144</v>
      </c>
      <c r="R391" s="108">
        <v>118647</v>
      </c>
      <c r="S391" s="125">
        <f t="shared" si="58"/>
        <v>1.3215451274797001</v>
      </c>
      <c r="T391" s="108">
        <v>30804</v>
      </c>
      <c r="U391" s="125">
        <f t="shared" si="59"/>
        <v>0.34310919034518095</v>
      </c>
      <c r="V391" s="108">
        <v>0</v>
      </c>
      <c r="W391" s="108">
        <v>0</v>
      </c>
      <c r="X391" s="108">
        <v>481294</v>
      </c>
      <c r="Y391" s="108">
        <v>160253</v>
      </c>
      <c r="Z391" s="125">
        <f t="shared" si="60"/>
        <v>5.3608750375923098</v>
      </c>
      <c r="AA391" s="125">
        <f t="shared" si="61"/>
        <v>12.634709789200116</v>
      </c>
      <c r="AB391" s="108">
        <v>72488</v>
      </c>
      <c r="AC391" s="78" t="s">
        <v>1643</v>
      </c>
      <c r="AD391" s="126">
        <v>151944</v>
      </c>
      <c r="AE391" s="108">
        <v>326791</v>
      </c>
      <c r="AF391" s="108">
        <v>38093</v>
      </c>
      <c r="AG391" s="108">
        <v>89779</v>
      </c>
    </row>
    <row r="392" spans="1:33" ht="15.75" thickBot="1" x14ac:dyDescent="0.3">
      <c r="A392" s="44" t="s">
        <v>1596</v>
      </c>
      <c r="B392" s="107" t="s">
        <v>1597</v>
      </c>
      <c r="C392" s="78" t="s">
        <v>837</v>
      </c>
      <c r="D392" s="108">
        <v>110495</v>
      </c>
      <c r="E392" s="108">
        <v>108488</v>
      </c>
      <c r="F392" s="108">
        <v>39554</v>
      </c>
      <c r="G392" s="108">
        <v>258537</v>
      </c>
      <c r="H392" s="125">
        <f t="shared" si="54"/>
        <v>1.3139462981901207</v>
      </c>
      <c r="I392" s="125">
        <f t="shared" si="55"/>
        <v>0.47035460318215333</v>
      </c>
      <c r="J392" s="125">
        <f t="shared" si="56"/>
        <v>3.0743810497776298</v>
      </c>
      <c r="K392" s="125">
        <f t="shared" si="57"/>
        <v>11.295250993927214</v>
      </c>
      <c r="L392" s="126">
        <v>5066</v>
      </c>
      <c r="M392" s="108">
        <v>44620</v>
      </c>
      <c r="N392" s="108">
        <v>218983</v>
      </c>
      <c r="O392" s="108">
        <v>263603</v>
      </c>
      <c r="P392" s="108">
        <f t="shared" si="62"/>
        <v>3.1346231597973695</v>
      </c>
      <c r="Q392" s="108">
        <v>150617</v>
      </c>
      <c r="R392" s="108">
        <v>88484</v>
      </c>
      <c r="S392" s="125">
        <f t="shared" si="58"/>
        <v>1.0522034865745475</v>
      </c>
      <c r="T392" s="108">
        <v>50768</v>
      </c>
      <c r="U392" s="125">
        <f t="shared" si="59"/>
        <v>0.60370537731586082</v>
      </c>
      <c r="V392" s="108">
        <v>4163</v>
      </c>
      <c r="W392" s="108">
        <v>6190</v>
      </c>
      <c r="X392" s="108">
        <v>187332</v>
      </c>
      <c r="Y392" s="108">
        <v>80160</v>
      </c>
      <c r="Z392" s="125">
        <f t="shared" si="60"/>
        <v>2.2276500107023094</v>
      </c>
      <c r="AA392" s="125">
        <f t="shared" si="61"/>
        <v>8.1843680370483636</v>
      </c>
      <c r="AB392" s="108">
        <v>68814</v>
      </c>
      <c r="AC392" s="78" t="s">
        <v>1643</v>
      </c>
      <c r="AD392" s="126">
        <v>84192</v>
      </c>
      <c r="AE392" s="108">
        <v>239101</v>
      </c>
      <c r="AF392" s="108">
        <v>22889</v>
      </c>
      <c r="AG392" s="108">
        <v>84094</v>
      </c>
    </row>
    <row r="393" spans="1:33" ht="15.75" thickBot="1" x14ac:dyDescent="0.3">
      <c r="A393" s="44" t="s">
        <v>1602</v>
      </c>
      <c r="B393" s="135" t="s">
        <v>1603</v>
      </c>
      <c r="C393" s="136" t="s">
        <v>837</v>
      </c>
      <c r="D393" s="108">
        <v>235783</v>
      </c>
      <c r="E393" s="108">
        <v>296970</v>
      </c>
      <c r="F393" s="108">
        <v>89368</v>
      </c>
      <c r="G393" s="108">
        <v>622121</v>
      </c>
      <c r="H393" s="125">
        <f t="shared" si="54"/>
        <v>2.8416491913129414</v>
      </c>
      <c r="I393" s="125">
        <f t="shared" si="55"/>
        <v>1.0770602839443681</v>
      </c>
      <c r="J393" s="125">
        <f t="shared" si="56"/>
        <v>7.4977824378721047</v>
      </c>
      <c r="K393" s="125">
        <f t="shared" si="57"/>
        <v>14.853073892801719</v>
      </c>
      <c r="L393" s="126">
        <v>65126</v>
      </c>
      <c r="M393" s="108">
        <v>154494</v>
      </c>
      <c r="N393" s="108">
        <v>532753</v>
      </c>
      <c r="O393" s="108">
        <v>687247</v>
      </c>
      <c r="P393" s="108">
        <f t="shared" si="62"/>
        <v>8.2826789114662418</v>
      </c>
      <c r="Q393" s="108">
        <v>256657</v>
      </c>
      <c r="R393" s="108">
        <v>106395</v>
      </c>
      <c r="S393" s="125">
        <f t="shared" si="58"/>
        <v>1.2822691445513053</v>
      </c>
      <c r="T393" s="108">
        <v>117342</v>
      </c>
      <c r="U393" s="125">
        <f t="shared" si="59"/>
        <v>1.4142020391930001</v>
      </c>
      <c r="V393" s="108">
        <v>12310</v>
      </c>
      <c r="W393" s="108">
        <v>14265</v>
      </c>
      <c r="X393" s="108">
        <v>391784</v>
      </c>
      <c r="Y393" s="108">
        <v>2013290</v>
      </c>
      <c r="Z393" s="125">
        <f t="shared" si="60"/>
        <v>4.7217682647576353</v>
      </c>
      <c r="AA393" s="125">
        <f t="shared" si="61"/>
        <v>9.3538020771159118</v>
      </c>
      <c r="AB393" s="108">
        <v>113705</v>
      </c>
      <c r="AC393" s="78" t="s">
        <v>1643</v>
      </c>
      <c r="AD393" s="126">
        <v>31205</v>
      </c>
      <c r="AE393" s="108">
        <v>363052</v>
      </c>
      <c r="AF393" s="108">
        <v>41885</v>
      </c>
      <c r="AG393" s="108">
        <v>82974</v>
      </c>
    </row>
    <row r="394" spans="1:33" ht="18.75" thickBot="1" x14ac:dyDescent="0.3">
      <c r="A394" s="59"/>
      <c r="B394" s="129" t="s">
        <v>3450</v>
      </c>
      <c r="C394" s="137">
        <f>SUBTOTAL(103,Table2[Library Class])</f>
        <v>390</v>
      </c>
      <c r="D394" s="134"/>
      <c r="E394" s="131"/>
      <c r="F394" s="131"/>
      <c r="G394" s="131"/>
      <c r="H394" s="132"/>
      <c r="I394" s="132"/>
      <c r="J394" s="132"/>
      <c r="K394" s="132"/>
      <c r="L394" s="133"/>
      <c r="M394" s="131"/>
      <c r="N394" s="131"/>
      <c r="O394" s="131"/>
      <c r="P394" s="131"/>
      <c r="Q394" s="131"/>
      <c r="R394" s="131"/>
      <c r="S394" s="132"/>
      <c r="T394" s="131"/>
      <c r="U394" s="132"/>
      <c r="V394" s="131"/>
      <c r="W394" s="131"/>
      <c r="X394" s="131"/>
      <c r="Y394" s="131"/>
      <c r="Z394" s="132"/>
      <c r="AA394" s="132"/>
      <c r="AB394" s="131"/>
      <c r="AC394" s="130"/>
      <c r="AD394" s="133"/>
      <c r="AE394" s="131"/>
      <c r="AF394" s="131"/>
      <c r="AG394" s="131"/>
    </row>
    <row r="395" spans="1:33" ht="18.75" thickBot="1" x14ac:dyDescent="0.3">
      <c r="C395" s="138" t="s">
        <v>3464</v>
      </c>
      <c r="D395" s="139">
        <f>SUBTOTAL(109,Table2[Circulation of Children''s Materials])</f>
        <v>25150039</v>
      </c>
      <c r="E395" s="139">
        <f>SUBTOTAL(109,Table2[Circulation of Non-Children''s Materials])</f>
        <v>40791220</v>
      </c>
      <c r="F395" s="139">
        <f>SUBTOTAL(109,Table2[Circulation of Electronic Materials])</f>
        <v>9897318</v>
      </c>
      <c r="G395" s="139">
        <f>SUBTOTAL(109,Table2[Total Circulation])</f>
        <v>75838577</v>
      </c>
      <c r="H395" s="139"/>
      <c r="I395" s="139"/>
      <c r="J395" s="139"/>
      <c r="K395" s="139"/>
      <c r="L395" s="139">
        <f>SUBTOTAL(109,Table2[Electronic Collection (Dbase) Use])</f>
        <v>6047981</v>
      </c>
      <c r="M395" s="139">
        <f>SUBTOTAL(109,Table2[Total Electronic Content Use])</f>
        <v>15945298</v>
      </c>
      <c r="N395" s="139">
        <f>SUBTOTAL(109,Table2[Total Physical Circulation])</f>
        <v>65941259</v>
      </c>
      <c r="O395" s="139">
        <f>SUBTOTAL(109,Table2[Total Collection Use])</f>
        <v>81886557</v>
      </c>
      <c r="P395" s="139"/>
      <c r="Q395" s="139">
        <f>SUBTOTAL(109,Table2[Physical Materials Total Available])</f>
        <v>30403987</v>
      </c>
      <c r="R395" s="139">
        <f>SUBTOTAL(109,Table2[eMaterials Total Available])</f>
        <v>25484746</v>
      </c>
      <c r="S395" s="139"/>
      <c r="T395" s="139">
        <f>SUBTOTAL(109,Table2[Reference Transactions])</f>
        <v>7182035</v>
      </c>
      <c r="U395" s="139"/>
      <c r="V395" s="139">
        <f>SUBTOTAL(109,Table2[Number of items loaned to other libraries])</f>
        <v>2737376</v>
      </c>
      <c r="W395" s="139">
        <f>SUBTOTAL(109,Table2[Number of items borrowed from other libraries])</f>
        <v>2838467</v>
      </c>
      <c r="X395" s="139">
        <f>SUBTOTAL(109,Table2[Physical Library Visits])</f>
        <v>43684068</v>
      </c>
      <c r="Y395" s="139">
        <f>SUBTOTAL(109,Table2[Virtual Visits to the Library''s Website])</f>
        <v>49810999</v>
      </c>
      <c r="Z395" s="139"/>
      <c r="AA395" s="139"/>
      <c r="AB395" s="139">
        <f>SUBTOTAL(109,Table2[Uses (Sessions) of Public Internet Computers Per Year])</f>
        <v>6876618</v>
      </c>
      <c r="AC395" s="139"/>
      <c r="AD395" s="139">
        <f>SUBTOTAL(109,Table2[Uses of Wireless Logins Per Year])</f>
        <v>13469313</v>
      </c>
      <c r="AE395" s="139">
        <f>SUBTOTAL(109,Table2[Total Collection (Physical / Electronic Units)])</f>
        <v>55888733</v>
      </c>
      <c r="AF395" s="139">
        <f>SUBTOTAL(109,Table2[Number of active registered borrowers])</f>
        <v>4326525</v>
      </c>
      <c r="AG395" s="140">
        <f>SUBTOTAL(109,Table2[Total Population Served])</f>
        <v>9838063</v>
      </c>
    </row>
    <row r="396" spans="1:33" ht="18.75" thickBot="1" x14ac:dyDescent="0.3">
      <c r="C396" s="138" t="s">
        <v>3465</v>
      </c>
      <c r="D396" s="139">
        <f>SUBTOTAL(101,Table2[Circulation of Children''s Materials])</f>
        <v>64487.27948717949</v>
      </c>
      <c r="E396" s="139">
        <f>SUBTOTAL(101,Table2[Circulation of Non-Children''s Materials])</f>
        <v>104592.8717948718</v>
      </c>
      <c r="F396" s="139">
        <f>SUBTOTAL(101,Table2[Circulation of Electronic Materials])</f>
        <v>25377.738461538462</v>
      </c>
      <c r="G396" s="139">
        <f>SUBTOTAL(101,Table2[Total Circulation])</f>
        <v>194457.88974358974</v>
      </c>
      <c r="H396" s="141">
        <f>SUBTOTAL(101,Table2[Children''s Circ Per Capita])</f>
        <v>1.9628808747889583</v>
      </c>
      <c r="I396" s="141">
        <f>SUBTOTAL(101,Table2[eMaterials Circ Per Capita])</f>
        <v>0.75075559079918075</v>
      </c>
      <c r="J396" s="141">
        <f>SUBTOTAL(101,Table2[Total Circulation Per Capita])</f>
        <v>6.0516358418901515</v>
      </c>
      <c r="K396" s="141">
        <f>SUBTOTAL(101,Table2[Circulation Per Cardholder])</f>
        <v>14.365525574690372</v>
      </c>
      <c r="L396" s="139">
        <f>SUBTOTAL(101,Table2[Electronic Collection (Dbase) Use])</f>
        <v>15547.508997429306</v>
      </c>
      <c r="M396" s="139">
        <f>SUBTOTAL(101,Table2[Total Electronic Content Use])</f>
        <v>40885.379487179489</v>
      </c>
      <c r="N396" s="139">
        <f>SUBTOTAL(101,Table2[Total Physical Circulation])</f>
        <v>169080.15128205129</v>
      </c>
      <c r="O396" s="139">
        <f>SUBTOTAL(101,Table2[Total Collection Use])</f>
        <v>209965.53076923077</v>
      </c>
      <c r="P396" s="141">
        <f>SUBTOTAL(101,Table2[Total Collection use per capita])</f>
        <v>6.59223484667897</v>
      </c>
      <c r="Q396" s="139">
        <f>SUBTOTAL(101,Table2[Physical Materials Total Available])</f>
        <v>77958.941025641019</v>
      </c>
      <c r="R396" s="139">
        <f>SUBTOTAL(101,Table2[eMaterials Total Available])</f>
        <v>65345.502564102564</v>
      </c>
      <c r="S396" s="141">
        <f>SUBTOTAL(101,Table2[eMaterials Available Per Capita])</f>
        <v>5.2218539940651452</v>
      </c>
      <c r="T396" s="139">
        <f>SUBTOTAL(101,Table2[Reference Transactions])</f>
        <v>18415.474358974359</v>
      </c>
      <c r="U396" s="141">
        <f>SUBTOTAL(101,Table2[Reference Transactions Per Capita])</f>
        <v>0.61400546266732037</v>
      </c>
      <c r="V396" s="139">
        <f>SUBTOTAL(101,Table2[Number of items loaned to other libraries])</f>
        <v>7018.9128205128209</v>
      </c>
      <c r="W396" s="139">
        <f>SUBTOTAL(101,Table2[Number of items borrowed from other libraries])</f>
        <v>7278.1205128205129</v>
      </c>
      <c r="X396" s="139">
        <f>SUBTOTAL(101,Table2[Physical Library Visits])</f>
        <v>112010.43076923076</v>
      </c>
      <c r="Y396" s="139">
        <f>SUBTOTAL(101,Table2[Virtual Visits to the Library''s Website])</f>
        <v>134624.32162162161</v>
      </c>
      <c r="Z396" s="141">
        <f>SUBTOTAL(101,Table2[Physical Visits Per Capita])</f>
        <v>4.5663660061562874</v>
      </c>
      <c r="AA396" s="141">
        <f>SUBTOTAL(101,Table2[Physical Visits Per Cardholder])</f>
        <v>10.802134904090744</v>
      </c>
      <c r="AB396" s="139">
        <f>SUBTOTAL(101,Table2[Uses (Sessions) of Public Internet Computers Per Year])</f>
        <v>17632.353846153845</v>
      </c>
      <c r="AC396" s="139"/>
      <c r="AD396" s="139">
        <f>SUBTOTAL(101,Table2[Uses of Wireless Logins Per Year])</f>
        <v>37208.04696132597</v>
      </c>
      <c r="AE396" s="139">
        <f>SUBTOTAL(101,Table2[Total Collection (Physical / Electronic Units)])</f>
        <v>143304.44358974358</v>
      </c>
      <c r="AF396" s="139">
        <f>SUBTOTAL(101,Table2[Number of active registered borrowers])</f>
        <v>11093.653846153846</v>
      </c>
      <c r="AG396" s="140">
        <f>SUBTOTAL(101,Table2[Total Population Served])</f>
        <v>25225.802564102563</v>
      </c>
    </row>
  </sheetData>
  <sortState xmlns:xlrd2="http://schemas.microsoft.com/office/spreadsheetml/2017/richdata2" ref="A4:AG393">
    <sortCondition ref="C4:C393"/>
    <sortCondition ref="B4:B393"/>
  </sortState>
  <hyperlinks>
    <hyperlink ref="G1" location="'Table of Contents'!A1" display="Return to Table of Contents" xr:uid="{64DC9F05-9DC0-40A0-ADDE-7431C866D942}"/>
  </hyperlinks>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09F62-A402-42C5-960B-2CDC39101069}">
  <sheetPr>
    <tabColor theme="3" tint="0.59999389629810485"/>
  </sheetPr>
  <dimension ref="A1:AD396"/>
  <sheetViews>
    <sheetView workbookViewId="0">
      <pane ySplit="3" topLeftCell="A4" activePane="bottomLeft" state="frozen"/>
      <selection activeCell="Q1" sqref="Q1"/>
      <selection pane="bottomLeft" activeCell="B4" sqref="B4"/>
    </sheetView>
  </sheetViews>
  <sheetFormatPr defaultRowHeight="15" x14ac:dyDescent="0.25"/>
  <cols>
    <col min="1" max="1" width="15.28515625" customWidth="1"/>
    <col min="2" max="2" width="49" bestFit="1" customWidth="1"/>
    <col min="3" max="3" width="25.85546875" bestFit="1" customWidth="1"/>
    <col min="4" max="4" width="25.28515625" customWidth="1"/>
    <col min="5" max="5" width="28.5703125" customWidth="1"/>
    <col min="6" max="6" width="21.28515625" customWidth="1"/>
    <col min="7" max="7" width="27.7109375" customWidth="1"/>
    <col min="8" max="8" width="17" customWidth="1"/>
    <col min="9" max="9" width="15.5703125" customWidth="1"/>
    <col min="10" max="10" width="23" customWidth="1"/>
    <col min="11" max="11" width="23.140625" customWidth="1"/>
    <col min="12" max="12" width="18.5703125" customWidth="1"/>
    <col min="13" max="13" width="19.42578125" customWidth="1"/>
    <col min="14" max="14" width="19.140625" customWidth="1"/>
    <col min="15" max="15" width="13" customWidth="1"/>
    <col min="16" max="16" width="20" customWidth="1"/>
    <col min="17" max="17" width="16.85546875" customWidth="1"/>
    <col min="18" max="18" width="18" customWidth="1"/>
    <col min="19" max="19" width="21.7109375" customWidth="1"/>
    <col min="20" max="20" width="12.7109375" customWidth="1"/>
    <col min="21" max="21" width="19.42578125" customWidth="1"/>
    <col min="22" max="22" width="13.85546875" customWidth="1"/>
    <col min="23" max="23" width="16" customWidth="1"/>
    <col min="24" max="24" width="11.140625" customWidth="1"/>
    <col min="25" max="25" width="15.85546875" customWidth="1"/>
    <col min="26" max="26" width="14.140625" customWidth="1"/>
    <col min="27" max="27" width="18.5703125" customWidth="1"/>
    <col min="28" max="28" width="12.7109375" customWidth="1"/>
    <col min="29" max="29" width="12.28515625" customWidth="1"/>
    <col min="30" max="30" width="14" customWidth="1"/>
  </cols>
  <sheetData>
    <row r="1" spans="1:30" ht="18.75" x14ac:dyDescent="0.3">
      <c r="B1" s="56" t="s">
        <v>3449</v>
      </c>
      <c r="E1" s="54" t="s">
        <v>4</v>
      </c>
      <c r="H1" s="55" t="s">
        <v>13</v>
      </c>
    </row>
    <row r="2" spans="1:30" ht="15.75" thickBot="1" x14ac:dyDescent="0.3"/>
    <row r="3" spans="1:30" s="39" customFormat="1" ht="52.5" thickBot="1" x14ac:dyDescent="0.3">
      <c r="A3" s="57" t="s">
        <v>784</v>
      </c>
      <c r="B3" s="57" t="s">
        <v>785</v>
      </c>
      <c r="C3" s="57" t="s">
        <v>786</v>
      </c>
      <c r="D3" s="142" t="s">
        <v>1662</v>
      </c>
      <c r="E3" s="142" t="s">
        <v>1663</v>
      </c>
      <c r="F3" s="142" t="s">
        <v>1664</v>
      </c>
      <c r="G3" s="142" t="s">
        <v>1665</v>
      </c>
      <c r="H3" s="57" t="s">
        <v>1649</v>
      </c>
      <c r="I3" s="57" t="s">
        <v>1650</v>
      </c>
      <c r="J3" s="57" t="s">
        <v>1651</v>
      </c>
      <c r="K3" s="57" t="s">
        <v>1652</v>
      </c>
      <c r="L3" s="57" t="s">
        <v>1653</v>
      </c>
      <c r="M3" s="57" t="s">
        <v>1654</v>
      </c>
      <c r="N3" s="57" t="s">
        <v>1666</v>
      </c>
      <c r="O3" s="57" t="s">
        <v>1655</v>
      </c>
      <c r="P3" s="57" t="s">
        <v>1656</v>
      </c>
      <c r="Q3" s="49" t="s">
        <v>1659</v>
      </c>
      <c r="R3" s="49" t="s">
        <v>3468</v>
      </c>
      <c r="S3" s="49" t="s">
        <v>3469</v>
      </c>
      <c r="T3" s="57" t="s">
        <v>1657</v>
      </c>
      <c r="U3" s="57" t="s">
        <v>1658</v>
      </c>
      <c r="V3" s="57" t="s">
        <v>1645</v>
      </c>
      <c r="W3" s="57" t="s">
        <v>1646</v>
      </c>
      <c r="X3" s="57" t="s">
        <v>1647</v>
      </c>
      <c r="Y3" s="57" t="s">
        <v>1648</v>
      </c>
      <c r="Z3" s="143" t="s">
        <v>3466</v>
      </c>
      <c r="AA3" s="143" t="s">
        <v>496</v>
      </c>
      <c r="AB3" s="50" t="s">
        <v>1667</v>
      </c>
      <c r="AC3" s="50" t="s">
        <v>3467</v>
      </c>
      <c r="AD3" s="50" t="s">
        <v>1604</v>
      </c>
    </row>
    <row r="4" spans="1:30" ht="15.75" thickBot="1" x14ac:dyDescent="0.3">
      <c r="A4" s="44" t="s">
        <v>815</v>
      </c>
      <c r="B4" s="48" t="s">
        <v>816</v>
      </c>
      <c r="C4" s="44" t="s">
        <v>817</v>
      </c>
      <c r="D4" s="47">
        <v>0</v>
      </c>
      <c r="E4" s="47">
        <v>0</v>
      </c>
      <c r="F4" s="47">
        <v>0</v>
      </c>
      <c r="G4" s="47">
        <v>0</v>
      </c>
      <c r="H4" s="47">
        <v>7</v>
      </c>
      <c r="I4" s="47">
        <v>39</v>
      </c>
      <c r="J4" s="47">
        <v>0</v>
      </c>
      <c r="K4" s="47">
        <v>0</v>
      </c>
      <c r="L4" s="47">
        <v>30</v>
      </c>
      <c r="M4" s="47">
        <v>0</v>
      </c>
      <c r="N4" s="47">
        <v>30</v>
      </c>
      <c r="O4" s="47">
        <v>7</v>
      </c>
      <c r="P4" s="47">
        <v>39</v>
      </c>
      <c r="Q4" s="44" t="s">
        <v>1643</v>
      </c>
      <c r="R4" s="47">
        <v>4</v>
      </c>
      <c r="S4" s="47">
        <v>16</v>
      </c>
      <c r="T4" s="47">
        <v>0</v>
      </c>
      <c r="U4" s="47">
        <v>0</v>
      </c>
      <c r="V4" s="47">
        <v>192</v>
      </c>
      <c r="W4" s="47">
        <v>2570</v>
      </c>
      <c r="X4" s="47">
        <v>12</v>
      </c>
      <c r="Y4" s="47">
        <v>659</v>
      </c>
      <c r="Z4" s="47">
        <v>211</v>
      </c>
      <c r="AA4" s="47">
        <v>3268</v>
      </c>
      <c r="AB4" s="76">
        <f>AA4/Z4</f>
        <v>15.488151658767773</v>
      </c>
      <c r="AC4" s="76">
        <f>AA4/AD4</f>
        <v>2.5431906614785991</v>
      </c>
      <c r="AD4" s="47">
        <v>1285</v>
      </c>
    </row>
    <row r="5" spans="1:30" ht="15.75" thickBot="1" x14ac:dyDescent="0.3">
      <c r="A5" s="44" t="s">
        <v>840</v>
      </c>
      <c r="B5" s="48" t="s">
        <v>841</v>
      </c>
      <c r="C5" s="44" t="s">
        <v>817</v>
      </c>
      <c r="D5" s="47">
        <v>16</v>
      </c>
      <c r="E5" s="47">
        <v>76</v>
      </c>
      <c r="F5" s="47">
        <v>0</v>
      </c>
      <c r="G5" s="47">
        <v>0</v>
      </c>
      <c r="H5" s="47">
        <v>16</v>
      </c>
      <c r="I5" s="47">
        <v>76</v>
      </c>
      <c r="J5" s="47">
        <v>0</v>
      </c>
      <c r="K5" s="47">
        <v>0</v>
      </c>
      <c r="L5" s="47">
        <v>40</v>
      </c>
      <c r="M5" s="47">
        <v>0</v>
      </c>
      <c r="N5" s="47">
        <v>40</v>
      </c>
      <c r="O5" s="47">
        <v>32</v>
      </c>
      <c r="P5" s="47">
        <v>152</v>
      </c>
      <c r="Q5" s="44" t="s">
        <v>1644</v>
      </c>
      <c r="R5" s="47">
        <v>6</v>
      </c>
      <c r="S5" s="47">
        <v>8</v>
      </c>
      <c r="T5" s="47">
        <v>0</v>
      </c>
      <c r="U5" s="47">
        <v>0</v>
      </c>
      <c r="V5" s="47">
        <v>0</v>
      </c>
      <c r="W5" s="47">
        <v>0</v>
      </c>
      <c r="X5" s="47">
        <v>16</v>
      </c>
      <c r="Y5" s="47">
        <v>76</v>
      </c>
      <c r="Z5" s="47">
        <v>48</v>
      </c>
      <c r="AA5" s="47">
        <v>228</v>
      </c>
      <c r="AB5" s="76">
        <f t="shared" ref="AB5:AB68" si="0">AA5/Z5</f>
        <v>4.75</v>
      </c>
      <c r="AC5" s="76">
        <f t="shared" ref="AC5:AC68" si="1">AA5/AD5</f>
        <v>7.0197044334975367E-2</v>
      </c>
      <c r="AD5" s="47">
        <v>3248</v>
      </c>
    </row>
    <row r="6" spans="1:30" ht="15.75" thickBot="1" x14ac:dyDescent="0.3">
      <c r="A6" s="44" t="s">
        <v>863</v>
      </c>
      <c r="B6" s="48" t="s">
        <v>864</v>
      </c>
      <c r="C6" s="44" t="s">
        <v>817</v>
      </c>
      <c r="D6" s="47">
        <v>52</v>
      </c>
      <c r="E6" s="47">
        <v>615</v>
      </c>
      <c r="F6" s="47">
        <v>0</v>
      </c>
      <c r="G6" s="47">
        <v>0</v>
      </c>
      <c r="H6" s="47">
        <v>5</v>
      </c>
      <c r="I6" s="47">
        <v>34</v>
      </c>
      <c r="J6" s="47">
        <v>2</v>
      </c>
      <c r="K6" s="47">
        <v>7</v>
      </c>
      <c r="L6" s="47">
        <v>18</v>
      </c>
      <c r="M6" s="47">
        <v>8</v>
      </c>
      <c r="N6" s="47">
        <v>26</v>
      </c>
      <c r="O6" s="47">
        <v>57</v>
      </c>
      <c r="P6" s="47">
        <v>649</v>
      </c>
      <c r="Q6" s="44" t="s">
        <v>1643</v>
      </c>
      <c r="R6" s="47">
        <v>50</v>
      </c>
      <c r="S6" s="47">
        <v>582</v>
      </c>
      <c r="T6" s="47">
        <v>2</v>
      </c>
      <c r="U6" s="47">
        <v>7</v>
      </c>
      <c r="V6" s="47">
        <v>6</v>
      </c>
      <c r="W6" s="47">
        <v>31</v>
      </c>
      <c r="X6" s="47">
        <v>1</v>
      </c>
      <c r="Y6" s="47">
        <v>198</v>
      </c>
      <c r="Z6" s="47">
        <v>66</v>
      </c>
      <c r="AA6" s="47">
        <v>885</v>
      </c>
      <c r="AB6" s="76">
        <f t="shared" si="0"/>
        <v>13.409090909090908</v>
      </c>
      <c r="AC6" s="76">
        <f t="shared" si="1"/>
        <v>1.3470319634703196</v>
      </c>
      <c r="AD6" s="47">
        <v>657</v>
      </c>
    </row>
    <row r="7" spans="1:30" ht="15.75" thickBot="1" x14ac:dyDescent="0.3">
      <c r="A7" s="44" t="s">
        <v>865</v>
      </c>
      <c r="B7" s="48" t="s">
        <v>866</v>
      </c>
      <c r="C7" s="44" t="s">
        <v>817</v>
      </c>
      <c r="D7" s="47">
        <v>46</v>
      </c>
      <c r="E7" s="47">
        <v>778</v>
      </c>
      <c r="F7" s="47">
        <v>0</v>
      </c>
      <c r="G7" s="47">
        <v>0</v>
      </c>
      <c r="H7" s="47">
        <v>14</v>
      </c>
      <c r="I7" s="47">
        <v>520</v>
      </c>
      <c r="J7" s="47">
        <v>0</v>
      </c>
      <c r="K7" s="47">
        <v>0</v>
      </c>
      <c r="L7" s="47">
        <v>119</v>
      </c>
      <c r="M7" s="47">
        <v>0</v>
      </c>
      <c r="N7" s="47">
        <v>119</v>
      </c>
      <c r="O7" s="47">
        <v>60</v>
      </c>
      <c r="P7" s="47">
        <v>1298</v>
      </c>
      <c r="Q7" s="44" t="s">
        <v>1643</v>
      </c>
      <c r="R7" s="47">
        <v>50</v>
      </c>
      <c r="S7" s="47">
        <v>767</v>
      </c>
      <c r="T7" s="47">
        <v>0</v>
      </c>
      <c r="U7" s="47">
        <v>0</v>
      </c>
      <c r="V7" s="47">
        <v>49</v>
      </c>
      <c r="W7" s="47">
        <v>1398</v>
      </c>
      <c r="X7" s="47">
        <v>2</v>
      </c>
      <c r="Y7" s="47">
        <v>200</v>
      </c>
      <c r="Z7" s="47">
        <v>111</v>
      </c>
      <c r="AA7" s="47">
        <v>2896</v>
      </c>
      <c r="AB7" s="76">
        <f t="shared" si="0"/>
        <v>26.09009009009009</v>
      </c>
      <c r="AC7" s="76">
        <f t="shared" si="1"/>
        <v>0.76837357389227912</v>
      </c>
      <c r="AD7" s="47">
        <v>3769</v>
      </c>
    </row>
    <row r="8" spans="1:30" ht="15.75" thickBot="1" x14ac:dyDescent="0.3">
      <c r="A8" s="44" t="s">
        <v>869</v>
      </c>
      <c r="B8" s="48" t="s">
        <v>870</v>
      </c>
      <c r="C8" s="44" t="s">
        <v>817</v>
      </c>
      <c r="D8" s="47">
        <v>0</v>
      </c>
      <c r="E8" s="47">
        <v>0</v>
      </c>
      <c r="F8" s="47">
        <v>0</v>
      </c>
      <c r="G8" s="47">
        <v>0</v>
      </c>
      <c r="H8" s="47">
        <v>0</v>
      </c>
      <c r="I8" s="47">
        <v>0</v>
      </c>
      <c r="J8" s="47">
        <v>0</v>
      </c>
      <c r="K8" s="47">
        <v>0</v>
      </c>
      <c r="L8" s="47">
        <v>0</v>
      </c>
      <c r="M8" s="47">
        <v>0</v>
      </c>
      <c r="N8" s="47">
        <v>0</v>
      </c>
      <c r="O8" s="47">
        <v>0</v>
      </c>
      <c r="P8" s="47">
        <v>0</v>
      </c>
      <c r="Q8" s="44" t="s">
        <v>1644</v>
      </c>
      <c r="R8" s="47">
        <v>0</v>
      </c>
      <c r="S8" s="47">
        <v>0</v>
      </c>
      <c r="T8" s="47">
        <v>0</v>
      </c>
      <c r="U8" s="47">
        <v>0</v>
      </c>
      <c r="V8" s="47">
        <v>0</v>
      </c>
      <c r="W8" s="47">
        <v>0</v>
      </c>
      <c r="X8" s="47">
        <v>0</v>
      </c>
      <c r="Y8" s="47">
        <v>0</v>
      </c>
      <c r="Z8" s="47">
        <v>0</v>
      </c>
      <c r="AA8" s="47">
        <v>0</v>
      </c>
      <c r="AB8" s="76">
        <v>0</v>
      </c>
      <c r="AC8" s="76">
        <f t="shared" si="1"/>
        <v>0</v>
      </c>
      <c r="AD8" s="47">
        <v>3150</v>
      </c>
    </row>
    <row r="9" spans="1:30" ht="15.75" thickBot="1" x14ac:dyDescent="0.3">
      <c r="A9" s="44" t="s">
        <v>873</v>
      </c>
      <c r="B9" s="48" t="s">
        <v>874</v>
      </c>
      <c r="C9" s="44" t="s">
        <v>817</v>
      </c>
      <c r="D9" s="47">
        <v>76</v>
      </c>
      <c r="E9" s="47">
        <v>649</v>
      </c>
      <c r="F9" s="47">
        <v>5</v>
      </c>
      <c r="G9" s="47">
        <v>30</v>
      </c>
      <c r="H9" s="47">
        <v>11</v>
      </c>
      <c r="I9" s="47">
        <v>328</v>
      </c>
      <c r="J9" s="47">
        <v>0</v>
      </c>
      <c r="K9" s="47">
        <v>0</v>
      </c>
      <c r="L9" s="47">
        <v>341</v>
      </c>
      <c r="M9" s="47">
        <v>104</v>
      </c>
      <c r="N9" s="47">
        <v>445</v>
      </c>
      <c r="O9" s="47">
        <v>87</v>
      </c>
      <c r="P9" s="47">
        <v>977</v>
      </c>
      <c r="Q9" s="44" t="s">
        <v>1643</v>
      </c>
      <c r="R9" s="47">
        <v>72</v>
      </c>
      <c r="S9" s="47">
        <v>643</v>
      </c>
      <c r="T9" s="47">
        <v>5</v>
      </c>
      <c r="U9" s="47">
        <v>30</v>
      </c>
      <c r="V9" s="47">
        <v>16</v>
      </c>
      <c r="W9" s="47">
        <v>150</v>
      </c>
      <c r="X9" s="47">
        <v>2</v>
      </c>
      <c r="Y9" s="47">
        <v>77</v>
      </c>
      <c r="Z9" s="47">
        <v>110</v>
      </c>
      <c r="AA9" s="47">
        <v>1234</v>
      </c>
      <c r="AB9" s="76">
        <f t="shared" si="0"/>
        <v>11.218181818181819</v>
      </c>
      <c r="AC9" s="76">
        <f t="shared" si="1"/>
        <v>0.32379952768302284</v>
      </c>
      <c r="AD9" s="47">
        <v>3811</v>
      </c>
    </row>
    <row r="10" spans="1:30" ht="15.75" thickBot="1" x14ac:dyDescent="0.3">
      <c r="A10" s="44" t="s">
        <v>875</v>
      </c>
      <c r="B10" s="48" t="s">
        <v>876</v>
      </c>
      <c r="C10" s="44" t="s">
        <v>817</v>
      </c>
      <c r="D10" s="47">
        <v>82</v>
      </c>
      <c r="E10" s="47">
        <v>1753</v>
      </c>
      <c r="F10" s="47">
        <v>2</v>
      </c>
      <c r="G10" s="47">
        <v>11</v>
      </c>
      <c r="H10" s="47">
        <v>18</v>
      </c>
      <c r="I10" s="47">
        <v>632</v>
      </c>
      <c r="J10" s="47">
        <v>0</v>
      </c>
      <c r="K10" s="47">
        <v>0</v>
      </c>
      <c r="L10" s="47">
        <v>245</v>
      </c>
      <c r="M10" s="47">
        <v>0</v>
      </c>
      <c r="N10" s="47">
        <v>245</v>
      </c>
      <c r="O10" s="47">
        <v>100</v>
      </c>
      <c r="P10" s="47">
        <v>2385</v>
      </c>
      <c r="Q10" s="44" t="s">
        <v>1643</v>
      </c>
      <c r="R10" s="47">
        <v>53</v>
      </c>
      <c r="S10" s="47">
        <v>771</v>
      </c>
      <c r="T10" s="47">
        <v>2</v>
      </c>
      <c r="U10" s="47">
        <v>11</v>
      </c>
      <c r="V10" s="47">
        <v>178</v>
      </c>
      <c r="W10" s="47">
        <v>1617</v>
      </c>
      <c r="X10" s="47">
        <v>14</v>
      </c>
      <c r="Y10" s="47">
        <v>720</v>
      </c>
      <c r="Z10" s="47">
        <v>294</v>
      </c>
      <c r="AA10" s="47">
        <v>4733</v>
      </c>
      <c r="AB10" s="76">
        <f t="shared" si="0"/>
        <v>16.098639455782312</v>
      </c>
      <c r="AC10" s="76">
        <f t="shared" si="1"/>
        <v>1.3063759315484404</v>
      </c>
      <c r="AD10" s="47">
        <v>3623</v>
      </c>
    </row>
    <row r="11" spans="1:30" ht="15.75" thickBot="1" x14ac:dyDescent="0.3">
      <c r="A11" s="44" t="s">
        <v>883</v>
      </c>
      <c r="B11" s="48" t="s">
        <v>884</v>
      </c>
      <c r="C11" s="44" t="s">
        <v>817</v>
      </c>
      <c r="D11" s="47">
        <v>18</v>
      </c>
      <c r="E11" s="47">
        <v>194</v>
      </c>
      <c r="F11" s="47">
        <v>0</v>
      </c>
      <c r="G11" s="47">
        <v>0</v>
      </c>
      <c r="H11" s="47">
        <v>8</v>
      </c>
      <c r="I11" s="47">
        <v>61</v>
      </c>
      <c r="J11" s="47">
        <v>0</v>
      </c>
      <c r="K11" s="47">
        <v>0</v>
      </c>
      <c r="L11" s="47">
        <v>29</v>
      </c>
      <c r="M11" s="47">
        <v>4</v>
      </c>
      <c r="N11" s="47">
        <v>33</v>
      </c>
      <c r="O11" s="47">
        <v>26</v>
      </c>
      <c r="P11" s="47">
        <v>255</v>
      </c>
      <c r="Q11" s="44" t="s">
        <v>1643</v>
      </c>
      <c r="R11" s="47">
        <v>1</v>
      </c>
      <c r="S11" s="47">
        <v>26</v>
      </c>
      <c r="T11" s="47">
        <v>0</v>
      </c>
      <c r="U11" s="47">
        <v>0</v>
      </c>
      <c r="V11" s="47">
        <v>11</v>
      </c>
      <c r="W11" s="47">
        <v>206</v>
      </c>
      <c r="X11" s="47">
        <v>28</v>
      </c>
      <c r="Y11" s="47">
        <v>957</v>
      </c>
      <c r="Z11" s="47">
        <v>65</v>
      </c>
      <c r="AA11" s="47">
        <v>1418</v>
      </c>
      <c r="AB11" s="76">
        <f t="shared" si="0"/>
        <v>21.815384615384616</v>
      </c>
      <c r="AC11" s="76">
        <f t="shared" si="1"/>
        <v>0.48280558392917944</v>
      </c>
      <c r="AD11" s="47">
        <v>2937</v>
      </c>
    </row>
    <row r="12" spans="1:30" ht="15.75" thickBot="1" x14ac:dyDescent="0.3">
      <c r="A12" s="44" t="s">
        <v>915</v>
      </c>
      <c r="B12" s="48" t="s">
        <v>916</v>
      </c>
      <c r="C12" s="44" t="s">
        <v>817</v>
      </c>
      <c r="D12" s="47">
        <v>3</v>
      </c>
      <c r="E12" s="47">
        <v>12</v>
      </c>
      <c r="F12" s="47">
        <v>0</v>
      </c>
      <c r="G12" s="47">
        <v>0</v>
      </c>
      <c r="H12" s="47">
        <v>6</v>
      </c>
      <c r="I12" s="47">
        <v>83</v>
      </c>
      <c r="J12" s="47">
        <v>0</v>
      </c>
      <c r="K12" s="47">
        <v>0</v>
      </c>
      <c r="L12" s="47">
        <v>16</v>
      </c>
      <c r="M12" s="47">
        <v>0</v>
      </c>
      <c r="N12" s="47">
        <v>16</v>
      </c>
      <c r="O12" s="47">
        <v>9</v>
      </c>
      <c r="P12" s="47">
        <v>95</v>
      </c>
      <c r="Q12" s="44" t="s">
        <v>1644</v>
      </c>
      <c r="R12" s="47">
        <v>0</v>
      </c>
      <c r="S12" s="47">
        <v>0</v>
      </c>
      <c r="T12" s="47">
        <v>0</v>
      </c>
      <c r="U12" s="47">
        <v>0</v>
      </c>
      <c r="V12" s="47">
        <v>0</v>
      </c>
      <c r="W12" s="47">
        <v>0</v>
      </c>
      <c r="X12" s="47">
        <v>3</v>
      </c>
      <c r="Y12" s="47">
        <v>12</v>
      </c>
      <c r="Z12" s="47">
        <v>12</v>
      </c>
      <c r="AA12" s="47">
        <v>107</v>
      </c>
      <c r="AB12" s="76">
        <f t="shared" si="0"/>
        <v>8.9166666666666661</v>
      </c>
      <c r="AC12" s="76">
        <f t="shared" si="1"/>
        <v>4.09804672539257E-2</v>
      </c>
      <c r="AD12" s="47">
        <v>2611</v>
      </c>
    </row>
    <row r="13" spans="1:30" ht="15.75" thickBot="1" x14ac:dyDescent="0.3">
      <c r="A13" s="44" t="s">
        <v>929</v>
      </c>
      <c r="B13" s="48" t="s">
        <v>930</v>
      </c>
      <c r="C13" s="44" t="s">
        <v>817</v>
      </c>
      <c r="D13" s="47">
        <v>0</v>
      </c>
      <c r="E13" s="47">
        <v>0</v>
      </c>
      <c r="F13" s="47">
        <v>0</v>
      </c>
      <c r="G13" s="47">
        <v>0</v>
      </c>
      <c r="H13" s="47">
        <v>1</v>
      </c>
      <c r="I13" s="47">
        <v>1</v>
      </c>
      <c r="J13" s="47">
        <v>0</v>
      </c>
      <c r="K13" s="47">
        <v>0</v>
      </c>
      <c r="L13" s="47">
        <v>1</v>
      </c>
      <c r="M13" s="47">
        <v>0</v>
      </c>
      <c r="N13" s="47">
        <v>1</v>
      </c>
      <c r="O13" s="47">
        <v>1</v>
      </c>
      <c r="P13" s="47">
        <v>1</v>
      </c>
      <c r="Q13" s="44" t="s">
        <v>1644</v>
      </c>
      <c r="R13" s="47">
        <v>0</v>
      </c>
      <c r="S13" s="47">
        <v>0</v>
      </c>
      <c r="T13" s="47">
        <v>0</v>
      </c>
      <c r="U13" s="47">
        <v>0</v>
      </c>
      <c r="V13" s="47">
        <v>0</v>
      </c>
      <c r="W13" s="47">
        <v>0</v>
      </c>
      <c r="X13" s="47">
        <v>0</v>
      </c>
      <c r="Y13" s="47">
        <v>0</v>
      </c>
      <c r="Z13" s="47">
        <v>1</v>
      </c>
      <c r="AA13" s="47">
        <v>1</v>
      </c>
      <c r="AB13" s="76">
        <f t="shared" si="0"/>
        <v>1</v>
      </c>
      <c r="AC13" s="76">
        <f t="shared" si="1"/>
        <v>1.3850415512465374E-3</v>
      </c>
      <c r="AD13" s="47">
        <v>722</v>
      </c>
    </row>
    <row r="14" spans="1:30" ht="15.75" thickBot="1" x14ac:dyDescent="0.3">
      <c r="A14" s="44" t="s">
        <v>939</v>
      </c>
      <c r="B14" s="48" t="s">
        <v>940</v>
      </c>
      <c r="C14" s="44" t="s">
        <v>817</v>
      </c>
      <c r="D14" s="47">
        <v>43</v>
      </c>
      <c r="E14" s="47">
        <v>352</v>
      </c>
      <c r="F14" s="47">
        <v>0</v>
      </c>
      <c r="G14" s="47">
        <v>0</v>
      </c>
      <c r="H14" s="47">
        <v>3</v>
      </c>
      <c r="I14" s="47">
        <v>12</v>
      </c>
      <c r="J14" s="47">
        <v>0</v>
      </c>
      <c r="K14" s="47">
        <v>0</v>
      </c>
      <c r="L14" s="47">
        <v>26</v>
      </c>
      <c r="M14" s="44">
        <v>0</v>
      </c>
      <c r="N14" s="47">
        <v>26</v>
      </c>
      <c r="O14" s="47">
        <v>46</v>
      </c>
      <c r="P14" s="47">
        <v>364</v>
      </c>
      <c r="Q14" s="44" t="s">
        <v>1643</v>
      </c>
      <c r="R14" s="47">
        <v>43</v>
      </c>
      <c r="S14" s="47">
        <v>352</v>
      </c>
      <c r="T14" s="47">
        <v>0</v>
      </c>
      <c r="U14" s="47">
        <v>0</v>
      </c>
      <c r="V14" s="47">
        <v>208</v>
      </c>
      <c r="W14" s="47">
        <v>1527</v>
      </c>
      <c r="X14" s="44">
        <v>0</v>
      </c>
      <c r="Y14" s="44">
        <v>0</v>
      </c>
      <c r="Z14" s="47">
        <v>254</v>
      </c>
      <c r="AA14" s="47">
        <v>1891</v>
      </c>
      <c r="AB14" s="76">
        <f t="shared" si="0"/>
        <v>7.4448818897637796</v>
      </c>
      <c r="AC14" s="76">
        <f t="shared" si="1"/>
        <v>0.47334167709637048</v>
      </c>
      <c r="AD14" s="47">
        <v>3995</v>
      </c>
    </row>
    <row r="15" spans="1:30" ht="15.75" thickBot="1" x14ac:dyDescent="0.3">
      <c r="A15" s="44" t="s">
        <v>947</v>
      </c>
      <c r="B15" s="48" t="s">
        <v>948</v>
      </c>
      <c r="C15" s="44" t="s">
        <v>817</v>
      </c>
      <c r="D15" s="47">
        <v>29</v>
      </c>
      <c r="E15" s="47">
        <v>459</v>
      </c>
      <c r="F15" s="47">
        <v>0</v>
      </c>
      <c r="G15" s="47">
        <v>0</v>
      </c>
      <c r="H15" s="47">
        <v>9</v>
      </c>
      <c r="I15" s="47">
        <v>190</v>
      </c>
      <c r="J15" s="47">
        <v>0</v>
      </c>
      <c r="K15" s="47">
        <v>0</v>
      </c>
      <c r="L15" s="47">
        <v>43</v>
      </c>
      <c r="M15" s="47">
        <v>0</v>
      </c>
      <c r="N15" s="47">
        <v>43</v>
      </c>
      <c r="O15" s="47">
        <v>38</v>
      </c>
      <c r="P15" s="47">
        <v>649</v>
      </c>
      <c r="Q15" s="44" t="s">
        <v>1644</v>
      </c>
      <c r="R15" s="47">
        <v>4</v>
      </c>
      <c r="S15" s="47">
        <v>84</v>
      </c>
      <c r="T15" s="47">
        <v>0</v>
      </c>
      <c r="U15" s="47">
        <v>0</v>
      </c>
      <c r="V15" s="47">
        <v>4</v>
      </c>
      <c r="W15" s="47">
        <v>59</v>
      </c>
      <c r="X15" s="47">
        <v>5</v>
      </c>
      <c r="Y15" s="47">
        <v>233</v>
      </c>
      <c r="Z15" s="47">
        <v>47</v>
      </c>
      <c r="AA15" s="47">
        <v>941</v>
      </c>
      <c r="AB15" s="76">
        <f t="shared" si="0"/>
        <v>20.021276595744681</v>
      </c>
      <c r="AC15" s="76">
        <f t="shared" si="1"/>
        <v>0.50755124056094925</v>
      </c>
      <c r="AD15" s="47">
        <v>1854</v>
      </c>
    </row>
    <row r="16" spans="1:30" ht="15.75" thickBot="1" x14ac:dyDescent="0.3">
      <c r="A16" s="44" t="s">
        <v>959</v>
      </c>
      <c r="B16" s="48" t="s">
        <v>960</v>
      </c>
      <c r="C16" s="44" t="s">
        <v>817</v>
      </c>
      <c r="D16" s="47">
        <v>87</v>
      </c>
      <c r="E16" s="47">
        <v>914</v>
      </c>
      <c r="F16" s="47">
        <v>6</v>
      </c>
      <c r="G16" s="47">
        <v>38</v>
      </c>
      <c r="H16" s="47">
        <v>7</v>
      </c>
      <c r="I16" s="47">
        <v>94</v>
      </c>
      <c r="J16" s="47">
        <v>6</v>
      </c>
      <c r="K16" s="47">
        <v>38</v>
      </c>
      <c r="L16" s="47">
        <v>63</v>
      </c>
      <c r="M16" s="47">
        <v>17</v>
      </c>
      <c r="N16" s="47">
        <v>80</v>
      </c>
      <c r="O16" s="47">
        <v>94</v>
      </c>
      <c r="P16" s="47">
        <v>1008</v>
      </c>
      <c r="Q16" s="44" t="s">
        <v>1643</v>
      </c>
      <c r="R16" s="47">
        <v>52</v>
      </c>
      <c r="S16" s="47">
        <v>520</v>
      </c>
      <c r="T16" s="47">
        <v>12</v>
      </c>
      <c r="U16" s="47">
        <v>76</v>
      </c>
      <c r="V16" s="47">
        <v>25</v>
      </c>
      <c r="W16" s="47">
        <v>140</v>
      </c>
      <c r="X16" s="47">
        <v>87</v>
      </c>
      <c r="Y16" s="47">
        <v>606</v>
      </c>
      <c r="Z16" s="47">
        <v>218</v>
      </c>
      <c r="AA16" s="47">
        <v>1830</v>
      </c>
      <c r="AB16" s="76">
        <f t="shared" si="0"/>
        <v>8.3944954128440372</v>
      </c>
      <c r="AC16" s="76">
        <f t="shared" si="1"/>
        <v>0.50776914539400664</v>
      </c>
      <c r="AD16" s="47">
        <v>3604</v>
      </c>
    </row>
    <row r="17" spans="1:30" ht="15.75" thickBot="1" x14ac:dyDescent="0.3">
      <c r="A17" s="44" t="s">
        <v>967</v>
      </c>
      <c r="B17" s="48" t="s">
        <v>968</v>
      </c>
      <c r="C17" s="44" t="s">
        <v>817</v>
      </c>
      <c r="D17" s="47">
        <v>96</v>
      </c>
      <c r="E17" s="47">
        <v>700</v>
      </c>
      <c r="F17" s="47">
        <v>0</v>
      </c>
      <c r="G17" s="47">
        <v>0</v>
      </c>
      <c r="H17" s="47">
        <v>8</v>
      </c>
      <c r="I17" s="47">
        <v>393</v>
      </c>
      <c r="J17" s="47">
        <v>0</v>
      </c>
      <c r="K17" s="47">
        <v>0</v>
      </c>
      <c r="L17" s="47">
        <v>63</v>
      </c>
      <c r="M17" s="47">
        <v>7</v>
      </c>
      <c r="N17" s="47">
        <v>70</v>
      </c>
      <c r="O17" s="47">
        <v>104</v>
      </c>
      <c r="P17" s="47">
        <v>1093</v>
      </c>
      <c r="Q17" s="44" t="s">
        <v>1644</v>
      </c>
      <c r="R17" s="47">
        <v>0</v>
      </c>
      <c r="S17" s="47">
        <v>0</v>
      </c>
      <c r="T17" s="47">
        <v>0</v>
      </c>
      <c r="U17" s="47">
        <v>0</v>
      </c>
      <c r="V17" s="47">
        <v>159</v>
      </c>
      <c r="W17" s="47">
        <v>936</v>
      </c>
      <c r="X17" s="47">
        <v>3</v>
      </c>
      <c r="Y17" s="47">
        <v>574</v>
      </c>
      <c r="Z17" s="47">
        <v>266</v>
      </c>
      <c r="AA17" s="47">
        <v>2603</v>
      </c>
      <c r="AB17" s="76">
        <f t="shared" si="0"/>
        <v>9.7857142857142865</v>
      </c>
      <c r="AC17" s="76">
        <f t="shared" si="1"/>
        <v>0.68445963712858271</v>
      </c>
      <c r="AD17" s="47">
        <v>3803</v>
      </c>
    </row>
    <row r="18" spans="1:30" ht="15.75" thickBot="1" x14ac:dyDescent="0.3">
      <c r="A18" s="44" t="s">
        <v>969</v>
      </c>
      <c r="B18" s="48" t="s">
        <v>970</v>
      </c>
      <c r="C18" s="44" t="s">
        <v>817</v>
      </c>
      <c r="D18" s="47">
        <v>57</v>
      </c>
      <c r="E18" s="47">
        <v>427</v>
      </c>
      <c r="F18" s="47">
        <v>0</v>
      </c>
      <c r="G18" s="47">
        <v>0</v>
      </c>
      <c r="H18" s="47">
        <v>6</v>
      </c>
      <c r="I18" s="47">
        <v>61</v>
      </c>
      <c r="J18" s="47">
        <v>0</v>
      </c>
      <c r="K18" s="47">
        <v>0</v>
      </c>
      <c r="L18" s="47">
        <v>58</v>
      </c>
      <c r="M18" s="47">
        <v>0</v>
      </c>
      <c r="N18" s="47">
        <v>58</v>
      </c>
      <c r="O18" s="47">
        <v>63</v>
      </c>
      <c r="P18" s="47">
        <v>488</v>
      </c>
      <c r="Q18" s="44" t="s">
        <v>1644</v>
      </c>
      <c r="R18" s="47">
        <v>0</v>
      </c>
      <c r="S18" s="47">
        <v>0</v>
      </c>
      <c r="T18" s="47">
        <v>0</v>
      </c>
      <c r="U18" s="47">
        <v>0</v>
      </c>
      <c r="V18" s="47">
        <v>28</v>
      </c>
      <c r="W18" s="47">
        <v>230</v>
      </c>
      <c r="X18" s="47">
        <v>5</v>
      </c>
      <c r="Y18" s="47">
        <v>91</v>
      </c>
      <c r="Z18" s="47">
        <v>96</v>
      </c>
      <c r="AA18" s="47">
        <v>809</v>
      </c>
      <c r="AB18" s="76">
        <f t="shared" si="0"/>
        <v>8.4270833333333339</v>
      </c>
      <c r="AC18" s="76">
        <f t="shared" si="1"/>
        <v>0.34091866835229667</v>
      </c>
      <c r="AD18" s="47">
        <v>2373</v>
      </c>
    </row>
    <row r="19" spans="1:30" ht="15.75" thickBot="1" x14ac:dyDescent="0.3">
      <c r="A19" s="44" t="s">
        <v>985</v>
      </c>
      <c r="B19" s="48" t="s">
        <v>986</v>
      </c>
      <c r="C19" s="44" t="s">
        <v>817</v>
      </c>
      <c r="D19" s="47">
        <v>49</v>
      </c>
      <c r="E19" s="47">
        <v>388</v>
      </c>
      <c r="F19" s="47">
        <v>37</v>
      </c>
      <c r="G19" s="47">
        <v>167</v>
      </c>
      <c r="H19" s="47">
        <v>20</v>
      </c>
      <c r="I19" s="47">
        <v>217</v>
      </c>
      <c r="J19" s="44">
        <v>0</v>
      </c>
      <c r="K19" s="44">
        <v>0</v>
      </c>
      <c r="L19" s="44">
        <v>0</v>
      </c>
      <c r="M19" s="44">
        <v>0</v>
      </c>
      <c r="N19" s="44">
        <v>0</v>
      </c>
      <c r="O19" s="47">
        <v>69</v>
      </c>
      <c r="P19" s="47">
        <v>605</v>
      </c>
      <c r="Q19" s="44" t="s">
        <v>1644</v>
      </c>
      <c r="R19" s="44">
        <v>0</v>
      </c>
      <c r="S19" s="44">
        <v>0</v>
      </c>
      <c r="T19" s="47">
        <v>37</v>
      </c>
      <c r="U19" s="47">
        <v>167</v>
      </c>
      <c r="V19" s="47">
        <v>59</v>
      </c>
      <c r="W19" s="47">
        <v>512</v>
      </c>
      <c r="X19" s="44">
        <v>0</v>
      </c>
      <c r="Y19" s="44">
        <v>0</v>
      </c>
      <c r="Z19" s="47">
        <v>165</v>
      </c>
      <c r="AA19" s="47">
        <v>1284</v>
      </c>
      <c r="AB19" s="76">
        <f t="shared" si="0"/>
        <v>7.7818181818181822</v>
      </c>
      <c r="AC19" s="76">
        <f t="shared" si="1"/>
        <v>0.32481659499114596</v>
      </c>
      <c r="AD19" s="47">
        <v>3953</v>
      </c>
    </row>
    <row r="20" spans="1:30" ht="15.75" thickBot="1" x14ac:dyDescent="0.3">
      <c r="A20" s="44" t="s">
        <v>987</v>
      </c>
      <c r="B20" s="48" t="s">
        <v>988</v>
      </c>
      <c r="C20" s="44" t="s">
        <v>817</v>
      </c>
      <c r="D20" s="47">
        <v>33</v>
      </c>
      <c r="E20" s="47">
        <v>422</v>
      </c>
      <c r="F20" s="47">
        <v>12</v>
      </c>
      <c r="G20" s="47">
        <v>42</v>
      </c>
      <c r="H20" s="47">
        <v>22</v>
      </c>
      <c r="I20" s="47">
        <v>421</v>
      </c>
      <c r="J20" s="47">
        <v>3</v>
      </c>
      <c r="K20" s="47">
        <v>19</v>
      </c>
      <c r="L20" s="47">
        <v>85</v>
      </c>
      <c r="M20" s="47">
        <v>16</v>
      </c>
      <c r="N20" s="47">
        <v>101</v>
      </c>
      <c r="O20" s="47">
        <v>55</v>
      </c>
      <c r="P20" s="47">
        <v>843</v>
      </c>
      <c r="Q20" s="44" t="s">
        <v>1643</v>
      </c>
      <c r="R20" s="47">
        <v>29</v>
      </c>
      <c r="S20" s="47">
        <v>348</v>
      </c>
      <c r="T20" s="47">
        <v>15</v>
      </c>
      <c r="U20" s="47">
        <v>61</v>
      </c>
      <c r="V20" s="47">
        <v>41</v>
      </c>
      <c r="W20" s="47">
        <v>469</v>
      </c>
      <c r="X20" s="47">
        <v>2</v>
      </c>
      <c r="Y20" s="47">
        <v>62</v>
      </c>
      <c r="Z20" s="47">
        <v>113</v>
      </c>
      <c r="AA20" s="47">
        <v>1435</v>
      </c>
      <c r="AB20" s="76">
        <f t="shared" si="0"/>
        <v>12.699115044247788</v>
      </c>
      <c r="AC20" s="76">
        <f t="shared" si="1"/>
        <v>0.44454770755885997</v>
      </c>
      <c r="AD20" s="47">
        <v>3228</v>
      </c>
    </row>
    <row r="21" spans="1:30" ht="15.75" thickBot="1" x14ac:dyDescent="0.3">
      <c r="A21" s="44" t="s">
        <v>989</v>
      </c>
      <c r="B21" s="48" t="s">
        <v>990</v>
      </c>
      <c r="C21" s="44" t="s">
        <v>817</v>
      </c>
      <c r="D21" s="47">
        <v>11</v>
      </c>
      <c r="E21" s="47">
        <v>179</v>
      </c>
      <c r="F21" s="47">
        <v>0</v>
      </c>
      <c r="G21" s="47">
        <v>0</v>
      </c>
      <c r="H21" s="47">
        <v>0</v>
      </c>
      <c r="I21" s="47">
        <v>0</v>
      </c>
      <c r="J21" s="47">
        <v>0</v>
      </c>
      <c r="K21" s="47">
        <v>0</v>
      </c>
      <c r="L21" s="47">
        <v>0</v>
      </c>
      <c r="M21" s="47">
        <v>0</v>
      </c>
      <c r="N21" s="47">
        <v>0</v>
      </c>
      <c r="O21" s="47">
        <v>11</v>
      </c>
      <c r="P21" s="47">
        <v>179</v>
      </c>
      <c r="Q21" s="44" t="s">
        <v>1644</v>
      </c>
      <c r="R21" s="47">
        <v>0</v>
      </c>
      <c r="S21" s="47">
        <v>0</v>
      </c>
      <c r="T21" s="47">
        <v>0</v>
      </c>
      <c r="U21" s="47">
        <v>0</v>
      </c>
      <c r="V21" s="47">
        <v>14</v>
      </c>
      <c r="W21" s="47">
        <v>114</v>
      </c>
      <c r="X21" s="47">
        <v>7</v>
      </c>
      <c r="Y21" s="47">
        <v>220</v>
      </c>
      <c r="Z21" s="47">
        <v>32</v>
      </c>
      <c r="AA21" s="47">
        <v>513</v>
      </c>
      <c r="AB21" s="76">
        <f t="shared" si="0"/>
        <v>16.03125</v>
      </c>
      <c r="AC21" s="76">
        <f t="shared" si="1"/>
        <v>0.14856646394439618</v>
      </c>
      <c r="AD21" s="47">
        <v>3453</v>
      </c>
    </row>
    <row r="22" spans="1:30" ht="15.75" thickBot="1" x14ac:dyDescent="0.3">
      <c r="A22" s="44" t="s">
        <v>991</v>
      </c>
      <c r="B22" s="48" t="s">
        <v>992</v>
      </c>
      <c r="C22" s="44" t="s">
        <v>817</v>
      </c>
      <c r="D22" s="47">
        <v>0</v>
      </c>
      <c r="E22" s="47">
        <v>0</v>
      </c>
      <c r="F22" s="47">
        <v>0</v>
      </c>
      <c r="G22" s="47">
        <v>0</v>
      </c>
      <c r="H22" s="47">
        <v>0</v>
      </c>
      <c r="I22" s="47">
        <v>0</v>
      </c>
      <c r="J22" s="47">
        <v>0</v>
      </c>
      <c r="K22" s="47">
        <v>0</v>
      </c>
      <c r="L22" s="47">
        <v>0</v>
      </c>
      <c r="M22" s="47">
        <v>0</v>
      </c>
      <c r="N22" s="47">
        <v>0</v>
      </c>
      <c r="O22" s="47">
        <v>0</v>
      </c>
      <c r="P22" s="47">
        <v>0</v>
      </c>
      <c r="Q22" s="44" t="s">
        <v>1644</v>
      </c>
      <c r="R22" s="47">
        <v>0</v>
      </c>
      <c r="S22" s="47">
        <v>0</v>
      </c>
      <c r="T22" s="47">
        <v>0</v>
      </c>
      <c r="U22" s="47">
        <v>0</v>
      </c>
      <c r="V22" s="47">
        <v>1</v>
      </c>
      <c r="W22" s="47">
        <v>25</v>
      </c>
      <c r="X22" s="47">
        <v>3</v>
      </c>
      <c r="Y22" s="47">
        <v>85</v>
      </c>
      <c r="Z22" s="47">
        <v>4</v>
      </c>
      <c r="AA22" s="47">
        <v>110</v>
      </c>
      <c r="AB22" s="76">
        <f t="shared" si="0"/>
        <v>27.5</v>
      </c>
      <c r="AC22" s="76">
        <f t="shared" si="1"/>
        <v>8.8996763754045305E-2</v>
      </c>
      <c r="AD22" s="47">
        <v>1236</v>
      </c>
    </row>
    <row r="23" spans="1:30" ht="15.75" thickBot="1" x14ac:dyDescent="0.3">
      <c r="A23" s="44" t="s">
        <v>993</v>
      </c>
      <c r="B23" s="48" t="s">
        <v>994</v>
      </c>
      <c r="C23" s="44" t="s">
        <v>817</v>
      </c>
      <c r="D23" s="47">
        <v>17</v>
      </c>
      <c r="E23" s="47">
        <v>91</v>
      </c>
      <c r="F23" s="47">
        <v>0</v>
      </c>
      <c r="G23" s="47">
        <v>0</v>
      </c>
      <c r="H23" s="47">
        <v>5</v>
      </c>
      <c r="I23" s="47">
        <v>19</v>
      </c>
      <c r="J23" s="47">
        <v>0</v>
      </c>
      <c r="K23" s="47">
        <v>0</v>
      </c>
      <c r="L23" s="47">
        <v>41</v>
      </c>
      <c r="M23" s="47">
        <v>5</v>
      </c>
      <c r="N23" s="47">
        <v>46</v>
      </c>
      <c r="O23" s="47">
        <v>22</v>
      </c>
      <c r="P23" s="47">
        <v>110</v>
      </c>
      <c r="Q23" s="44" t="s">
        <v>1643</v>
      </c>
      <c r="R23" s="47">
        <v>6</v>
      </c>
      <c r="S23" s="47">
        <v>15</v>
      </c>
      <c r="T23" s="47">
        <v>0</v>
      </c>
      <c r="U23" s="47">
        <v>0</v>
      </c>
      <c r="V23" s="47">
        <v>41</v>
      </c>
      <c r="W23" s="47">
        <v>430</v>
      </c>
      <c r="X23" s="47">
        <v>2</v>
      </c>
      <c r="Y23" s="47">
        <v>60</v>
      </c>
      <c r="Z23" s="47">
        <v>65</v>
      </c>
      <c r="AA23" s="47">
        <v>600</v>
      </c>
      <c r="AB23" s="76">
        <f t="shared" si="0"/>
        <v>9.2307692307692299</v>
      </c>
      <c r="AC23" s="76">
        <f t="shared" si="1"/>
        <v>0.18873859704309531</v>
      </c>
      <c r="AD23" s="47">
        <v>3179</v>
      </c>
    </row>
    <row r="24" spans="1:30" ht="15.75" thickBot="1" x14ac:dyDescent="0.3">
      <c r="A24" s="44" t="s">
        <v>1039</v>
      </c>
      <c r="B24" s="48" t="s">
        <v>1040</v>
      </c>
      <c r="C24" s="44" t="s">
        <v>817</v>
      </c>
      <c r="D24" s="47">
        <v>2</v>
      </c>
      <c r="E24" s="47">
        <v>25</v>
      </c>
      <c r="F24" s="47">
        <v>0</v>
      </c>
      <c r="G24" s="47">
        <v>0</v>
      </c>
      <c r="H24" s="47">
        <v>0</v>
      </c>
      <c r="I24" s="47">
        <v>0</v>
      </c>
      <c r="J24" s="47">
        <v>0</v>
      </c>
      <c r="K24" s="47">
        <v>0</v>
      </c>
      <c r="L24" s="47">
        <v>27</v>
      </c>
      <c r="M24" s="47">
        <v>12</v>
      </c>
      <c r="N24" s="47">
        <v>39</v>
      </c>
      <c r="O24" s="47">
        <v>2</v>
      </c>
      <c r="P24" s="47">
        <v>25</v>
      </c>
      <c r="Q24" s="44" t="s">
        <v>1644</v>
      </c>
      <c r="R24" s="47">
        <v>0</v>
      </c>
      <c r="S24" s="47">
        <v>0</v>
      </c>
      <c r="T24" s="47">
        <v>0</v>
      </c>
      <c r="U24" s="47">
        <v>0</v>
      </c>
      <c r="V24" s="47">
        <v>0</v>
      </c>
      <c r="W24" s="47">
        <v>0</v>
      </c>
      <c r="X24" s="47">
        <v>0</v>
      </c>
      <c r="Y24" s="47">
        <v>0</v>
      </c>
      <c r="Z24" s="47">
        <v>2</v>
      </c>
      <c r="AA24" s="47">
        <v>25</v>
      </c>
      <c r="AB24" s="76">
        <f t="shared" si="0"/>
        <v>12.5</v>
      </c>
      <c r="AC24" s="76">
        <f t="shared" si="1"/>
        <v>9.0285301552907194E-3</v>
      </c>
      <c r="AD24" s="47">
        <v>2769</v>
      </c>
    </row>
    <row r="25" spans="1:30" ht="15.75" thickBot="1" x14ac:dyDescent="0.3">
      <c r="A25" s="44" t="s">
        <v>1041</v>
      </c>
      <c r="B25" s="48" t="s">
        <v>1042</v>
      </c>
      <c r="C25" s="44" t="s">
        <v>817</v>
      </c>
      <c r="D25" s="47">
        <v>65</v>
      </c>
      <c r="E25" s="47">
        <v>1593</v>
      </c>
      <c r="F25" s="47">
        <v>1</v>
      </c>
      <c r="G25" s="47">
        <v>19</v>
      </c>
      <c r="H25" s="47">
        <v>12</v>
      </c>
      <c r="I25" s="47">
        <v>179</v>
      </c>
      <c r="J25" s="47">
        <v>0</v>
      </c>
      <c r="K25" s="47">
        <v>0</v>
      </c>
      <c r="L25" s="47">
        <v>137</v>
      </c>
      <c r="M25" s="47">
        <v>0</v>
      </c>
      <c r="N25" s="47">
        <v>137</v>
      </c>
      <c r="O25" s="47">
        <v>77</v>
      </c>
      <c r="P25" s="47">
        <v>1772</v>
      </c>
      <c r="Q25" s="44" t="s">
        <v>1643</v>
      </c>
      <c r="R25" s="47">
        <v>65</v>
      </c>
      <c r="S25" s="47">
        <v>847</v>
      </c>
      <c r="T25" s="47">
        <v>1</v>
      </c>
      <c r="U25" s="47">
        <v>19</v>
      </c>
      <c r="V25" s="47">
        <v>20</v>
      </c>
      <c r="W25" s="47">
        <v>619</v>
      </c>
      <c r="X25" s="47">
        <v>5</v>
      </c>
      <c r="Y25" s="47">
        <v>187</v>
      </c>
      <c r="Z25" s="47">
        <v>103</v>
      </c>
      <c r="AA25" s="47">
        <v>2597</v>
      </c>
      <c r="AB25" s="76">
        <f t="shared" si="0"/>
        <v>25.21359223300971</v>
      </c>
      <c r="AC25" s="76">
        <f t="shared" si="1"/>
        <v>0.69475655430711614</v>
      </c>
      <c r="AD25" s="47">
        <v>3738</v>
      </c>
    </row>
    <row r="26" spans="1:30" ht="15.75" thickBot="1" x14ac:dyDescent="0.3">
      <c r="A26" s="44" t="s">
        <v>1049</v>
      </c>
      <c r="B26" s="48" t="s">
        <v>1050</v>
      </c>
      <c r="C26" s="44" t="s">
        <v>817</v>
      </c>
      <c r="D26" s="47">
        <v>5</v>
      </c>
      <c r="E26" s="47">
        <v>85</v>
      </c>
      <c r="F26" s="47">
        <v>0</v>
      </c>
      <c r="G26" s="47">
        <v>0</v>
      </c>
      <c r="H26" s="47">
        <v>4</v>
      </c>
      <c r="I26" s="47">
        <v>62</v>
      </c>
      <c r="J26" s="47">
        <v>1</v>
      </c>
      <c r="K26" s="47">
        <v>5</v>
      </c>
      <c r="L26" s="47">
        <v>29</v>
      </c>
      <c r="M26" s="47">
        <v>6</v>
      </c>
      <c r="N26" s="47">
        <v>35</v>
      </c>
      <c r="O26" s="47">
        <v>9</v>
      </c>
      <c r="P26" s="47">
        <v>147</v>
      </c>
      <c r="Q26" s="44" t="s">
        <v>1643</v>
      </c>
      <c r="R26" s="47">
        <v>1</v>
      </c>
      <c r="S26" s="47">
        <v>9</v>
      </c>
      <c r="T26" s="47">
        <v>1</v>
      </c>
      <c r="U26" s="47">
        <v>5</v>
      </c>
      <c r="V26" s="47">
        <v>2</v>
      </c>
      <c r="W26" s="47">
        <v>27</v>
      </c>
      <c r="X26" s="47">
        <v>0</v>
      </c>
      <c r="Y26" s="47">
        <v>0</v>
      </c>
      <c r="Z26" s="47">
        <v>12</v>
      </c>
      <c r="AA26" s="47">
        <v>179</v>
      </c>
      <c r="AB26" s="76">
        <f t="shared" si="0"/>
        <v>14.916666666666666</v>
      </c>
      <c r="AC26" s="76">
        <f t="shared" si="1"/>
        <v>5.7519280205655526E-2</v>
      </c>
      <c r="AD26" s="47">
        <v>3112</v>
      </c>
    </row>
    <row r="27" spans="1:30" ht="15.75" thickBot="1" x14ac:dyDescent="0.3">
      <c r="A27" s="44" t="s">
        <v>1057</v>
      </c>
      <c r="B27" s="48" t="s">
        <v>1058</v>
      </c>
      <c r="C27" s="44" t="s">
        <v>817</v>
      </c>
      <c r="D27" s="47">
        <v>52</v>
      </c>
      <c r="E27" s="47">
        <v>894</v>
      </c>
      <c r="F27" s="47">
        <v>11</v>
      </c>
      <c r="G27" s="47">
        <v>117</v>
      </c>
      <c r="H27" s="47">
        <v>13</v>
      </c>
      <c r="I27" s="47">
        <v>444</v>
      </c>
      <c r="J27" s="47">
        <v>0</v>
      </c>
      <c r="K27" s="47">
        <v>0</v>
      </c>
      <c r="L27" s="47">
        <v>101</v>
      </c>
      <c r="M27" s="47">
        <v>28</v>
      </c>
      <c r="N27" s="47">
        <v>129</v>
      </c>
      <c r="O27" s="47">
        <v>65</v>
      </c>
      <c r="P27" s="47">
        <v>1338</v>
      </c>
      <c r="Q27" s="44" t="s">
        <v>1643</v>
      </c>
      <c r="R27" s="47">
        <v>52</v>
      </c>
      <c r="S27" s="47">
        <v>894</v>
      </c>
      <c r="T27" s="47">
        <v>11</v>
      </c>
      <c r="U27" s="47">
        <v>117</v>
      </c>
      <c r="V27" s="47">
        <v>201</v>
      </c>
      <c r="W27" s="47">
        <v>2787</v>
      </c>
      <c r="X27" s="47">
        <v>72</v>
      </c>
      <c r="Y27" s="47">
        <v>2705</v>
      </c>
      <c r="Z27" s="47">
        <v>349</v>
      </c>
      <c r="AA27" s="47">
        <v>6947</v>
      </c>
      <c r="AB27" s="76">
        <f t="shared" si="0"/>
        <v>19.905444126074499</v>
      </c>
      <c r="AC27" s="76">
        <f t="shared" si="1"/>
        <v>2.4890720171981369</v>
      </c>
      <c r="AD27" s="47">
        <v>2791</v>
      </c>
    </row>
    <row r="28" spans="1:30" ht="15.75" thickBot="1" x14ac:dyDescent="0.3">
      <c r="A28" s="44" t="s">
        <v>1071</v>
      </c>
      <c r="B28" s="48" t="s">
        <v>1072</v>
      </c>
      <c r="C28" s="44" t="s">
        <v>817</v>
      </c>
      <c r="D28" s="47">
        <v>32</v>
      </c>
      <c r="E28" s="47">
        <v>1064</v>
      </c>
      <c r="F28" s="47">
        <v>7</v>
      </c>
      <c r="G28" s="47">
        <v>11</v>
      </c>
      <c r="H28" s="47">
        <v>9</v>
      </c>
      <c r="I28" s="47">
        <v>166</v>
      </c>
      <c r="J28" s="47">
        <v>1</v>
      </c>
      <c r="K28" s="47">
        <v>3</v>
      </c>
      <c r="L28" s="47">
        <v>63</v>
      </c>
      <c r="M28" s="47">
        <v>16</v>
      </c>
      <c r="N28" s="47">
        <v>79</v>
      </c>
      <c r="O28" s="47">
        <v>41</v>
      </c>
      <c r="P28" s="47">
        <v>1230</v>
      </c>
      <c r="Q28" s="44" t="s">
        <v>1643</v>
      </c>
      <c r="R28" s="47">
        <v>28</v>
      </c>
      <c r="S28" s="47">
        <v>722</v>
      </c>
      <c r="T28" s="47">
        <v>8</v>
      </c>
      <c r="U28" s="47">
        <v>14</v>
      </c>
      <c r="V28" s="47">
        <v>22</v>
      </c>
      <c r="W28" s="47">
        <v>427</v>
      </c>
      <c r="X28" s="44">
        <v>0</v>
      </c>
      <c r="Y28" s="44">
        <v>0</v>
      </c>
      <c r="Z28" s="47">
        <v>71</v>
      </c>
      <c r="AA28" s="47">
        <v>1671</v>
      </c>
      <c r="AB28" s="76">
        <f t="shared" si="0"/>
        <v>23.535211267605632</v>
      </c>
      <c r="AC28" s="76">
        <f t="shared" si="1"/>
        <v>0.53047619047619043</v>
      </c>
      <c r="AD28" s="47">
        <v>3150</v>
      </c>
    </row>
    <row r="29" spans="1:30" ht="15.75" thickBot="1" x14ac:dyDescent="0.3">
      <c r="A29" s="44" t="s">
        <v>1083</v>
      </c>
      <c r="B29" s="48" t="s">
        <v>1084</v>
      </c>
      <c r="C29" s="44" t="s">
        <v>817</v>
      </c>
      <c r="D29" s="47">
        <v>1</v>
      </c>
      <c r="E29" s="47">
        <v>12</v>
      </c>
      <c r="F29" s="47">
        <v>0</v>
      </c>
      <c r="G29" s="47">
        <v>0</v>
      </c>
      <c r="H29" s="47">
        <v>1</v>
      </c>
      <c r="I29" s="47">
        <v>88</v>
      </c>
      <c r="J29" s="47">
        <v>0</v>
      </c>
      <c r="K29" s="47">
        <v>0</v>
      </c>
      <c r="L29" s="47">
        <v>20</v>
      </c>
      <c r="M29" s="47">
        <v>0</v>
      </c>
      <c r="N29" s="47">
        <v>20</v>
      </c>
      <c r="O29" s="47">
        <v>2</v>
      </c>
      <c r="P29" s="47">
        <v>100</v>
      </c>
      <c r="Q29" s="44" t="s">
        <v>1644</v>
      </c>
      <c r="R29" s="47">
        <v>0</v>
      </c>
      <c r="S29" s="47">
        <v>0</v>
      </c>
      <c r="T29" s="47">
        <v>0</v>
      </c>
      <c r="U29" s="47">
        <v>0</v>
      </c>
      <c r="V29" s="47">
        <v>0</v>
      </c>
      <c r="W29" s="47">
        <v>0</v>
      </c>
      <c r="X29" s="47">
        <v>2</v>
      </c>
      <c r="Y29" s="47">
        <v>31</v>
      </c>
      <c r="Z29" s="47">
        <v>4</v>
      </c>
      <c r="AA29" s="47">
        <v>131</v>
      </c>
      <c r="AB29" s="76">
        <f t="shared" si="0"/>
        <v>32.75</v>
      </c>
      <c r="AC29" s="76">
        <f t="shared" si="1"/>
        <v>4.3049622083470261E-2</v>
      </c>
      <c r="AD29" s="47">
        <v>3043</v>
      </c>
    </row>
    <row r="30" spans="1:30" ht="15.75" thickBot="1" x14ac:dyDescent="0.3">
      <c r="A30" s="44" t="s">
        <v>1091</v>
      </c>
      <c r="B30" s="48" t="s">
        <v>1092</v>
      </c>
      <c r="C30" s="44" t="s">
        <v>817</v>
      </c>
      <c r="D30" s="47">
        <v>4</v>
      </c>
      <c r="E30" s="47">
        <v>23</v>
      </c>
      <c r="F30" s="47">
        <v>1</v>
      </c>
      <c r="G30" s="47">
        <v>3</v>
      </c>
      <c r="H30" s="47">
        <v>8</v>
      </c>
      <c r="I30" s="47">
        <v>145</v>
      </c>
      <c r="J30" s="47">
        <v>8</v>
      </c>
      <c r="K30" s="47">
        <v>8</v>
      </c>
      <c r="L30" s="47">
        <v>26</v>
      </c>
      <c r="M30" s="47">
        <v>8</v>
      </c>
      <c r="N30" s="47">
        <v>34</v>
      </c>
      <c r="O30" s="47">
        <v>12</v>
      </c>
      <c r="P30" s="47">
        <v>168</v>
      </c>
      <c r="Q30" s="44" t="s">
        <v>1643</v>
      </c>
      <c r="R30" s="47">
        <v>1</v>
      </c>
      <c r="S30" s="47">
        <v>8</v>
      </c>
      <c r="T30" s="47">
        <v>9</v>
      </c>
      <c r="U30" s="47">
        <v>11</v>
      </c>
      <c r="V30" s="47">
        <v>6</v>
      </c>
      <c r="W30" s="47">
        <v>9</v>
      </c>
      <c r="X30" s="47">
        <v>9</v>
      </c>
      <c r="Y30" s="47">
        <v>12</v>
      </c>
      <c r="Z30" s="47">
        <v>36</v>
      </c>
      <c r="AA30" s="47">
        <v>200</v>
      </c>
      <c r="AB30" s="76">
        <f t="shared" si="0"/>
        <v>5.5555555555555554</v>
      </c>
      <c r="AC30" s="76">
        <f t="shared" si="1"/>
        <v>9.7703957010258913E-2</v>
      </c>
      <c r="AD30" s="47">
        <v>2047</v>
      </c>
    </row>
    <row r="31" spans="1:30" ht="15.75" thickBot="1" x14ac:dyDescent="0.3">
      <c r="A31" s="44" t="s">
        <v>1099</v>
      </c>
      <c r="B31" s="48" t="s">
        <v>1100</v>
      </c>
      <c r="C31" s="44" t="s">
        <v>817</v>
      </c>
      <c r="D31" s="47">
        <v>35</v>
      </c>
      <c r="E31" s="47">
        <v>275</v>
      </c>
      <c r="F31" s="47">
        <v>0</v>
      </c>
      <c r="G31" s="47">
        <v>0</v>
      </c>
      <c r="H31" s="47">
        <v>9</v>
      </c>
      <c r="I31" s="47">
        <v>195</v>
      </c>
      <c r="J31" s="47">
        <v>0</v>
      </c>
      <c r="K31" s="47">
        <v>0</v>
      </c>
      <c r="L31" s="47">
        <v>20</v>
      </c>
      <c r="M31" s="44">
        <v>0</v>
      </c>
      <c r="N31" s="47">
        <v>20</v>
      </c>
      <c r="O31" s="47">
        <v>44</v>
      </c>
      <c r="P31" s="47">
        <v>470</v>
      </c>
      <c r="Q31" s="44" t="s">
        <v>1643</v>
      </c>
      <c r="R31" s="47">
        <v>40</v>
      </c>
      <c r="S31" s="47">
        <v>375</v>
      </c>
      <c r="T31" s="47">
        <v>0</v>
      </c>
      <c r="U31" s="47">
        <v>0</v>
      </c>
      <c r="V31" s="47">
        <v>15</v>
      </c>
      <c r="W31" s="47">
        <v>325</v>
      </c>
      <c r="X31" s="47">
        <v>0</v>
      </c>
      <c r="Y31" s="47">
        <v>0</v>
      </c>
      <c r="Z31" s="47">
        <v>59</v>
      </c>
      <c r="AA31" s="47">
        <v>795</v>
      </c>
      <c r="AB31" s="76">
        <f t="shared" si="0"/>
        <v>13.474576271186441</v>
      </c>
      <c r="AC31" s="76">
        <f t="shared" si="1"/>
        <v>0.21780821917808219</v>
      </c>
      <c r="AD31" s="47">
        <v>3650</v>
      </c>
    </row>
    <row r="32" spans="1:30" ht="15.75" thickBot="1" x14ac:dyDescent="0.3">
      <c r="A32" s="44" t="s">
        <v>1101</v>
      </c>
      <c r="B32" s="48" t="s">
        <v>1102</v>
      </c>
      <c r="C32" s="44" t="s">
        <v>817</v>
      </c>
      <c r="D32" s="47">
        <v>12</v>
      </c>
      <c r="E32" s="47">
        <v>48</v>
      </c>
      <c r="F32" s="47">
        <v>0</v>
      </c>
      <c r="G32" s="47">
        <v>0</v>
      </c>
      <c r="H32" s="47">
        <v>4</v>
      </c>
      <c r="I32" s="47">
        <v>53</v>
      </c>
      <c r="J32" s="44">
        <v>0</v>
      </c>
      <c r="K32" s="44">
        <v>0</v>
      </c>
      <c r="L32" s="44">
        <v>0</v>
      </c>
      <c r="M32" s="44">
        <v>0</v>
      </c>
      <c r="N32" s="44">
        <v>0</v>
      </c>
      <c r="O32" s="47">
        <v>16</v>
      </c>
      <c r="P32" s="47">
        <v>101</v>
      </c>
      <c r="Q32" s="44" t="s">
        <v>1643</v>
      </c>
      <c r="R32" s="47">
        <v>12</v>
      </c>
      <c r="S32" s="47">
        <v>48</v>
      </c>
      <c r="T32" s="47">
        <v>0</v>
      </c>
      <c r="U32" s="47">
        <v>0</v>
      </c>
      <c r="V32" s="47">
        <v>4</v>
      </c>
      <c r="W32" s="47">
        <v>71</v>
      </c>
      <c r="X32" s="47">
        <v>1</v>
      </c>
      <c r="Y32" s="47">
        <v>15</v>
      </c>
      <c r="Z32" s="47">
        <v>21</v>
      </c>
      <c r="AA32" s="47">
        <v>187</v>
      </c>
      <c r="AB32" s="76">
        <f t="shared" si="0"/>
        <v>8.9047619047619051</v>
      </c>
      <c r="AC32" s="76">
        <f t="shared" si="1"/>
        <v>0.10229759299781181</v>
      </c>
      <c r="AD32" s="47">
        <v>1828</v>
      </c>
    </row>
    <row r="33" spans="1:30" ht="15.75" thickBot="1" x14ac:dyDescent="0.3">
      <c r="A33" s="44" t="s">
        <v>1149</v>
      </c>
      <c r="B33" s="48" t="s">
        <v>1150</v>
      </c>
      <c r="C33" s="44" t="s">
        <v>817</v>
      </c>
      <c r="D33" s="47">
        <v>185</v>
      </c>
      <c r="E33" s="47">
        <v>1814</v>
      </c>
      <c r="F33" s="47">
        <v>45</v>
      </c>
      <c r="G33" s="47">
        <v>160</v>
      </c>
      <c r="H33" s="47">
        <v>230</v>
      </c>
      <c r="I33" s="47">
        <v>2425</v>
      </c>
      <c r="J33" s="47">
        <v>16</v>
      </c>
      <c r="K33" s="47">
        <v>251</v>
      </c>
      <c r="L33" s="47">
        <v>171</v>
      </c>
      <c r="M33" s="47">
        <v>117</v>
      </c>
      <c r="N33" s="47">
        <v>288</v>
      </c>
      <c r="O33" s="47">
        <v>415</v>
      </c>
      <c r="P33" s="47">
        <v>4239</v>
      </c>
      <c r="Q33" s="44" t="s">
        <v>1643</v>
      </c>
      <c r="R33" s="47">
        <v>269</v>
      </c>
      <c r="S33" s="47">
        <v>1838</v>
      </c>
      <c r="T33" s="47">
        <v>61</v>
      </c>
      <c r="U33" s="47">
        <v>411</v>
      </c>
      <c r="V33" s="47">
        <v>98</v>
      </c>
      <c r="W33" s="47">
        <v>786</v>
      </c>
      <c r="X33" s="47">
        <v>2</v>
      </c>
      <c r="Y33" s="47">
        <v>507</v>
      </c>
      <c r="Z33" s="47">
        <v>576</v>
      </c>
      <c r="AA33" s="47">
        <v>5943</v>
      </c>
      <c r="AB33" s="76">
        <f t="shared" si="0"/>
        <v>10.317708333333334</v>
      </c>
      <c r="AC33" s="76">
        <f t="shared" si="1"/>
        <v>1.5137544574630668</v>
      </c>
      <c r="AD33" s="47">
        <v>3926</v>
      </c>
    </row>
    <row r="34" spans="1:30" ht="15.75" thickBot="1" x14ac:dyDescent="0.3">
      <c r="A34" s="44" t="s">
        <v>1165</v>
      </c>
      <c r="B34" s="48" t="s">
        <v>1166</v>
      </c>
      <c r="C34" s="44" t="s">
        <v>817</v>
      </c>
      <c r="D34" s="47">
        <v>73</v>
      </c>
      <c r="E34" s="47">
        <v>431</v>
      </c>
      <c r="F34" s="47">
        <v>14</v>
      </c>
      <c r="G34" s="47">
        <v>122</v>
      </c>
      <c r="H34" s="47">
        <v>20</v>
      </c>
      <c r="I34" s="47">
        <v>132</v>
      </c>
      <c r="J34" s="47">
        <v>8</v>
      </c>
      <c r="K34" s="47">
        <v>102</v>
      </c>
      <c r="L34" s="47">
        <v>80</v>
      </c>
      <c r="M34" s="47">
        <v>10</v>
      </c>
      <c r="N34" s="47">
        <v>90</v>
      </c>
      <c r="O34" s="47">
        <v>93</v>
      </c>
      <c r="P34" s="47">
        <v>563</v>
      </c>
      <c r="Q34" s="44" t="s">
        <v>1643</v>
      </c>
      <c r="R34" s="47">
        <v>50</v>
      </c>
      <c r="S34" s="47">
        <v>293</v>
      </c>
      <c r="T34" s="47">
        <v>22</v>
      </c>
      <c r="U34" s="47">
        <v>224</v>
      </c>
      <c r="V34" s="47">
        <v>55</v>
      </c>
      <c r="W34" s="47">
        <v>199</v>
      </c>
      <c r="X34" s="47">
        <v>19</v>
      </c>
      <c r="Y34" s="47">
        <v>377</v>
      </c>
      <c r="Z34" s="47">
        <v>189</v>
      </c>
      <c r="AA34" s="47">
        <v>1363</v>
      </c>
      <c r="AB34" s="76">
        <f t="shared" si="0"/>
        <v>7.2116402116402121</v>
      </c>
      <c r="AC34" s="76">
        <f t="shared" si="1"/>
        <v>0.44865042791310072</v>
      </c>
      <c r="AD34" s="47">
        <v>3038</v>
      </c>
    </row>
    <row r="35" spans="1:30" ht="15.75" thickBot="1" x14ac:dyDescent="0.3">
      <c r="A35" s="44" t="s">
        <v>1195</v>
      </c>
      <c r="B35" s="48" t="s">
        <v>1196</v>
      </c>
      <c r="C35" s="44" t="s">
        <v>817</v>
      </c>
      <c r="D35" s="47">
        <v>0</v>
      </c>
      <c r="E35" s="47">
        <v>0</v>
      </c>
      <c r="F35" s="47">
        <v>1</v>
      </c>
      <c r="G35" s="47">
        <v>7</v>
      </c>
      <c r="H35" s="47">
        <v>1</v>
      </c>
      <c r="I35" s="47">
        <v>24</v>
      </c>
      <c r="J35" s="47">
        <v>0</v>
      </c>
      <c r="K35" s="47">
        <v>0</v>
      </c>
      <c r="L35" s="47">
        <v>24</v>
      </c>
      <c r="M35" s="47">
        <v>0</v>
      </c>
      <c r="N35" s="47">
        <v>24</v>
      </c>
      <c r="O35" s="47">
        <v>1</v>
      </c>
      <c r="P35" s="47">
        <v>24</v>
      </c>
      <c r="Q35" s="44" t="s">
        <v>1644</v>
      </c>
      <c r="R35" s="47">
        <v>0</v>
      </c>
      <c r="S35" s="47">
        <v>0</v>
      </c>
      <c r="T35" s="47">
        <v>1</v>
      </c>
      <c r="U35" s="47">
        <v>7</v>
      </c>
      <c r="V35" s="47">
        <v>1</v>
      </c>
      <c r="W35" s="47">
        <v>12</v>
      </c>
      <c r="X35" s="47">
        <v>1</v>
      </c>
      <c r="Y35" s="47">
        <v>20</v>
      </c>
      <c r="Z35" s="47">
        <v>4</v>
      </c>
      <c r="AA35" s="47">
        <v>63</v>
      </c>
      <c r="AB35" s="76">
        <f t="shared" si="0"/>
        <v>15.75</v>
      </c>
      <c r="AC35" s="76">
        <f t="shared" si="1"/>
        <v>1.6890080428954422E-2</v>
      </c>
      <c r="AD35" s="47">
        <v>3730</v>
      </c>
    </row>
    <row r="36" spans="1:30" ht="15.75" thickBot="1" x14ac:dyDescent="0.3">
      <c r="A36" s="44" t="s">
        <v>1203</v>
      </c>
      <c r="B36" s="48" t="s">
        <v>1204</v>
      </c>
      <c r="C36" s="44" t="s">
        <v>817</v>
      </c>
      <c r="D36" s="47">
        <v>31</v>
      </c>
      <c r="E36" s="47">
        <v>290</v>
      </c>
      <c r="F36" s="47">
        <v>0</v>
      </c>
      <c r="G36" s="47">
        <v>0</v>
      </c>
      <c r="H36" s="47">
        <v>7</v>
      </c>
      <c r="I36" s="47">
        <v>151</v>
      </c>
      <c r="J36" s="47">
        <v>7</v>
      </c>
      <c r="K36" s="47">
        <v>16</v>
      </c>
      <c r="L36" s="47">
        <v>29</v>
      </c>
      <c r="M36" s="47">
        <v>6</v>
      </c>
      <c r="N36" s="47">
        <v>35</v>
      </c>
      <c r="O36" s="47">
        <v>38</v>
      </c>
      <c r="P36" s="47">
        <v>441</v>
      </c>
      <c r="Q36" s="44" t="s">
        <v>1644</v>
      </c>
      <c r="R36" s="47">
        <v>0</v>
      </c>
      <c r="S36" s="47">
        <v>0</v>
      </c>
      <c r="T36" s="47">
        <v>7</v>
      </c>
      <c r="U36" s="47">
        <v>16</v>
      </c>
      <c r="V36" s="47">
        <v>3</v>
      </c>
      <c r="W36" s="47">
        <v>20</v>
      </c>
      <c r="X36" s="47">
        <v>1</v>
      </c>
      <c r="Y36" s="47">
        <v>57</v>
      </c>
      <c r="Z36" s="47">
        <v>49</v>
      </c>
      <c r="AA36" s="47">
        <v>534</v>
      </c>
      <c r="AB36" s="76">
        <f t="shared" si="0"/>
        <v>10.897959183673469</v>
      </c>
      <c r="AC36" s="76">
        <f t="shared" si="1"/>
        <v>0.19524680073126144</v>
      </c>
      <c r="AD36" s="47">
        <v>2735</v>
      </c>
    </row>
    <row r="37" spans="1:30" ht="15.75" thickBot="1" x14ac:dyDescent="0.3">
      <c r="A37" s="44" t="s">
        <v>1205</v>
      </c>
      <c r="B37" s="48" t="s">
        <v>1206</v>
      </c>
      <c r="C37" s="44" t="s">
        <v>817</v>
      </c>
      <c r="D37" s="47">
        <v>43</v>
      </c>
      <c r="E37" s="47">
        <v>439</v>
      </c>
      <c r="F37" s="47">
        <v>1</v>
      </c>
      <c r="G37" s="47">
        <v>7</v>
      </c>
      <c r="H37" s="47">
        <v>16</v>
      </c>
      <c r="I37" s="47">
        <v>390</v>
      </c>
      <c r="J37" s="47">
        <v>16</v>
      </c>
      <c r="K37" s="47">
        <v>81</v>
      </c>
      <c r="L37" s="47">
        <v>120</v>
      </c>
      <c r="M37" s="47">
        <v>35</v>
      </c>
      <c r="N37" s="47">
        <v>155</v>
      </c>
      <c r="O37" s="47">
        <v>59</v>
      </c>
      <c r="P37" s="47">
        <v>829</v>
      </c>
      <c r="Q37" s="44" t="s">
        <v>1643</v>
      </c>
      <c r="R37" s="47">
        <v>16</v>
      </c>
      <c r="S37" s="47">
        <v>52</v>
      </c>
      <c r="T37" s="47">
        <v>17</v>
      </c>
      <c r="U37" s="47">
        <v>88</v>
      </c>
      <c r="V37" s="47">
        <v>24</v>
      </c>
      <c r="W37" s="47">
        <v>211</v>
      </c>
      <c r="X37" s="44">
        <v>0</v>
      </c>
      <c r="Y37" s="44">
        <v>0</v>
      </c>
      <c r="Z37" s="47">
        <v>100</v>
      </c>
      <c r="AA37" s="47">
        <v>1128</v>
      </c>
      <c r="AB37" s="76">
        <f t="shared" si="0"/>
        <v>11.28</v>
      </c>
      <c r="AC37" s="76">
        <f t="shared" si="1"/>
        <v>0.59368421052631581</v>
      </c>
      <c r="AD37" s="47">
        <v>1900</v>
      </c>
    </row>
    <row r="38" spans="1:30" ht="15.75" thickBot="1" x14ac:dyDescent="0.3">
      <c r="A38" s="44" t="s">
        <v>1209</v>
      </c>
      <c r="B38" s="48" t="s">
        <v>1210</v>
      </c>
      <c r="C38" s="44" t="s">
        <v>817</v>
      </c>
      <c r="D38" s="47">
        <v>48</v>
      </c>
      <c r="E38" s="47">
        <v>537</v>
      </c>
      <c r="F38" s="47">
        <v>0</v>
      </c>
      <c r="G38" s="47">
        <v>0</v>
      </c>
      <c r="H38" s="47">
        <v>19</v>
      </c>
      <c r="I38" s="47">
        <v>632</v>
      </c>
      <c r="J38" s="47">
        <v>0</v>
      </c>
      <c r="K38" s="47">
        <v>0</v>
      </c>
      <c r="L38" s="47">
        <v>20</v>
      </c>
      <c r="M38" s="47">
        <v>0</v>
      </c>
      <c r="N38" s="47">
        <v>20</v>
      </c>
      <c r="O38" s="47">
        <v>67</v>
      </c>
      <c r="P38" s="47">
        <v>1169</v>
      </c>
      <c r="Q38" s="44" t="s">
        <v>1643</v>
      </c>
      <c r="R38" s="47">
        <v>37</v>
      </c>
      <c r="S38" s="47">
        <v>349</v>
      </c>
      <c r="T38" s="47">
        <v>0</v>
      </c>
      <c r="U38" s="47">
        <v>0</v>
      </c>
      <c r="V38" s="47">
        <v>31</v>
      </c>
      <c r="W38" s="47">
        <v>692</v>
      </c>
      <c r="X38" s="47">
        <v>0</v>
      </c>
      <c r="Y38" s="47">
        <v>0</v>
      </c>
      <c r="Z38" s="47">
        <v>98</v>
      </c>
      <c r="AA38" s="47">
        <v>1861</v>
      </c>
      <c r="AB38" s="76">
        <f t="shared" si="0"/>
        <v>18.989795918367346</v>
      </c>
      <c r="AC38" s="76">
        <f t="shared" si="1"/>
        <v>0.91810557474099652</v>
      </c>
      <c r="AD38" s="47">
        <v>2027</v>
      </c>
    </row>
    <row r="39" spans="1:30" ht="15.75" thickBot="1" x14ac:dyDescent="0.3">
      <c r="A39" s="44" t="s">
        <v>1219</v>
      </c>
      <c r="B39" s="48" t="s">
        <v>1220</v>
      </c>
      <c r="C39" s="44" t="s">
        <v>817</v>
      </c>
      <c r="D39" s="47">
        <v>5</v>
      </c>
      <c r="E39" s="47">
        <v>40</v>
      </c>
      <c r="F39" s="47">
        <v>0</v>
      </c>
      <c r="G39" s="47">
        <v>0</v>
      </c>
      <c r="H39" s="47">
        <v>5</v>
      </c>
      <c r="I39" s="47">
        <v>40</v>
      </c>
      <c r="J39" s="47">
        <v>0</v>
      </c>
      <c r="K39" s="47">
        <v>0</v>
      </c>
      <c r="L39" s="47">
        <v>40</v>
      </c>
      <c r="M39" s="47">
        <v>0</v>
      </c>
      <c r="N39" s="47">
        <v>40</v>
      </c>
      <c r="O39" s="47">
        <v>10</v>
      </c>
      <c r="P39" s="47">
        <v>80</v>
      </c>
      <c r="Q39" s="44" t="s">
        <v>1644</v>
      </c>
      <c r="R39" s="47">
        <v>0</v>
      </c>
      <c r="S39" s="47">
        <v>0</v>
      </c>
      <c r="T39" s="47">
        <v>0</v>
      </c>
      <c r="U39" s="47">
        <v>0</v>
      </c>
      <c r="V39" s="47">
        <v>1</v>
      </c>
      <c r="W39" s="47">
        <v>8</v>
      </c>
      <c r="X39" s="47">
        <v>0</v>
      </c>
      <c r="Y39" s="47">
        <v>0</v>
      </c>
      <c r="Z39" s="47">
        <v>11</v>
      </c>
      <c r="AA39" s="47">
        <v>88</v>
      </c>
      <c r="AB39" s="76">
        <f t="shared" si="0"/>
        <v>8</v>
      </c>
      <c r="AC39" s="76">
        <f t="shared" si="1"/>
        <v>3.1040564373897708E-2</v>
      </c>
      <c r="AD39" s="47">
        <v>2835</v>
      </c>
    </row>
    <row r="40" spans="1:30" ht="15.75" thickBot="1" x14ac:dyDescent="0.3">
      <c r="A40" s="44" t="s">
        <v>1225</v>
      </c>
      <c r="B40" s="48" t="s">
        <v>1226</v>
      </c>
      <c r="C40" s="44" t="s">
        <v>817</v>
      </c>
      <c r="D40" s="47">
        <v>43</v>
      </c>
      <c r="E40" s="47">
        <v>803</v>
      </c>
      <c r="F40" s="47">
        <v>0</v>
      </c>
      <c r="G40" s="47">
        <v>0</v>
      </c>
      <c r="H40" s="47">
        <v>21</v>
      </c>
      <c r="I40" s="47">
        <v>678</v>
      </c>
      <c r="J40" s="47">
        <v>2</v>
      </c>
      <c r="K40" s="47">
        <v>10</v>
      </c>
      <c r="L40" s="47">
        <v>54</v>
      </c>
      <c r="M40" s="47">
        <v>5</v>
      </c>
      <c r="N40" s="47">
        <v>59</v>
      </c>
      <c r="O40" s="47">
        <v>64</v>
      </c>
      <c r="P40" s="47">
        <v>1481</v>
      </c>
      <c r="Q40" s="44" t="s">
        <v>1643</v>
      </c>
      <c r="R40" s="47">
        <v>17</v>
      </c>
      <c r="S40" s="47">
        <v>222</v>
      </c>
      <c r="T40" s="47">
        <v>2</v>
      </c>
      <c r="U40" s="47">
        <v>10</v>
      </c>
      <c r="V40" s="47">
        <v>7</v>
      </c>
      <c r="W40" s="47">
        <v>73</v>
      </c>
      <c r="X40" s="47">
        <v>2</v>
      </c>
      <c r="Y40" s="47">
        <v>79</v>
      </c>
      <c r="Z40" s="47">
        <v>75</v>
      </c>
      <c r="AA40" s="47">
        <v>1643</v>
      </c>
      <c r="AB40" s="76">
        <f t="shared" si="0"/>
        <v>21.906666666666666</v>
      </c>
      <c r="AC40" s="76">
        <f t="shared" si="1"/>
        <v>0.69266441821247893</v>
      </c>
      <c r="AD40" s="47">
        <v>2372</v>
      </c>
    </row>
    <row r="41" spans="1:30" ht="15.75" thickBot="1" x14ac:dyDescent="0.3">
      <c r="A41" s="44" t="s">
        <v>1237</v>
      </c>
      <c r="B41" s="48" t="s">
        <v>1238</v>
      </c>
      <c r="C41" s="44" t="s">
        <v>817</v>
      </c>
      <c r="D41" s="47">
        <v>3</v>
      </c>
      <c r="E41" s="47">
        <v>263</v>
      </c>
      <c r="F41" s="47">
        <v>1</v>
      </c>
      <c r="G41" s="47">
        <v>0</v>
      </c>
      <c r="H41" s="47">
        <v>6</v>
      </c>
      <c r="I41" s="47">
        <v>169</v>
      </c>
      <c r="J41" s="47">
        <v>0</v>
      </c>
      <c r="K41" s="47">
        <v>0</v>
      </c>
      <c r="L41" s="47">
        <v>67</v>
      </c>
      <c r="M41" s="47">
        <v>0</v>
      </c>
      <c r="N41" s="47">
        <v>67</v>
      </c>
      <c r="O41" s="47">
        <v>9</v>
      </c>
      <c r="P41" s="47">
        <v>432</v>
      </c>
      <c r="Q41" s="44" t="s">
        <v>1643</v>
      </c>
      <c r="R41" s="47">
        <v>2</v>
      </c>
      <c r="S41" s="47">
        <v>10</v>
      </c>
      <c r="T41" s="47">
        <v>1</v>
      </c>
      <c r="U41" s="47">
        <v>0</v>
      </c>
      <c r="V41" s="47">
        <v>6</v>
      </c>
      <c r="W41" s="47">
        <v>58</v>
      </c>
      <c r="X41" s="47">
        <v>1</v>
      </c>
      <c r="Y41" s="47">
        <v>60</v>
      </c>
      <c r="Z41" s="47">
        <v>17</v>
      </c>
      <c r="AA41" s="47">
        <v>550</v>
      </c>
      <c r="AB41" s="76">
        <f t="shared" si="0"/>
        <v>32.352941176470587</v>
      </c>
      <c r="AC41" s="76">
        <f t="shared" si="1"/>
        <v>0.14998636487592037</v>
      </c>
      <c r="AD41" s="47">
        <v>3667</v>
      </c>
    </row>
    <row r="42" spans="1:30" ht="15.75" thickBot="1" x14ac:dyDescent="0.3">
      <c r="A42" s="44" t="s">
        <v>1243</v>
      </c>
      <c r="B42" s="48" t="s">
        <v>1244</v>
      </c>
      <c r="C42" s="44" t="s">
        <v>817</v>
      </c>
      <c r="D42" s="47">
        <v>2</v>
      </c>
      <c r="E42" s="47">
        <v>93</v>
      </c>
      <c r="F42" s="47">
        <v>0</v>
      </c>
      <c r="G42" s="47">
        <v>0</v>
      </c>
      <c r="H42" s="47">
        <v>1</v>
      </c>
      <c r="I42" s="47">
        <v>28</v>
      </c>
      <c r="J42" s="47">
        <v>0</v>
      </c>
      <c r="K42" s="47">
        <v>0</v>
      </c>
      <c r="L42" s="47">
        <v>5</v>
      </c>
      <c r="M42" s="44">
        <v>0</v>
      </c>
      <c r="N42" s="47">
        <v>5</v>
      </c>
      <c r="O42" s="47">
        <v>3</v>
      </c>
      <c r="P42" s="47">
        <v>121</v>
      </c>
      <c r="Q42" s="44" t="s">
        <v>1644</v>
      </c>
      <c r="R42" s="47">
        <v>0</v>
      </c>
      <c r="S42" s="47">
        <v>0</v>
      </c>
      <c r="T42" s="47">
        <v>0</v>
      </c>
      <c r="U42" s="47">
        <v>0</v>
      </c>
      <c r="V42" s="47">
        <v>9</v>
      </c>
      <c r="W42" s="47">
        <v>542</v>
      </c>
      <c r="X42" s="47">
        <v>1</v>
      </c>
      <c r="Y42" s="47">
        <v>51</v>
      </c>
      <c r="Z42" s="47">
        <v>13</v>
      </c>
      <c r="AA42" s="47">
        <v>714</v>
      </c>
      <c r="AB42" s="76">
        <f t="shared" si="0"/>
        <v>54.92307692307692</v>
      </c>
      <c r="AC42" s="76">
        <f t="shared" si="1"/>
        <v>1.4512195121951219</v>
      </c>
      <c r="AD42" s="47">
        <v>492</v>
      </c>
    </row>
    <row r="43" spans="1:30" ht="15.75" thickBot="1" x14ac:dyDescent="0.3">
      <c r="A43" s="44" t="s">
        <v>1259</v>
      </c>
      <c r="B43" s="48" t="s">
        <v>1260</v>
      </c>
      <c r="C43" s="44" t="s">
        <v>817</v>
      </c>
      <c r="D43" s="47">
        <v>2</v>
      </c>
      <c r="E43" s="47">
        <v>7</v>
      </c>
      <c r="F43" s="47">
        <v>0</v>
      </c>
      <c r="G43" s="47">
        <v>0</v>
      </c>
      <c r="H43" s="47">
        <v>6</v>
      </c>
      <c r="I43" s="47">
        <v>61</v>
      </c>
      <c r="J43" s="47">
        <v>0</v>
      </c>
      <c r="K43" s="47">
        <v>0</v>
      </c>
      <c r="L43" s="47">
        <v>38</v>
      </c>
      <c r="M43" s="47">
        <v>0</v>
      </c>
      <c r="N43" s="47">
        <v>38</v>
      </c>
      <c r="O43" s="47">
        <v>8</v>
      </c>
      <c r="P43" s="47">
        <v>68</v>
      </c>
      <c r="Q43" s="44" t="s">
        <v>1643</v>
      </c>
      <c r="R43" s="47">
        <v>2</v>
      </c>
      <c r="S43" s="47">
        <v>7</v>
      </c>
      <c r="T43" s="47">
        <v>0</v>
      </c>
      <c r="U43" s="47">
        <v>0</v>
      </c>
      <c r="V43" s="47">
        <v>0</v>
      </c>
      <c r="W43" s="47">
        <v>0</v>
      </c>
      <c r="X43" s="47">
        <v>0</v>
      </c>
      <c r="Y43" s="47">
        <v>0</v>
      </c>
      <c r="Z43" s="47">
        <v>8</v>
      </c>
      <c r="AA43" s="47">
        <v>68</v>
      </c>
      <c r="AB43" s="76">
        <f t="shared" si="0"/>
        <v>8.5</v>
      </c>
      <c r="AC43" s="76">
        <f t="shared" si="1"/>
        <v>2.1829855537720707E-2</v>
      </c>
      <c r="AD43" s="47">
        <v>3115</v>
      </c>
    </row>
    <row r="44" spans="1:30" ht="15.75" thickBot="1" x14ac:dyDescent="0.3">
      <c r="A44" s="44" t="s">
        <v>1275</v>
      </c>
      <c r="B44" s="48" t="s">
        <v>1276</v>
      </c>
      <c r="C44" s="44" t="s">
        <v>817</v>
      </c>
      <c r="D44" s="47">
        <v>0</v>
      </c>
      <c r="E44" s="47">
        <v>0</v>
      </c>
      <c r="F44" s="47">
        <v>0</v>
      </c>
      <c r="G44" s="47">
        <v>0</v>
      </c>
      <c r="H44" s="47">
        <v>0</v>
      </c>
      <c r="I44" s="47">
        <v>0</v>
      </c>
      <c r="J44" s="47">
        <v>0</v>
      </c>
      <c r="K44" s="47">
        <v>0</v>
      </c>
      <c r="L44" s="44">
        <v>0</v>
      </c>
      <c r="M44" s="44">
        <v>0</v>
      </c>
      <c r="N44" s="44">
        <v>0</v>
      </c>
      <c r="O44" s="47">
        <v>0</v>
      </c>
      <c r="P44" s="47">
        <v>0</v>
      </c>
      <c r="Q44" s="44" t="s">
        <v>1644</v>
      </c>
      <c r="R44" s="47">
        <v>0</v>
      </c>
      <c r="S44" s="47">
        <v>0</v>
      </c>
      <c r="T44" s="47">
        <v>0</v>
      </c>
      <c r="U44" s="47">
        <v>0</v>
      </c>
      <c r="V44" s="47">
        <v>0</v>
      </c>
      <c r="W44" s="47">
        <v>0</v>
      </c>
      <c r="X44" s="47">
        <v>0</v>
      </c>
      <c r="Y44" s="47">
        <v>0</v>
      </c>
      <c r="Z44" s="47">
        <v>0</v>
      </c>
      <c r="AA44" s="47">
        <v>0</v>
      </c>
      <c r="AB44" s="76">
        <v>0</v>
      </c>
      <c r="AC44" s="76">
        <f t="shared" si="1"/>
        <v>0</v>
      </c>
      <c r="AD44" s="47">
        <v>2440</v>
      </c>
    </row>
    <row r="45" spans="1:30" ht="15.75" thickBot="1" x14ac:dyDescent="0.3">
      <c r="A45" s="44" t="s">
        <v>1283</v>
      </c>
      <c r="B45" s="48" t="s">
        <v>1284</v>
      </c>
      <c r="C45" s="44" t="s">
        <v>817</v>
      </c>
      <c r="D45" s="47">
        <v>28</v>
      </c>
      <c r="E45" s="47">
        <v>204</v>
      </c>
      <c r="F45" s="47">
        <v>0</v>
      </c>
      <c r="G45" s="47">
        <v>0</v>
      </c>
      <c r="H45" s="47">
        <v>1</v>
      </c>
      <c r="I45" s="47">
        <v>63</v>
      </c>
      <c r="J45" s="47">
        <v>0</v>
      </c>
      <c r="K45" s="47">
        <v>0</v>
      </c>
      <c r="L45" s="47">
        <v>58</v>
      </c>
      <c r="M45" s="47">
        <v>5</v>
      </c>
      <c r="N45" s="47">
        <v>63</v>
      </c>
      <c r="O45" s="47">
        <v>29</v>
      </c>
      <c r="P45" s="47">
        <v>267</v>
      </c>
      <c r="Q45" s="44" t="s">
        <v>1643</v>
      </c>
      <c r="R45" s="47">
        <v>16</v>
      </c>
      <c r="S45" s="47">
        <v>80</v>
      </c>
      <c r="T45" s="47">
        <v>0</v>
      </c>
      <c r="U45" s="47">
        <v>0</v>
      </c>
      <c r="V45" s="47">
        <v>50</v>
      </c>
      <c r="W45" s="47">
        <v>402</v>
      </c>
      <c r="X45" s="47">
        <v>2</v>
      </c>
      <c r="Y45" s="47">
        <v>14</v>
      </c>
      <c r="Z45" s="47">
        <v>81</v>
      </c>
      <c r="AA45" s="47">
        <v>683</v>
      </c>
      <c r="AB45" s="76">
        <f t="shared" si="0"/>
        <v>8.432098765432098</v>
      </c>
      <c r="AC45" s="76">
        <f t="shared" si="1"/>
        <v>0.19895135450043694</v>
      </c>
      <c r="AD45" s="47">
        <v>3433</v>
      </c>
    </row>
    <row r="46" spans="1:30" ht="15.75" thickBot="1" x14ac:dyDescent="0.3">
      <c r="A46" s="44" t="s">
        <v>1303</v>
      </c>
      <c r="B46" s="48" t="s">
        <v>1304</v>
      </c>
      <c r="C46" s="44" t="s">
        <v>817</v>
      </c>
      <c r="D46" s="47">
        <v>1</v>
      </c>
      <c r="E46" s="47">
        <v>15</v>
      </c>
      <c r="F46" s="47">
        <v>0</v>
      </c>
      <c r="G46" s="47">
        <v>0</v>
      </c>
      <c r="H46" s="47">
        <v>1</v>
      </c>
      <c r="I46" s="47">
        <v>15</v>
      </c>
      <c r="J46" s="47">
        <v>0</v>
      </c>
      <c r="K46" s="47">
        <v>0</v>
      </c>
      <c r="L46" s="47">
        <v>17</v>
      </c>
      <c r="M46" s="47">
        <v>14</v>
      </c>
      <c r="N46" s="47">
        <v>31</v>
      </c>
      <c r="O46" s="47">
        <v>2</v>
      </c>
      <c r="P46" s="47">
        <v>30</v>
      </c>
      <c r="Q46" s="44" t="s">
        <v>1644</v>
      </c>
      <c r="R46" s="47">
        <v>0</v>
      </c>
      <c r="S46" s="47">
        <v>0</v>
      </c>
      <c r="T46" s="47">
        <v>0</v>
      </c>
      <c r="U46" s="47">
        <v>0</v>
      </c>
      <c r="V46" s="47">
        <v>3</v>
      </c>
      <c r="W46" s="47">
        <v>25</v>
      </c>
      <c r="X46" s="47">
        <v>0</v>
      </c>
      <c r="Y46" s="47">
        <v>0</v>
      </c>
      <c r="Z46" s="47">
        <v>5</v>
      </c>
      <c r="AA46" s="47">
        <v>55</v>
      </c>
      <c r="AB46" s="76">
        <f t="shared" si="0"/>
        <v>11</v>
      </c>
      <c r="AC46" s="76">
        <f t="shared" si="1"/>
        <v>2.976190476190476E-2</v>
      </c>
      <c r="AD46" s="47">
        <v>1848</v>
      </c>
    </row>
    <row r="47" spans="1:30" ht="15.75" thickBot="1" x14ac:dyDescent="0.3">
      <c r="A47" s="44" t="s">
        <v>1319</v>
      </c>
      <c r="B47" s="48" t="s">
        <v>1320</v>
      </c>
      <c r="C47" s="44" t="s">
        <v>817</v>
      </c>
      <c r="D47" s="47">
        <v>26</v>
      </c>
      <c r="E47" s="47">
        <v>546</v>
      </c>
      <c r="F47" s="47">
        <v>2</v>
      </c>
      <c r="G47" s="47">
        <v>25</v>
      </c>
      <c r="H47" s="47">
        <v>27</v>
      </c>
      <c r="I47" s="47">
        <v>766</v>
      </c>
      <c r="J47" s="47">
        <v>2</v>
      </c>
      <c r="K47" s="47">
        <v>25</v>
      </c>
      <c r="L47" s="47">
        <v>185</v>
      </c>
      <c r="M47" s="47">
        <v>20</v>
      </c>
      <c r="N47" s="47">
        <v>205</v>
      </c>
      <c r="O47" s="47">
        <v>53</v>
      </c>
      <c r="P47" s="47">
        <v>1312</v>
      </c>
      <c r="Q47" s="44" t="s">
        <v>1643</v>
      </c>
      <c r="R47" s="47">
        <v>17</v>
      </c>
      <c r="S47" s="47">
        <v>255</v>
      </c>
      <c r="T47" s="47">
        <v>4</v>
      </c>
      <c r="U47" s="47">
        <v>50</v>
      </c>
      <c r="V47" s="47">
        <v>41</v>
      </c>
      <c r="W47" s="47">
        <v>344</v>
      </c>
      <c r="X47" s="47">
        <v>9</v>
      </c>
      <c r="Y47" s="47">
        <v>353</v>
      </c>
      <c r="Z47" s="47">
        <v>107</v>
      </c>
      <c r="AA47" s="47">
        <v>2059</v>
      </c>
      <c r="AB47" s="76">
        <f t="shared" si="0"/>
        <v>19.242990654205606</v>
      </c>
      <c r="AC47" s="76">
        <f t="shared" si="1"/>
        <v>0.56488340192043895</v>
      </c>
      <c r="AD47" s="47">
        <v>3645</v>
      </c>
    </row>
    <row r="48" spans="1:30" ht="15.75" thickBot="1" x14ac:dyDescent="0.3">
      <c r="A48" s="44" t="s">
        <v>1333</v>
      </c>
      <c r="B48" s="48" t="s">
        <v>1334</v>
      </c>
      <c r="C48" s="44" t="s">
        <v>817</v>
      </c>
      <c r="D48" s="47">
        <v>40</v>
      </c>
      <c r="E48" s="47">
        <v>224</v>
      </c>
      <c r="F48" s="47">
        <v>0</v>
      </c>
      <c r="G48" s="47">
        <v>0</v>
      </c>
      <c r="H48" s="47">
        <v>13</v>
      </c>
      <c r="I48" s="47">
        <v>134</v>
      </c>
      <c r="J48" s="44">
        <v>0</v>
      </c>
      <c r="K48" s="44">
        <v>0</v>
      </c>
      <c r="L48" s="47">
        <v>20</v>
      </c>
      <c r="M48" s="44">
        <v>0</v>
      </c>
      <c r="N48" s="47">
        <v>20</v>
      </c>
      <c r="O48" s="47">
        <v>53</v>
      </c>
      <c r="P48" s="47">
        <v>358</v>
      </c>
      <c r="Q48" s="44" t="s">
        <v>1643</v>
      </c>
      <c r="R48" s="47">
        <v>42</v>
      </c>
      <c r="S48" s="47">
        <v>182</v>
      </c>
      <c r="T48" s="47">
        <v>0</v>
      </c>
      <c r="U48" s="47">
        <v>0</v>
      </c>
      <c r="V48" s="47">
        <v>4</v>
      </c>
      <c r="W48" s="47">
        <v>42</v>
      </c>
      <c r="X48" s="47">
        <v>16</v>
      </c>
      <c r="Y48" s="47">
        <v>130</v>
      </c>
      <c r="Z48" s="47">
        <v>73</v>
      </c>
      <c r="AA48" s="47">
        <v>530</v>
      </c>
      <c r="AB48" s="76">
        <f t="shared" si="0"/>
        <v>7.2602739726027394</v>
      </c>
      <c r="AC48" s="76">
        <f t="shared" si="1"/>
        <v>0.14406088611035608</v>
      </c>
      <c r="AD48" s="47">
        <v>3679</v>
      </c>
    </row>
    <row r="49" spans="1:30" ht="15.75" thickBot="1" x14ac:dyDescent="0.3">
      <c r="A49" s="44" t="s">
        <v>1337</v>
      </c>
      <c r="B49" s="48" t="s">
        <v>1338</v>
      </c>
      <c r="C49" s="44" t="s">
        <v>817</v>
      </c>
      <c r="D49" s="47">
        <v>1</v>
      </c>
      <c r="E49" s="47">
        <v>15</v>
      </c>
      <c r="F49" s="47">
        <v>0</v>
      </c>
      <c r="G49" s="47">
        <v>0</v>
      </c>
      <c r="H49" s="47">
        <v>0</v>
      </c>
      <c r="I49" s="47">
        <v>0</v>
      </c>
      <c r="J49" s="47">
        <v>0</v>
      </c>
      <c r="K49" s="47">
        <v>0</v>
      </c>
      <c r="L49" s="47">
        <v>0</v>
      </c>
      <c r="M49" s="47">
        <v>0</v>
      </c>
      <c r="N49" s="47">
        <v>0</v>
      </c>
      <c r="O49" s="47">
        <v>1</v>
      </c>
      <c r="P49" s="47">
        <v>15</v>
      </c>
      <c r="Q49" s="44" t="s">
        <v>1644</v>
      </c>
      <c r="R49" s="47">
        <v>0</v>
      </c>
      <c r="S49" s="47">
        <v>0</v>
      </c>
      <c r="T49" s="47">
        <v>0</v>
      </c>
      <c r="U49" s="47">
        <v>0</v>
      </c>
      <c r="V49" s="47">
        <v>0</v>
      </c>
      <c r="W49" s="47">
        <v>0</v>
      </c>
      <c r="X49" s="47">
        <v>0</v>
      </c>
      <c r="Y49" s="47">
        <v>0</v>
      </c>
      <c r="Z49" s="47">
        <v>1</v>
      </c>
      <c r="AA49" s="47">
        <v>15</v>
      </c>
      <c r="AB49" s="76">
        <f t="shared" si="0"/>
        <v>15</v>
      </c>
      <c r="AC49" s="76">
        <f t="shared" si="1"/>
        <v>8.1967213114754103E-3</v>
      </c>
      <c r="AD49" s="47">
        <v>1830</v>
      </c>
    </row>
    <row r="50" spans="1:30" ht="15.75" thickBot="1" x14ac:dyDescent="0.3">
      <c r="A50" s="44" t="s">
        <v>1359</v>
      </c>
      <c r="B50" s="48" t="s">
        <v>1360</v>
      </c>
      <c r="C50" s="44" t="s">
        <v>817</v>
      </c>
      <c r="D50" s="47">
        <v>30</v>
      </c>
      <c r="E50" s="47">
        <v>1032</v>
      </c>
      <c r="F50" s="47">
        <v>1</v>
      </c>
      <c r="G50" s="47">
        <v>10</v>
      </c>
      <c r="H50" s="47">
        <v>7</v>
      </c>
      <c r="I50" s="47">
        <v>172</v>
      </c>
      <c r="J50" s="47">
        <v>0</v>
      </c>
      <c r="K50" s="47">
        <v>0</v>
      </c>
      <c r="L50" s="47">
        <v>58</v>
      </c>
      <c r="M50" s="47">
        <v>88</v>
      </c>
      <c r="N50" s="47">
        <v>146</v>
      </c>
      <c r="O50" s="47">
        <v>37</v>
      </c>
      <c r="P50" s="47">
        <v>1204</v>
      </c>
      <c r="Q50" s="44" t="s">
        <v>1643</v>
      </c>
      <c r="R50" s="47">
        <v>30</v>
      </c>
      <c r="S50" s="47">
        <v>239</v>
      </c>
      <c r="T50" s="47">
        <v>1</v>
      </c>
      <c r="U50" s="47">
        <v>10</v>
      </c>
      <c r="V50" s="47">
        <v>26</v>
      </c>
      <c r="W50" s="47">
        <v>372</v>
      </c>
      <c r="X50" s="47">
        <v>74</v>
      </c>
      <c r="Y50" s="47">
        <v>452</v>
      </c>
      <c r="Z50" s="47">
        <v>138</v>
      </c>
      <c r="AA50" s="47">
        <v>2038</v>
      </c>
      <c r="AB50" s="76">
        <f t="shared" si="0"/>
        <v>14.768115942028986</v>
      </c>
      <c r="AC50" s="76">
        <f t="shared" si="1"/>
        <v>1.0510572460030945</v>
      </c>
      <c r="AD50" s="47">
        <v>1939</v>
      </c>
    </row>
    <row r="51" spans="1:30" ht="15.75" thickBot="1" x14ac:dyDescent="0.3">
      <c r="A51" s="44" t="s">
        <v>1397</v>
      </c>
      <c r="B51" s="48" t="s">
        <v>1398</v>
      </c>
      <c r="C51" s="44" t="s">
        <v>817</v>
      </c>
      <c r="D51" s="47">
        <v>19</v>
      </c>
      <c r="E51" s="47">
        <v>282</v>
      </c>
      <c r="F51" s="47">
        <v>4</v>
      </c>
      <c r="G51" s="47">
        <v>21</v>
      </c>
      <c r="H51" s="47">
        <v>7</v>
      </c>
      <c r="I51" s="47">
        <v>160</v>
      </c>
      <c r="J51" s="47">
        <v>0</v>
      </c>
      <c r="K51" s="47">
        <v>0</v>
      </c>
      <c r="L51" s="47">
        <v>60</v>
      </c>
      <c r="M51" s="47">
        <v>3</v>
      </c>
      <c r="N51" s="47">
        <v>63</v>
      </c>
      <c r="O51" s="47">
        <v>26</v>
      </c>
      <c r="P51" s="47">
        <v>442</v>
      </c>
      <c r="Q51" s="44" t="s">
        <v>1643</v>
      </c>
      <c r="R51" s="47">
        <v>3</v>
      </c>
      <c r="S51" s="47">
        <v>46</v>
      </c>
      <c r="T51" s="47">
        <v>4</v>
      </c>
      <c r="U51" s="47">
        <v>21</v>
      </c>
      <c r="V51" s="47">
        <v>7</v>
      </c>
      <c r="W51" s="47">
        <v>74</v>
      </c>
      <c r="X51" s="47">
        <v>6</v>
      </c>
      <c r="Y51" s="47">
        <v>57</v>
      </c>
      <c r="Z51" s="47">
        <v>43</v>
      </c>
      <c r="AA51" s="47">
        <v>594</v>
      </c>
      <c r="AB51" s="76">
        <f t="shared" si="0"/>
        <v>13.813953488372093</v>
      </c>
      <c r="AC51" s="76">
        <f t="shared" si="1"/>
        <v>0.15886600695373093</v>
      </c>
      <c r="AD51" s="47">
        <v>3739</v>
      </c>
    </row>
    <row r="52" spans="1:30" ht="15.75" thickBot="1" x14ac:dyDescent="0.3">
      <c r="A52" s="44" t="s">
        <v>1407</v>
      </c>
      <c r="B52" s="48" t="s">
        <v>1408</v>
      </c>
      <c r="C52" s="44" t="s">
        <v>817</v>
      </c>
      <c r="D52" s="47">
        <v>0</v>
      </c>
      <c r="E52" s="47">
        <v>0</v>
      </c>
      <c r="F52" s="47">
        <v>0</v>
      </c>
      <c r="G52" s="47">
        <v>0</v>
      </c>
      <c r="H52" s="47">
        <v>0</v>
      </c>
      <c r="I52" s="47">
        <v>0</v>
      </c>
      <c r="J52" s="47">
        <v>0</v>
      </c>
      <c r="K52" s="47">
        <v>0</v>
      </c>
      <c r="L52" s="47">
        <v>1</v>
      </c>
      <c r="M52" s="47">
        <v>0</v>
      </c>
      <c r="N52" s="47">
        <v>1</v>
      </c>
      <c r="O52" s="47">
        <v>0</v>
      </c>
      <c r="P52" s="47">
        <v>0</v>
      </c>
      <c r="Q52" s="44" t="s">
        <v>1644</v>
      </c>
      <c r="R52" s="47">
        <v>0</v>
      </c>
      <c r="S52" s="47">
        <v>0</v>
      </c>
      <c r="T52" s="47">
        <v>0</v>
      </c>
      <c r="U52" s="47">
        <v>0</v>
      </c>
      <c r="V52" s="47">
        <v>0</v>
      </c>
      <c r="W52" s="47">
        <v>0</v>
      </c>
      <c r="X52" s="47">
        <v>0</v>
      </c>
      <c r="Y52" s="47">
        <v>0</v>
      </c>
      <c r="Z52" s="47">
        <v>0</v>
      </c>
      <c r="AA52" s="47">
        <v>0</v>
      </c>
      <c r="AB52" s="76">
        <v>0</v>
      </c>
      <c r="AC52" s="76">
        <f t="shared" si="1"/>
        <v>0</v>
      </c>
      <c r="AD52" s="47">
        <v>1508</v>
      </c>
    </row>
    <row r="53" spans="1:30" ht="15.75" thickBot="1" x14ac:dyDescent="0.3">
      <c r="A53" s="44" t="s">
        <v>1409</v>
      </c>
      <c r="B53" s="48" t="s">
        <v>1410</v>
      </c>
      <c r="C53" s="44" t="s">
        <v>817</v>
      </c>
      <c r="D53" s="47">
        <v>23</v>
      </c>
      <c r="E53" s="47">
        <v>853</v>
      </c>
      <c r="F53" s="47">
        <v>1</v>
      </c>
      <c r="G53" s="47">
        <v>15</v>
      </c>
      <c r="H53" s="47">
        <v>1</v>
      </c>
      <c r="I53" s="47">
        <v>45</v>
      </c>
      <c r="J53" s="47">
        <v>0</v>
      </c>
      <c r="K53" s="47">
        <v>0</v>
      </c>
      <c r="L53" s="47">
        <v>0</v>
      </c>
      <c r="M53" s="47">
        <v>0</v>
      </c>
      <c r="N53" s="47">
        <v>0</v>
      </c>
      <c r="O53" s="47">
        <v>24</v>
      </c>
      <c r="P53" s="47">
        <v>898</v>
      </c>
      <c r="Q53" s="44" t="s">
        <v>1643</v>
      </c>
      <c r="R53" s="47">
        <v>12</v>
      </c>
      <c r="S53" s="47">
        <v>14</v>
      </c>
      <c r="T53" s="47">
        <v>1</v>
      </c>
      <c r="U53" s="47">
        <v>15</v>
      </c>
      <c r="V53" s="47">
        <v>19</v>
      </c>
      <c r="W53" s="47">
        <v>301</v>
      </c>
      <c r="X53" s="47">
        <v>8</v>
      </c>
      <c r="Y53" s="47">
        <v>305</v>
      </c>
      <c r="Z53" s="47">
        <v>52</v>
      </c>
      <c r="AA53" s="47">
        <v>1519</v>
      </c>
      <c r="AB53" s="76">
        <f t="shared" si="0"/>
        <v>29.21153846153846</v>
      </c>
      <c r="AC53" s="76">
        <f t="shared" si="1"/>
        <v>0.4071294559099437</v>
      </c>
      <c r="AD53" s="47">
        <v>3731</v>
      </c>
    </row>
    <row r="54" spans="1:30" ht="15.75" thickBot="1" x14ac:dyDescent="0.3">
      <c r="A54" s="44" t="s">
        <v>1413</v>
      </c>
      <c r="B54" s="48" t="s">
        <v>1414</v>
      </c>
      <c r="C54" s="44" t="s">
        <v>817</v>
      </c>
      <c r="D54" s="47">
        <v>20</v>
      </c>
      <c r="E54" s="47">
        <v>176</v>
      </c>
      <c r="F54" s="47">
        <v>0</v>
      </c>
      <c r="G54" s="47">
        <v>0</v>
      </c>
      <c r="H54" s="47">
        <v>4</v>
      </c>
      <c r="I54" s="47">
        <v>205</v>
      </c>
      <c r="J54" s="47">
        <v>0</v>
      </c>
      <c r="K54" s="47">
        <v>0</v>
      </c>
      <c r="L54" s="47">
        <v>65</v>
      </c>
      <c r="M54" s="47">
        <v>0</v>
      </c>
      <c r="N54" s="47">
        <v>65</v>
      </c>
      <c r="O54" s="47">
        <v>24</v>
      </c>
      <c r="P54" s="47">
        <v>381</v>
      </c>
      <c r="Q54" s="44" t="s">
        <v>1643</v>
      </c>
      <c r="R54" s="47">
        <v>24</v>
      </c>
      <c r="S54" s="47">
        <v>381</v>
      </c>
      <c r="T54" s="47">
        <v>0</v>
      </c>
      <c r="U54" s="47">
        <v>0</v>
      </c>
      <c r="V54" s="47">
        <v>17</v>
      </c>
      <c r="W54" s="47">
        <v>70</v>
      </c>
      <c r="X54" s="47">
        <v>13</v>
      </c>
      <c r="Y54" s="47">
        <v>713</v>
      </c>
      <c r="Z54" s="47">
        <v>54</v>
      </c>
      <c r="AA54" s="47">
        <v>1164</v>
      </c>
      <c r="AB54" s="76">
        <f t="shared" si="0"/>
        <v>21.555555555555557</v>
      </c>
      <c r="AC54" s="76">
        <f t="shared" si="1"/>
        <v>0.31682090364725096</v>
      </c>
      <c r="AD54" s="47">
        <v>3674</v>
      </c>
    </row>
    <row r="55" spans="1:30" ht="15.75" thickBot="1" x14ac:dyDescent="0.3">
      <c r="A55" s="44" t="s">
        <v>1415</v>
      </c>
      <c r="B55" s="48" t="s">
        <v>1416</v>
      </c>
      <c r="C55" s="44" t="s">
        <v>817</v>
      </c>
      <c r="D55" s="47">
        <v>2</v>
      </c>
      <c r="E55" s="47">
        <v>10</v>
      </c>
      <c r="F55" s="47">
        <v>0</v>
      </c>
      <c r="G55" s="47">
        <v>0</v>
      </c>
      <c r="H55" s="47">
        <v>8</v>
      </c>
      <c r="I55" s="47">
        <v>196</v>
      </c>
      <c r="J55" s="47">
        <v>2</v>
      </c>
      <c r="K55" s="47">
        <v>29</v>
      </c>
      <c r="L55" s="47">
        <v>56</v>
      </c>
      <c r="M55" s="47">
        <v>13</v>
      </c>
      <c r="N55" s="47">
        <v>69</v>
      </c>
      <c r="O55" s="47">
        <v>10</v>
      </c>
      <c r="P55" s="47">
        <v>206</v>
      </c>
      <c r="Q55" s="44" t="s">
        <v>1643</v>
      </c>
      <c r="R55" s="47">
        <v>10</v>
      </c>
      <c r="S55" s="47">
        <v>206</v>
      </c>
      <c r="T55" s="47">
        <v>2</v>
      </c>
      <c r="U55" s="47">
        <v>29</v>
      </c>
      <c r="V55" s="47">
        <v>3</v>
      </c>
      <c r="W55" s="47">
        <v>40</v>
      </c>
      <c r="X55" s="47">
        <v>10</v>
      </c>
      <c r="Y55" s="47">
        <v>99</v>
      </c>
      <c r="Z55" s="47">
        <v>25</v>
      </c>
      <c r="AA55" s="47">
        <v>374</v>
      </c>
      <c r="AB55" s="76">
        <f t="shared" si="0"/>
        <v>14.96</v>
      </c>
      <c r="AC55" s="76">
        <f t="shared" si="1"/>
        <v>0.42403628117913833</v>
      </c>
      <c r="AD55" s="47">
        <v>882</v>
      </c>
    </row>
    <row r="56" spans="1:30" ht="15.75" thickBot="1" x14ac:dyDescent="0.3">
      <c r="A56" s="44" t="s">
        <v>1459</v>
      </c>
      <c r="B56" s="48" t="s">
        <v>1460</v>
      </c>
      <c r="C56" s="44" t="s">
        <v>817</v>
      </c>
      <c r="D56" s="47">
        <v>76</v>
      </c>
      <c r="E56" s="47">
        <v>2912</v>
      </c>
      <c r="F56" s="47">
        <v>19</v>
      </c>
      <c r="G56" s="47">
        <v>136</v>
      </c>
      <c r="H56" s="47">
        <v>34</v>
      </c>
      <c r="I56" s="47">
        <v>923</v>
      </c>
      <c r="J56" s="47">
        <v>5</v>
      </c>
      <c r="K56" s="47">
        <v>91</v>
      </c>
      <c r="L56" s="47">
        <v>229</v>
      </c>
      <c r="M56" s="47">
        <v>56</v>
      </c>
      <c r="N56" s="47">
        <v>285</v>
      </c>
      <c r="O56" s="47">
        <v>110</v>
      </c>
      <c r="P56" s="47">
        <v>3835</v>
      </c>
      <c r="Q56" s="44" t="s">
        <v>1643</v>
      </c>
      <c r="R56" s="47">
        <v>67</v>
      </c>
      <c r="S56" s="47">
        <v>1011</v>
      </c>
      <c r="T56" s="47">
        <v>24</v>
      </c>
      <c r="U56" s="47">
        <v>227</v>
      </c>
      <c r="V56" s="47">
        <v>21</v>
      </c>
      <c r="W56" s="47">
        <v>502</v>
      </c>
      <c r="X56" s="47">
        <v>14</v>
      </c>
      <c r="Y56" s="47">
        <v>592</v>
      </c>
      <c r="Z56" s="47">
        <v>169</v>
      </c>
      <c r="AA56" s="47">
        <v>5156</v>
      </c>
      <c r="AB56" s="76">
        <f t="shared" si="0"/>
        <v>30.508875739644971</v>
      </c>
      <c r="AC56" s="76">
        <f t="shared" si="1"/>
        <v>1.3658278145695364</v>
      </c>
      <c r="AD56" s="47">
        <v>3775</v>
      </c>
    </row>
    <row r="57" spans="1:30" ht="15.75" thickBot="1" x14ac:dyDescent="0.3">
      <c r="A57" s="44" t="s">
        <v>1465</v>
      </c>
      <c r="B57" s="48" t="s">
        <v>1466</v>
      </c>
      <c r="C57" s="44" t="s">
        <v>817</v>
      </c>
      <c r="D57" s="47">
        <v>10</v>
      </c>
      <c r="E57" s="47">
        <v>37</v>
      </c>
      <c r="F57" s="47">
        <v>10</v>
      </c>
      <c r="G57" s="47">
        <v>25</v>
      </c>
      <c r="H57" s="47">
        <v>20</v>
      </c>
      <c r="I57" s="47">
        <v>300</v>
      </c>
      <c r="J57" s="47">
        <v>11</v>
      </c>
      <c r="K57" s="47">
        <v>120</v>
      </c>
      <c r="L57" s="47">
        <v>25</v>
      </c>
      <c r="M57" s="47">
        <v>10</v>
      </c>
      <c r="N57" s="47">
        <v>35</v>
      </c>
      <c r="O57" s="47">
        <v>30</v>
      </c>
      <c r="P57" s="47">
        <v>337</v>
      </c>
      <c r="Q57" s="44" t="s">
        <v>1643</v>
      </c>
      <c r="R57" s="47">
        <v>10</v>
      </c>
      <c r="S57" s="47">
        <v>22</v>
      </c>
      <c r="T57" s="47">
        <v>21</v>
      </c>
      <c r="U57" s="47">
        <v>145</v>
      </c>
      <c r="V57" s="47">
        <v>8</v>
      </c>
      <c r="W57" s="47">
        <v>90</v>
      </c>
      <c r="X57" s="47">
        <v>12</v>
      </c>
      <c r="Y57" s="47">
        <v>200</v>
      </c>
      <c r="Z57" s="47">
        <v>71</v>
      </c>
      <c r="AA57" s="47">
        <v>772</v>
      </c>
      <c r="AB57" s="76">
        <f t="shared" si="0"/>
        <v>10.873239436619718</v>
      </c>
      <c r="AC57" s="76">
        <f t="shared" si="1"/>
        <v>0.24601657106437222</v>
      </c>
      <c r="AD57" s="47">
        <v>3138</v>
      </c>
    </row>
    <row r="58" spans="1:30" ht="15.75" thickBot="1" x14ac:dyDescent="0.3">
      <c r="A58" s="44" t="s">
        <v>1476</v>
      </c>
      <c r="B58" s="48" t="s">
        <v>1477</v>
      </c>
      <c r="C58" s="44" t="s">
        <v>817</v>
      </c>
      <c r="D58" s="47">
        <v>22</v>
      </c>
      <c r="E58" s="47">
        <v>259</v>
      </c>
      <c r="F58" s="47">
        <v>0</v>
      </c>
      <c r="G58" s="47">
        <v>0</v>
      </c>
      <c r="H58" s="47">
        <v>6</v>
      </c>
      <c r="I58" s="47">
        <v>93</v>
      </c>
      <c r="J58" s="47">
        <v>0</v>
      </c>
      <c r="K58" s="47">
        <v>0</v>
      </c>
      <c r="L58" s="47">
        <v>35</v>
      </c>
      <c r="M58" s="44">
        <v>0</v>
      </c>
      <c r="N58" s="47">
        <v>35</v>
      </c>
      <c r="O58" s="47">
        <v>28</v>
      </c>
      <c r="P58" s="47">
        <v>352</v>
      </c>
      <c r="Q58" s="44" t="s">
        <v>1644</v>
      </c>
      <c r="R58" s="47">
        <v>0</v>
      </c>
      <c r="S58" s="47">
        <v>0</v>
      </c>
      <c r="T58" s="47">
        <v>0</v>
      </c>
      <c r="U58" s="47">
        <v>0</v>
      </c>
      <c r="V58" s="47">
        <v>7</v>
      </c>
      <c r="W58" s="47">
        <v>98</v>
      </c>
      <c r="X58" s="47">
        <v>2</v>
      </c>
      <c r="Y58" s="47">
        <v>34</v>
      </c>
      <c r="Z58" s="47">
        <v>37</v>
      </c>
      <c r="AA58" s="47">
        <v>484</v>
      </c>
      <c r="AB58" s="76">
        <f t="shared" si="0"/>
        <v>13.081081081081081</v>
      </c>
      <c r="AC58" s="76">
        <f t="shared" si="1"/>
        <v>0.1411901983663944</v>
      </c>
      <c r="AD58" s="47">
        <v>3428</v>
      </c>
    </row>
    <row r="59" spans="1:30" ht="15.75" thickBot="1" x14ac:dyDescent="0.3">
      <c r="A59" s="44" t="s">
        <v>1478</v>
      </c>
      <c r="B59" s="48" t="s">
        <v>1479</v>
      </c>
      <c r="C59" s="44" t="s">
        <v>817</v>
      </c>
      <c r="D59" s="47">
        <v>2</v>
      </c>
      <c r="E59" s="47">
        <v>9</v>
      </c>
      <c r="F59" s="47">
        <v>0</v>
      </c>
      <c r="G59" s="47">
        <v>0</v>
      </c>
      <c r="H59" s="47">
        <v>2</v>
      </c>
      <c r="I59" s="47">
        <v>9</v>
      </c>
      <c r="J59" s="44">
        <v>0</v>
      </c>
      <c r="K59" s="44">
        <v>0</v>
      </c>
      <c r="L59" s="47">
        <v>14</v>
      </c>
      <c r="M59" s="47">
        <v>4</v>
      </c>
      <c r="N59" s="47">
        <v>18</v>
      </c>
      <c r="O59" s="47">
        <v>4</v>
      </c>
      <c r="P59" s="47">
        <v>18</v>
      </c>
      <c r="Q59" s="44" t="s">
        <v>1644</v>
      </c>
      <c r="R59" s="47">
        <v>0</v>
      </c>
      <c r="S59" s="47">
        <v>0</v>
      </c>
      <c r="T59" s="47">
        <v>0</v>
      </c>
      <c r="U59" s="47">
        <v>0</v>
      </c>
      <c r="V59" s="47">
        <v>49</v>
      </c>
      <c r="W59" s="47">
        <v>286</v>
      </c>
      <c r="X59" s="47">
        <v>31</v>
      </c>
      <c r="Y59" s="47">
        <v>445</v>
      </c>
      <c r="Z59" s="47">
        <v>84</v>
      </c>
      <c r="AA59" s="47">
        <v>749</v>
      </c>
      <c r="AB59" s="76">
        <f t="shared" si="0"/>
        <v>8.9166666666666661</v>
      </c>
      <c r="AC59" s="76">
        <f t="shared" si="1"/>
        <v>0.38768115942028986</v>
      </c>
      <c r="AD59" s="47">
        <v>1932</v>
      </c>
    </row>
    <row r="60" spans="1:30" ht="15.75" thickBot="1" x14ac:dyDescent="0.3">
      <c r="A60" s="44" t="s">
        <v>1500</v>
      </c>
      <c r="B60" s="48" t="s">
        <v>1501</v>
      </c>
      <c r="C60" s="44" t="s">
        <v>817</v>
      </c>
      <c r="D60" s="47">
        <v>4</v>
      </c>
      <c r="E60" s="47">
        <v>106</v>
      </c>
      <c r="F60" s="47">
        <v>0</v>
      </c>
      <c r="G60" s="47">
        <v>0</v>
      </c>
      <c r="H60" s="47">
        <v>7</v>
      </c>
      <c r="I60" s="47">
        <v>330</v>
      </c>
      <c r="J60" s="47">
        <v>0</v>
      </c>
      <c r="K60" s="47">
        <v>0</v>
      </c>
      <c r="L60" s="47">
        <v>73</v>
      </c>
      <c r="M60" s="47">
        <v>0</v>
      </c>
      <c r="N60" s="47">
        <v>73</v>
      </c>
      <c r="O60" s="47">
        <v>11</v>
      </c>
      <c r="P60" s="47">
        <v>436</v>
      </c>
      <c r="Q60" s="44" t="s">
        <v>1644</v>
      </c>
      <c r="R60" s="47">
        <v>1</v>
      </c>
      <c r="S60" s="47">
        <v>7</v>
      </c>
      <c r="T60" s="47">
        <v>0</v>
      </c>
      <c r="U60" s="47">
        <v>0</v>
      </c>
      <c r="V60" s="47">
        <v>0</v>
      </c>
      <c r="W60" s="47">
        <v>0</v>
      </c>
      <c r="X60" s="47">
        <v>1</v>
      </c>
      <c r="Y60" s="47">
        <v>76</v>
      </c>
      <c r="Z60" s="47">
        <v>12</v>
      </c>
      <c r="AA60" s="47">
        <v>512</v>
      </c>
      <c r="AB60" s="76">
        <f t="shared" si="0"/>
        <v>42.666666666666664</v>
      </c>
      <c r="AC60" s="76">
        <f t="shared" si="1"/>
        <v>0.21449518223711772</v>
      </c>
      <c r="AD60" s="47">
        <v>2387</v>
      </c>
    </row>
    <row r="61" spans="1:30" ht="15.75" thickBot="1" x14ac:dyDescent="0.3">
      <c r="A61" s="44" t="s">
        <v>1518</v>
      </c>
      <c r="B61" s="48" t="s">
        <v>1519</v>
      </c>
      <c r="C61" s="44" t="s">
        <v>817</v>
      </c>
      <c r="D61" s="47">
        <v>1</v>
      </c>
      <c r="E61" s="47">
        <v>9</v>
      </c>
      <c r="F61" s="47">
        <v>0</v>
      </c>
      <c r="G61" s="47">
        <v>0</v>
      </c>
      <c r="H61" s="47">
        <v>5</v>
      </c>
      <c r="I61" s="47">
        <v>74</v>
      </c>
      <c r="J61" s="47">
        <v>0</v>
      </c>
      <c r="K61" s="47">
        <v>0</v>
      </c>
      <c r="L61" s="47">
        <v>18</v>
      </c>
      <c r="M61" s="44">
        <v>0</v>
      </c>
      <c r="N61" s="47">
        <v>18</v>
      </c>
      <c r="O61" s="47">
        <v>6</v>
      </c>
      <c r="P61" s="47">
        <v>83</v>
      </c>
      <c r="Q61" s="44" t="s">
        <v>1643</v>
      </c>
      <c r="R61" s="47">
        <v>1</v>
      </c>
      <c r="S61" s="47">
        <v>9</v>
      </c>
      <c r="T61" s="47">
        <v>0</v>
      </c>
      <c r="U61" s="47">
        <v>0</v>
      </c>
      <c r="V61" s="47">
        <v>34</v>
      </c>
      <c r="W61" s="47">
        <v>393</v>
      </c>
      <c r="X61" s="47">
        <v>0</v>
      </c>
      <c r="Y61" s="47">
        <v>0</v>
      </c>
      <c r="Z61" s="47">
        <v>40</v>
      </c>
      <c r="AA61" s="47">
        <v>476</v>
      </c>
      <c r="AB61" s="76">
        <f t="shared" si="0"/>
        <v>11.9</v>
      </c>
      <c r="AC61" s="76">
        <f t="shared" si="1"/>
        <v>0.25413774693005875</v>
      </c>
      <c r="AD61" s="47">
        <v>1873</v>
      </c>
    </row>
    <row r="62" spans="1:30" ht="15.75" thickBot="1" x14ac:dyDescent="0.3">
      <c r="A62" s="44" t="s">
        <v>1536</v>
      </c>
      <c r="B62" s="48" t="s">
        <v>1537</v>
      </c>
      <c r="C62" s="44" t="s">
        <v>817</v>
      </c>
      <c r="D62" s="47">
        <v>0</v>
      </c>
      <c r="E62" s="47">
        <v>0</v>
      </c>
      <c r="F62" s="47">
        <v>0</v>
      </c>
      <c r="G62" s="47">
        <v>0</v>
      </c>
      <c r="H62" s="47">
        <v>6</v>
      </c>
      <c r="I62" s="47">
        <v>300</v>
      </c>
      <c r="J62" s="47">
        <v>0</v>
      </c>
      <c r="K62" s="47">
        <v>0</v>
      </c>
      <c r="L62" s="47">
        <v>0</v>
      </c>
      <c r="M62" s="44">
        <v>0</v>
      </c>
      <c r="N62" s="47">
        <v>0</v>
      </c>
      <c r="O62" s="47">
        <v>6</v>
      </c>
      <c r="P62" s="47">
        <v>300</v>
      </c>
      <c r="Q62" s="44" t="s">
        <v>1644</v>
      </c>
      <c r="R62" s="47">
        <v>0</v>
      </c>
      <c r="S62" s="47">
        <v>0</v>
      </c>
      <c r="T62" s="47">
        <v>0</v>
      </c>
      <c r="U62" s="47">
        <v>0</v>
      </c>
      <c r="V62" s="47">
        <v>0</v>
      </c>
      <c r="W62" s="47">
        <v>0</v>
      </c>
      <c r="X62" s="47">
        <v>1</v>
      </c>
      <c r="Y62" s="47">
        <v>65</v>
      </c>
      <c r="Z62" s="47">
        <v>7</v>
      </c>
      <c r="AA62" s="47">
        <v>365</v>
      </c>
      <c r="AB62" s="76">
        <f t="shared" si="0"/>
        <v>52.142857142857146</v>
      </c>
      <c r="AC62" s="76">
        <f t="shared" si="1"/>
        <v>0.22094430992736078</v>
      </c>
      <c r="AD62" s="47">
        <v>1652</v>
      </c>
    </row>
    <row r="63" spans="1:30" ht="15.75" thickBot="1" x14ac:dyDescent="0.3">
      <c r="A63" s="44" t="s">
        <v>1548</v>
      </c>
      <c r="B63" s="48" t="s">
        <v>1549</v>
      </c>
      <c r="C63" s="44" t="s">
        <v>817</v>
      </c>
      <c r="D63" s="47">
        <v>78</v>
      </c>
      <c r="E63" s="47">
        <v>624</v>
      </c>
      <c r="F63" s="47">
        <v>0</v>
      </c>
      <c r="G63" s="47">
        <v>0</v>
      </c>
      <c r="H63" s="47">
        <v>18</v>
      </c>
      <c r="I63" s="47">
        <v>660</v>
      </c>
      <c r="J63" s="47">
        <v>0</v>
      </c>
      <c r="K63" s="47">
        <v>0</v>
      </c>
      <c r="L63" s="47">
        <v>50</v>
      </c>
      <c r="M63" s="47">
        <v>0</v>
      </c>
      <c r="N63" s="47">
        <v>50</v>
      </c>
      <c r="O63" s="47">
        <v>96</v>
      </c>
      <c r="P63" s="47">
        <v>1284</v>
      </c>
      <c r="Q63" s="44" t="s">
        <v>1643</v>
      </c>
      <c r="R63" s="47">
        <v>52</v>
      </c>
      <c r="S63" s="47">
        <v>127</v>
      </c>
      <c r="T63" s="47">
        <v>0</v>
      </c>
      <c r="U63" s="47">
        <v>0</v>
      </c>
      <c r="V63" s="47">
        <v>14</v>
      </c>
      <c r="W63" s="47">
        <v>185</v>
      </c>
      <c r="X63" s="47">
        <v>0</v>
      </c>
      <c r="Y63" s="47">
        <v>0</v>
      </c>
      <c r="Z63" s="47">
        <v>110</v>
      </c>
      <c r="AA63" s="47">
        <v>1469</v>
      </c>
      <c r="AB63" s="76">
        <f t="shared" si="0"/>
        <v>13.354545454545455</v>
      </c>
      <c r="AC63" s="76">
        <f t="shared" si="1"/>
        <v>0.37715019255455712</v>
      </c>
      <c r="AD63" s="47">
        <v>3895</v>
      </c>
    </row>
    <row r="64" spans="1:30" ht="15.75" thickBot="1" x14ac:dyDescent="0.3">
      <c r="A64" s="44" t="s">
        <v>1554</v>
      </c>
      <c r="B64" s="48" t="s">
        <v>1555</v>
      </c>
      <c r="C64" s="44" t="s">
        <v>817</v>
      </c>
      <c r="D64" s="47">
        <v>19</v>
      </c>
      <c r="E64" s="47">
        <v>223</v>
      </c>
      <c r="F64" s="47">
        <v>0</v>
      </c>
      <c r="G64" s="47">
        <v>0</v>
      </c>
      <c r="H64" s="47">
        <v>7</v>
      </c>
      <c r="I64" s="47">
        <v>81</v>
      </c>
      <c r="J64" s="47">
        <v>0</v>
      </c>
      <c r="K64" s="47">
        <v>0</v>
      </c>
      <c r="L64" s="47">
        <v>33</v>
      </c>
      <c r="M64" s="44">
        <v>0</v>
      </c>
      <c r="N64" s="47">
        <v>33</v>
      </c>
      <c r="O64" s="47">
        <v>26</v>
      </c>
      <c r="P64" s="47">
        <v>304</v>
      </c>
      <c r="Q64" s="44" t="s">
        <v>1643</v>
      </c>
      <c r="R64" s="47">
        <v>10</v>
      </c>
      <c r="S64" s="47">
        <v>91</v>
      </c>
      <c r="T64" s="47">
        <v>0</v>
      </c>
      <c r="U64" s="47">
        <v>0</v>
      </c>
      <c r="V64" s="47">
        <v>10</v>
      </c>
      <c r="W64" s="47">
        <v>63</v>
      </c>
      <c r="X64" s="47">
        <v>42</v>
      </c>
      <c r="Y64" s="47">
        <v>48</v>
      </c>
      <c r="Z64" s="47">
        <v>78</v>
      </c>
      <c r="AA64" s="47">
        <v>415</v>
      </c>
      <c r="AB64" s="76">
        <f t="shared" si="0"/>
        <v>5.3205128205128203</v>
      </c>
      <c r="AC64" s="76">
        <f t="shared" si="1"/>
        <v>0.1924860853432282</v>
      </c>
      <c r="AD64" s="47">
        <v>2156</v>
      </c>
    </row>
    <row r="65" spans="1:30" ht="15.75" thickBot="1" x14ac:dyDescent="0.3">
      <c r="A65" s="44" t="s">
        <v>1556</v>
      </c>
      <c r="B65" s="48" t="s">
        <v>1557</v>
      </c>
      <c r="C65" s="44" t="s">
        <v>817</v>
      </c>
      <c r="D65" s="47">
        <v>96</v>
      </c>
      <c r="E65" s="47">
        <v>853</v>
      </c>
      <c r="F65" s="47">
        <v>11</v>
      </c>
      <c r="G65" s="47">
        <v>18</v>
      </c>
      <c r="H65" s="47">
        <v>30</v>
      </c>
      <c r="I65" s="47">
        <v>416</v>
      </c>
      <c r="J65" s="47">
        <v>0</v>
      </c>
      <c r="K65" s="47">
        <v>0</v>
      </c>
      <c r="L65" s="47">
        <v>15</v>
      </c>
      <c r="M65" s="44">
        <v>0</v>
      </c>
      <c r="N65" s="47">
        <v>15</v>
      </c>
      <c r="O65" s="47">
        <v>126</v>
      </c>
      <c r="P65" s="47">
        <v>1269</v>
      </c>
      <c r="Q65" s="44" t="s">
        <v>1643</v>
      </c>
      <c r="R65" s="47">
        <v>17</v>
      </c>
      <c r="S65" s="47">
        <v>190</v>
      </c>
      <c r="T65" s="47">
        <v>11</v>
      </c>
      <c r="U65" s="47">
        <v>18</v>
      </c>
      <c r="V65" s="47">
        <v>29</v>
      </c>
      <c r="W65" s="47">
        <v>226</v>
      </c>
      <c r="X65" s="47">
        <v>2</v>
      </c>
      <c r="Y65" s="47">
        <v>168</v>
      </c>
      <c r="Z65" s="47">
        <v>168</v>
      </c>
      <c r="AA65" s="47">
        <v>1681</v>
      </c>
      <c r="AB65" s="76">
        <f t="shared" si="0"/>
        <v>10.005952380952381</v>
      </c>
      <c r="AC65" s="76">
        <f t="shared" si="1"/>
        <v>0.67919191919191924</v>
      </c>
      <c r="AD65" s="47">
        <v>2475</v>
      </c>
    </row>
    <row r="66" spans="1:30" ht="15.75" thickBot="1" x14ac:dyDescent="0.3">
      <c r="A66" s="44" t="s">
        <v>1558</v>
      </c>
      <c r="B66" s="48" t="s">
        <v>1559</v>
      </c>
      <c r="C66" s="44" t="s">
        <v>817</v>
      </c>
      <c r="D66" s="47">
        <v>0</v>
      </c>
      <c r="E66" s="47">
        <v>0</v>
      </c>
      <c r="F66" s="47">
        <v>0</v>
      </c>
      <c r="G66" s="47">
        <v>0</v>
      </c>
      <c r="H66" s="47">
        <v>8</v>
      </c>
      <c r="I66" s="47">
        <v>62</v>
      </c>
      <c r="J66" s="47">
        <v>0</v>
      </c>
      <c r="K66" s="47">
        <v>0</v>
      </c>
      <c r="L66" s="47">
        <v>0</v>
      </c>
      <c r="M66" s="47">
        <v>0</v>
      </c>
      <c r="N66" s="47">
        <v>0</v>
      </c>
      <c r="O66" s="47">
        <v>8</v>
      </c>
      <c r="P66" s="47">
        <v>62</v>
      </c>
      <c r="Q66" s="44" t="s">
        <v>1644</v>
      </c>
      <c r="R66" s="47">
        <v>0</v>
      </c>
      <c r="S66" s="47">
        <v>0</v>
      </c>
      <c r="T66" s="47">
        <v>0</v>
      </c>
      <c r="U66" s="47">
        <v>0</v>
      </c>
      <c r="V66" s="47">
        <v>1</v>
      </c>
      <c r="W66" s="47">
        <v>4</v>
      </c>
      <c r="X66" s="47">
        <v>0</v>
      </c>
      <c r="Y66" s="47">
        <v>0</v>
      </c>
      <c r="Z66" s="47">
        <v>9</v>
      </c>
      <c r="AA66" s="47">
        <v>66</v>
      </c>
      <c r="AB66" s="76">
        <f t="shared" si="0"/>
        <v>7.333333333333333</v>
      </c>
      <c r="AC66" s="76">
        <f t="shared" si="1"/>
        <v>3.3536585365853661E-2</v>
      </c>
      <c r="AD66" s="47">
        <v>1968</v>
      </c>
    </row>
    <row r="67" spans="1:30" ht="15.75" thickBot="1" x14ac:dyDescent="0.3">
      <c r="A67" s="44" t="s">
        <v>1568</v>
      </c>
      <c r="B67" s="48" t="s">
        <v>1569</v>
      </c>
      <c r="C67" s="44" t="s">
        <v>817</v>
      </c>
      <c r="D67" s="47">
        <v>4</v>
      </c>
      <c r="E67" s="47">
        <v>254</v>
      </c>
      <c r="F67" s="47">
        <v>2</v>
      </c>
      <c r="G67" s="47">
        <v>36</v>
      </c>
      <c r="H67" s="47">
        <v>2</v>
      </c>
      <c r="I67" s="47">
        <v>12</v>
      </c>
      <c r="J67" s="47">
        <v>1</v>
      </c>
      <c r="K67" s="47">
        <v>4</v>
      </c>
      <c r="L67" s="47">
        <v>35</v>
      </c>
      <c r="M67" s="47">
        <v>15</v>
      </c>
      <c r="N67" s="47">
        <v>50</v>
      </c>
      <c r="O67" s="47">
        <v>6</v>
      </c>
      <c r="P67" s="47">
        <v>266</v>
      </c>
      <c r="Q67" s="44" t="s">
        <v>1643</v>
      </c>
      <c r="R67" s="47">
        <v>1</v>
      </c>
      <c r="S67" s="47">
        <v>1</v>
      </c>
      <c r="T67" s="47">
        <v>3</v>
      </c>
      <c r="U67" s="47">
        <v>40</v>
      </c>
      <c r="V67" s="47">
        <v>2</v>
      </c>
      <c r="W67" s="47">
        <v>139</v>
      </c>
      <c r="X67" s="47">
        <v>0</v>
      </c>
      <c r="Y67" s="47">
        <v>0</v>
      </c>
      <c r="Z67" s="47">
        <v>11</v>
      </c>
      <c r="AA67" s="47">
        <v>445</v>
      </c>
      <c r="AB67" s="76">
        <f t="shared" si="0"/>
        <v>40.454545454545453</v>
      </c>
      <c r="AC67" s="76">
        <f t="shared" si="1"/>
        <v>0.20208900999091733</v>
      </c>
      <c r="AD67" s="47">
        <v>2202</v>
      </c>
    </row>
    <row r="68" spans="1:30" ht="15.75" thickBot="1" x14ac:dyDescent="0.3">
      <c r="A68" s="44" t="s">
        <v>1580</v>
      </c>
      <c r="B68" s="48" t="s">
        <v>1581</v>
      </c>
      <c r="C68" s="44" t="s">
        <v>817</v>
      </c>
      <c r="D68" s="47">
        <v>6</v>
      </c>
      <c r="E68" s="47">
        <v>72</v>
      </c>
      <c r="F68" s="47">
        <v>0</v>
      </c>
      <c r="G68" s="47">
        <v>0</v>
      </c>
      <c r="H68" s="47">
        <v>6</v>
      </c>
      <c r="I68" s="47">
        <v>45</v>
      </c>
      <c r="J68" s="47">
        <v>0</v>
      </c>
      <c r="K68" s="47">
        <v>0</v>
      </c>
      <c r="L68" s="47">
        <v>0</v>
      </c>
      <c r="M68" s="47">
        <v>0</v>
      </c>
      <c r="N68" s="47">
        <v>0</v>
      </c>
      <c r="O68" s="47">
        <v>12</v>
      </c>
      <c r="P68" s="47">
        <v>117</v>
      </c>
      <c r="Q68" s="44" t="s">
        <v>1644</v>
      </c>
      <c r="R68" s="47">
        <v>0</v>
      </c>
      <c r="S68" s="47">
        <v>0</v>
      </c>
      <c r="T68" s="47">
        <v>0</v>
      </c>
      <c r="U68" s="47">
        <v>0</v>
      </c>
      <c r="V68" s="47">
        <v>0</v>
      </c>
      <c r="W68" s="47">
        <v>0</v>
      </c>
      <c r="X68" s="47">
        <v>0</v>
      </c>
      <c r="Y68" s="47">
        <v>0</v>
      </c>
      <c r="Z68" s="47">
        <v>12</v>
      </c>
      <c r="AA68" s="47">
        <v>117</v>
      </c>
      <c r="AB68" s="76">
        <f t="shared" si="0"/>
        <v>9.75</v>
      </c>
      <c r="AC68" s="76">
        <f t="shared" si="1"/>
        <v>4.0164778578784761E-2</v>
      </c>
      <c r="AD68" s="47">
        <v>2913</v>
      </c>
    </row>
    <row r="69" spans="1:30" ht="15.75" thickBot="1" x14ac:dyDescent="0.3">
      <c r="A69" s="44" t="s">
        <v>1592</v>
      </c>
      <c r="B69" s="48" t="s">
        <v>1593</v>
      </c>
      <c r="C69" s="44" t="s">
        <v>817</v>
      </c>
      <c r="D69" s="47">
        <v>2</v>
      </c>
      <c r="E69" s="47">
        <v>28</v>
      </c>
      <c r="F69" s="47">
        <v>0</v>
      </c>
      <c r="G69" s="47">
        <v>0</v>
      </c>
      <c r="H69" s="47">
        <v>15</v>
      </c>
      <c r="I69" s="47">
        <v>104</v>
      </c>
      <c r="J69" s="47">
        <v>3</v>
      </c>
      <c r="K69" s="47">
        <v>10</v>
      </c>
      <c r="L69" s="47">
        <v>9</v>
      </c>
      <c r="M69" s="47">
        <v>3</v>
      </c>
      <c r="N69" s="47">
        <v>12</v>
      </c>
      <c r="O69" s="47">
        <v>17</v>
      </c>
      <c r="P69" s="47">
        <v>132</v>
      </c>
      <c r="Q69" s="44" t="s">
        <v>1643</v>
      </c>
      <c r="R69" s="47">
        <v>1</v>
      </c>
      <c r="S69" s="47">
        <v>11</v>
      </c>
      <c r="T69" s="47">
        <v>3</v>
      </c>
      <c r="U69" s="47">
        <v>10</v>
      </c>
      <c r="V69" s="47">
        <v>10</v>
      </c>
      <c r="W69" s="47">
        <v>22</v>
      </c>
      <c r="X69" s="47">
        <v>15</v>
      </c>
      <c r="Y69" s="47">
        <v>185</v>
      </c>
      <c r="Z69" s="47">
        <v>45</v>
      </c>
      <c r="AA69" s="47">
        <v>349</v>
      </c>
      <c r="AB69" s="76">
        <f t="shared" ref="AB69:AB132" si="2">AA69/Z69</f>
        <v>7.7555555555555555</v>
      </c>
      <c r="AC69" s="76">
        <f t="shared" ref="AC69:AC132" si="3">AA69/AD69</f>
        <v>0.60695652173913039</v>
      </c>
      <c r="AD69" s="47">
        <v>575</v>
      </c>
    </row>
    <row r="70" spans="1:30" ht="15.75" thickBot="1" x14ac:dyDescent="0.3">
      <c r="A70" s="44" t="s">
        <v>1600</v>
      </c>
      <c r="B70" s="48" t="s">
        <v>1601</v>
      </c>
      <c r="C70" s="44" t="s">
        <v>817</v>
      </c>
      <c r="D70" s="47">
        <v>4</v>
      </c>
      <c r="E70" s="47">
        <v>279</v>
      </c>
      <c r="F70" s="47">
        <v>0</v>
      </c>
      <c r="G70" s="47">
        <v>0</v>
      </c>
      <c r="H70" s="47">
        <v>8</v>
      </c>
      <c r="I70" s="47">
        <v>114</v>
      </c>
      <c r="J70" s="47">
        <v>0</v>
      </c>
      <c r="K70" s="47">
        <v>0</v>
      </c>
      <c r="L70" s="47">
        <v>14</v>
      </c>
      <c r="M70" s="47">
        <v>0</v>
      </c>
      <c r="N70" s="47">
        <v>14</v>
      </c>
      <c r="O70" s="47">
        <v>12</v>
      </c>
      <c r="P70" s="47">
        <v>393</v>
      </c>
      <c r="Q70" s="44" t="s">
        <v>1643</v>
      </c>
      <c r="R70" s="47">
        <v>1</v>
      </c>
      <c r="S70" s="47">
        <v>147</v>
      </c>
      <c r="T70" s="47">
        <v>0</v>
      </c>
      <c r="U70" s="47">
        <v>0</v>
      </c>
      <c r="V70" s="47">
        <v>1</v>
      </c>
      <c r="W70" s="47">
        <v>44</v>
      </c>
      <c r="X70" s="47">
        <v>0</v>
      </c>
      <c r="Y70" s="47">
        <v>0</v>
      </c>
      <c r="Z70" s="47">
        <v>13</v>
      </c>
      <c r="AA70" s="47">
        <v>437</v>
      </c>
      <c r="AB70" s="76">
        <f t="shared" si="2"/>
        <v>33.615384615384613</v>
      </c>
      <c r="AC70" s="76">
        <f t="shared" si="3"/>
        <v>0.15960555149744338</v>
      </c>
      <c r="AD70" s="47">
        <v>2738</v>
      </c>
    </row>
    <row r="71" spans="1:30" ht="15.75" thickBot="1" x14ac:dyDescent="0.3">
      <c r="A71" s="44" t="s">
        <v>796</v>
      </c>
      <c r="B71" s="48" t="s">
        <v>797</v>
      </c>
      <c r="C71" s="44" t="s">
        <v>798</v>
      </c>
      <c r="D71" s="47">
        <v>60</v>
      </c>
      <c r="E71" s="47">
        <v>269</v>
      </c>
      <c r="F71" s="47">
        <v>0</v>
      </c>
      <c r="G71" s="47">
        <v>0</v>
      </c>
      <c r="H71" s="47">
        <v>8</v>
      </c>
      <c r="I71" s="47">
        <v>285</v>
      </c>
      <c r="J71" s="47">
        <v>1</v>
      </c>
      <c r="K71" s="47">
        <v>3</v>
      </c>
      <c r="L71" s="47">
        <v>112</v>
      </c>
      <c r="M71" s="47">
        <v>19</v>
      </c>
      <c r="N71" s="47">
        <v>131</v>
      </c>
      <c r="O71" s="47">
        <v>68</v>
      </c>
      <c r="P71" s="47">
        <v>554</v>
      </c>
      <c r="Q71" s="44" t="s">
        <v>1643</v>
      </c>
      <c r="R71" s="47">
        <v>55</v>
      </c>
      <c r="S71" s="47">
        <v>248</v>
      </c>
      <c r="T71" s="47">
        <v>1</v>
      </c>
      <c r="U71" s="47">
        <v>3</v>
      </c>
      <c r="V71" s="47">
        <v>98</v>
      </c>
      <c r="W71" s="47">
        <v>443</v>
      </c>
      <c r="X71" s="47">
        <v>1</v>
      </c>
      <c r="Y71" s="47">
        <v>70</v>
      </c>
      <c r="Z71" s="47">
        <v>168</v>
      </c>
      <c r="AA71" s="47">
        <v>1070</v>
      </c>
      <c r="AB71" s="76">
        <f t="shared" si="2"/>
        <v>6.3690476190476186</v>
      </c>
      <c r="AC71" s="76">
        <f t="shared" si="3"/>
        <v>0.1684774051330499</v>
      </c>
      <c r="AD71" s="47">
        <v>6351</v>
      </c>
    </row>
    <row r="72" spans="1:30" ht="15.75" thickBot="1" x14ac:dyDescent="0.3">
      <c r="A72" s="44" t="s">
        <v>827</v>
      </c>
      <c r="B72" s="48" t="s">
        <v>828</v>
      </c>
      <c r="C72" s="44" t="s">
        <v>798</v>
      </c>
      <c r="D72" s="47">
        <v>46</v>
      </c>
      <c r="E72" s="47">
        <v>782</v>
      </c>
      <c r="F72" s="47">
        <v>0</v>
      </c>
      <c r="G72" s="47">
        <v>0</v>
      </c>
      <c r="H72" s="47">
        <v>11</v>
      </c>
      <c r="I72" s="47">
        <v>504</v>
      </c>
      <c r="J72" s="47">
        <v>0</v>
      </c>
      <c r="K72" s="47">
        <v>0</v>
      </c>
      <c r="L72" s="47">
        <v>160</v>
      </c>
      <c r="M72" s="47">
        <v>10</v>
      </c>
      <c r="N72" s="47">
        <v>170</v>
      </c>
      <c r="O72" s="47">
        <v>57</v>
      </c>
      <c r="P72" s="47">
        <v>1286</v>
      </c>
      <c r="Q72" s="44" t="s">
        <v>1643</v>
      </c>
      <c r="R72" s="47">
        <v>40</v>
      </c>
      <c r="S72" s="47">
        <v>582</v>
      </c>
      <c r="T72" s="47">
        <v>0</v>
      </c>
      <c r="U72" s="47">
        <v>0</v>
      </c>
      <c r="V72" s="47">
        <v>1</v>
      </c>
      <c r="W72" s="47">
        <v>100</v>
      </c>
      <c r="X72" s="47">
        <v>5</v>
      </c>
      <c r="Y72" s="47">
        <v>95</v>
      </c>
      <c r="Z72" s="47">
        <v>63</v>
      </c>
      <c r="AA72" s="47">
        <v>1481</v>
      </c>
      <c r="AB72" s="76">
        <f t="shared" si="2"/>
        <v>23.50793650793651</v>
      </c>
      <c r="AC72" s="76">
        <f t="shared" si="3"/>
        <v>0.22497341637551269</v>
      </c>
      <c r="AD72" s="47">
        <v>6583</v>
      </c>
    </row>
    <row r="73" spans="1:30" ht="15.75" thickBot="1" x14ac:dyDescent="0.3">
      <c r="A73" s="44" t="s">
        <v>838</v>
      </c>
      <c r="B73" s="48" t="s">
        <v>839</v>
      </c>
      <c r="C73" s="44" t="s">
        <v>798</v>
      </c>
      <c r="D73" s="47">
        <v>26</v>
      </c>
      <c r="E73" s="47">
        <v>1035</v>
      </c>
      <c r="F73" s="47">
        <v>0</v>
      </c>
      <c r="G73" s="47">
        <v>0</v>
      </c>
      <c r="H73" s="47">
        <v>12</v>
      </c>
      <c r="I73" s="47">
        <v>275</v>
      </c>
      <c r="J73" s="47">
        <v>7</v>
      </c>
      <c r="K73" s="47">
        <v>53</v>
      </c>
      <c r="L73" s="47">
        <v>81</v>
      </c>
      <c r="M73" s="47">
        <v>16</v>
      </c>
      <c r="N73" s="47">
        <v>97</v>
      </c>
      <c r="O73" s="47">
        <v>38</v>
      </c>
      <c r="P73" s="47">
        <v>1310</v>
      </c>
      <c r="Q73" s="44" t="s">
        <v>1644</v>
      </c>
      <c r="R73" s="47">
        <v>0</v>
      </c>
      <c r="S73" s="47">
        <v>0</v>
      </c>
      <c r="T73" s="47">
        <v>7</v>
      </c>
      <c r="U73" s="47">
        <v>53</v>
      </c>
      <c r="V73" s="47">
        <v>38</v>
      </c>
      <c r="W73" s="47">
        <v>309</v>
      </c>
      <c r="X73" s="47">
        <v>8</v>
      </c>
      <c r="Y73" s="47">
        <v>119</v>
      </c>
      <c r="Z73" s="47">
        <v>91</v>
      </c>
      <c r="AA73" s="47">
        <v>1791</v>
      </c>
      <c r="AB73" s="76">
        <f t="shared" si="2"/>
        <v>19.681318681318682</v>
      </c>
      <c r="AC73" s="76">
        <f t="shared" si="3"/>
        <v>0.33296151701059679</v>
      </c>
      <c r="AD73" s="47">
        <v>5379</v>
      </c>
    </row>
    <row r="74" spans="1:30" ht="15.75" thickBot="1" x14ac:dyDescent="0.3">
      <c r="A74" s="44" t="s">
        <v>842</v>
      </c>
      <c r="B74" s="48" t="s">
        <v>843</v>
      </c>
      <c r="C74" s="44" t="s">
        <v>798</v>
      </c>
      <c r="D74" s="47">
        <v>52</v>
      </c>
      <c r="E74" s="47">
        <v>0</v>
      </c>
      <c r="F74" s="47">
        <v>0</v>
      </c>
      <c r="G74" s="47">
        <v>0</v>
      </c>
      <c r="H74" s="47">
        <v>6</v>
      </c>
      <c r="I74" s="47">
        <v>11</v>
      </c>
      <c r="J74" s="47">
        <v>0</v>
      </c>
      <c r="K74" s="47">
        <v>0</v>
      </c>
      <c r="L74" s="47">
        <v>18</v>
      </c>
      <c r="M74" s="47">
        <v>0</v>
      </c>
      <c r="N74" s="47">
        <v>18</v>
      </c>
      <c r="O74" s="47">
        <v>58</v>
      </c>
      <c r="P74" s="47">
        <v>11</v>
      </c>
      <c r="Q74" s="44" t="s">
        <v>1643</v>
      </c>
      <c r="R74" s="47">
        <v>58</v>
      </c>
      <c r="S74" s="47">
        <v>11</v>
      </c>
      <c r="T74" s="47">
        <v>0</v>
      </c>
      <c r="U74" s="47">
        <v>0</v>
      </c>
      <c r="V74" s="47">
        <v>12</v>
      </c>
      <c r="W74" s="47">
        <v>20</v>
      </c>
      <c r="X74" s="47">
        <v>0</v>
      </c>
      <c r="Y74" s="47">
        <v>0</v>
      </c>
      <c r="Z74" s="47">
        <v>70</v>
      </c>
      <c r="AA74" s="47">
        <v>31</v>
      </c>
      <c r="AB74" s="76">
        <f t="shared" si="2"/>
        <v>0.44285714285714284</v>
      </c>
      <c r="AC74" s="76">
        <f t="shared" si="3"/>
        <v>7.2684642438452518E-3</v>
      </c>
      <c r="AD74" s="47">
        <v>4265</v>
      </c>
    </row>
    <row r="75" spans="1:30" ht="15.75" thickBot="1" x14ac:dyDescent="0.3">
      <c r="A75" s="44" t="s">
        <v>853</v>
      </c>
      <c r="B75" s="48" t="s">
        <v>854</v>
      </c>
      <c r="C75" s="44" t="s">
        <v>798</v>
      </c>
      <c r="D75" s="47">
        <v>58</v>
      </c>
      <c r="E75" s="47">
        <v>1175</v>
      </c>
      <c r="F75" s="47">
        <v>15</v>
      </c>
      <c r="G75" s="47">
        <v>167</v>
      </c>
      <c r="H75" s="47">
        <v>17</v>
      </c>
      <c r="I75" s="47">
        <v>466</v>
      </c>
      <c r="J75" s="47">
        <v>5</v>
      </c>
      <c r="K75" s="47">
        <v>284</v>
      </c>
      <c r="L75" s="47">
        <v>101</v>
      </c>
      <c r="M75" s="47">
        <v>27</v>
      </c>
      <c r="N75" s="47">
        <v>128</v>
      </c>
      <c r="O75" s="47">
        <v>75</v>
      </c>
      <c r="P75" s="47">
        <v>1641</v>
      </c>
      <c r="Q75" s="44" t="s">
        <v>1643</v>
      </c>
      <c r="R75" s="47">
        <v>27</v>
      </c>
      <c r="S75" s="47">
        <v>881</v>
      </c>
      <c r="T75" s="47">
        <v>20</v>
      </c>
      <c r="U75" s="47">
        <v>451</v>
      </c>
      <c r="V75" s="47">
        <v>75</v>
      </c>
      <c r="W75" s="47">
        <v>330</v>
      </c>
      <c r="X75" s="47">
        <v>17</v>
      </c>
      <c r="Y75" s="47">
        <v>506</v>
      </c>
      <c r="Z75" s="47">
        <v>187</v>
      </c>
      <c r="AA75" s="47">
        <v>2928</v>
      </c>
      <c r="AB75" s="76">
        <f t="shared" si="2"/>
        <v>15.657754010695188</v>
      </c>
      <c r="AC75" s="76">
        <f t="shared" si="3"/>
        <v>0.44222927050294519</v>
      </c>
      <c r="AD75" s="47">
        <v>6621</v>
      </c>
    </row>
    <row r="76" spans="1:30" ht="15.75" thickBot="1" x14ac:dyDescent="0.3">
      <c r="A76" s="44" t="s">
        <v>857</v>
      </c>
      <c r="B76" s="48" t="s">
        <v>858</v>
      </c>
      <c r="C76" s="44" t="s">
        <v>798</v>
      </c>
      <c r="D76" s="47">
        <v>1</v>
      </c>
      <c r="E76" s="47">
        <v>116</v>
      </c>
      <c r="F76" s="47">
        <v>0</v>
      </c>
      <c r="G76" s="47">
        <v>0</v>
      </c>
      <c r="H76" s="47">
        <v>5</v>
      </c>
      <c r="I76" s="47">
        <v>125</v>
      </c>
      <c r="J76" s="47">
        <v>0</v>
      </c>
      <c r="K76" s="47">
        <v>0</v>
      </c>
      <c r="L76" s="47">
        <v>63</v>
      </c>
      <c r="M76" s="47">
        <v>0</v>
      </c>
      <c r="N76" s="47">
        <v>63</v>
      </c>
      <c r="O76" s="47">
        <v>6</v>
      </c>
      <c r="P76" s="47">
        <v>241</v>
      </c>
      <c r="Q76" s="44" t="s">
        <v>1644</v>
      </c>
      <c r="R76" s="47">
        <v>0</v>
      </c>
      <c r="S76" s="47">
        <v>0</v>
      </c>
      <c r="T76" s="47">
        <v>0</v>
      </c>
      <c r="U76" s="47">
        <v>0</v>
      </c>
      <c r="V76" s="47">
        <v>0</v>
      </c>
      <c r="W76" s="47">
        <v>0</v>
      </c>
      <c r="X76" s="47">
        <v>0</v>
      </c>
      <c r="Y76" s="47">
        <v>0</v>
      </c>
      <c r="Z76" s="47">
        <v>6</v>
      </c>
      <c r="AA76" s="47">
        <v>241</v>
      </c>
      <c r="AB76" s="76">
        <f t="shared" si="2"/>
        <v>40.166666666666664</v>
      </c>
      <c r="AC76" s="76">
        <f t="shared" si="3"/>
        <v>5.9141104294478525E-2</v>
      </c>
      <c r="AD76" s="47">
        <v>4075</v>
      </c>
    </row>
    <row r="77" spans="1:30" ht="15.75" thickBot="1" x14ac:dyDescent="0.3">
      <c r="A77" s="44" t="s">
        <v>881</v>
      </c>
      <c r="B77" s="48" t="s">
        <v>882</v>
      </c>
      <c r="C77" s="44" t="s">
        <v>798</v>
      </c>
      <c r="D77" s="47">
        <v>12</v>
      </c>
      <c r="E77" s="47">
        <v>428</v>
      </c>
      <c r="F77" s="47">
        <v>0</v>
      </c>
      <c r="G77" s="47">
        <v>0</v>
      </c>
      <c r="H77" s="47">
        <v>14</v>
      </c>
      <c r="I77" s="47">
        <v>73</v>
      </c>
      <c r="J77" s="47">
        <v>0</v>
      </c>
      <c r="K77" s="47">
        <v>0</v>
      </c>
      <c r="L77" s="47">
        <v>36</v>
      </c>
      <c r="M77" s="47">
        <v>5</v>
      </c>
      <c r="N77" s="47">
        <v>41</v>
      </c>
      <c r="O77" s="47">
        <v>26</v>
      </c>
      <c r="P77" s="47">
        <v>501</v>
      </c>
      <c r="Q77" s="44" t="s">
        <v>1643</v>
      </c>
      <c r="R77" s="47">
        <v>12</v>
      </c>
      <c r="S77" s="47">
        <v>104</v>
      </c>
      <c r="T77" s="47">
        <v>0</v>
      </c>
      <c r="U77" s="47">
        <v>0</v>
      </c>
      <c r="V77" s="47">
        <v>1</v>
      </c>
      <c r="W77" s="47">
        <v>21</v>
      </c>
      <c r="X77" s="47">
        <v>0</v>
      </c>
      <c r="Y77" s="47">
        <v>0</v>
      </c>
      <c r="Z77" s="47">
        <v>27</v>
      </c>
      <c r="AA77" s="47">
        <v>522</v>
      </c>
      <c r="AB77" s="76">
        <f t="shared" si="2"/>
        <v>19.333333333333332</v>
      </c>
      <c r="AC77" s="76">
        <f t="shared" si="3"/>
        <v>9.641669745105283E-2</v>
      </c>
      <c r="AD77" s="47">
        <v>5414</v>
      </c>
    </row>
    <row r="78" spans="1:30" ht="15.75" thickBot="1" x14ac:dyDescent="0.3">
      <c r="A78" s="44" t="s">
        <v>903</v>
      </c>
      <c r="B78" s="48" t="s">
        <v>904</v>
      </c>
      <c r="C78" s="44" t="s">
        <v>798</v>
      </c>
      <c r="D78" s="47">
        <v>232</v>
      </c>
      <c r="E78" s="47">
        <v>3992</v>
      </c>
      <c r="F78" s="47">
        <v>27</v>
      </c>
      <c r="G78" s="47">
        <v>535</v>
      </c>
      <c r="H78" s="47">
        <v>16</v>
      </c>
      <c r="I78" s="47">
        <v>485</v>
      </c>
      <c r="J78" s="47">
        <v>4</v>
      </c>
      <c r="K78" s="47">
        <v>16</v>
      </c>
      <c r="L78" s="47">
        <v>169</v>
      </c>
      <c r="M78" s="47">
        <v>25</v>
      </c>
      <c r="N78" s="47">
        <v>194</v>
      </c>
      <c r="O78" s="47">
        <v>248</v>
      </c>
      <c r="P78" s="47">
        <v>4477</v>
      </c>
      <c r="Q78" s="44" t="s">
        <v>1643</v>
      </c>
      <c r="R78" s="47">
        <v>145</v>
      </c>
      <c r="S78" s="47">
        <v>969</v>
      </c>
      <c r="T78" s="47">
        <v>31</v>
      </c>
      <c r="U78" s="47">
        <v>551</v>
      </c>
      <c r="V78" s="47">
        <v>102</v>
      </c>
      <c r="W78" s="47">
        <v>1097</v>
      </c>
      <c r="X78" s="47">
        <v>17</v>
      </c>
      <c r="Y78" s="47">
        <v>1342</v>
      </c>
      <c r="Z78" s="47">
        <v>398</v>
      </c>
      <c r="AA78" s="47">
        <v>7467</v>
      </c>
      <c r="AB78" s="76">
        <f t="shared" si="2"/>
        <v>18.761306532663315</v>
      </c>
      <c r="AC78" s="76">
        <f t="shared" si="3"/>
        <v>1.1859911054637866</v>
      </c>
      <c r="AD78" s="47">
        <v>6296</v>
      </c>
    </row>
    <row r="79" spans="1:30" ht="15.75" thickBot="1" x14ac:dyDescent="0.3">
      <c r="A79" s="44" t="s">
        <v>909</v>
      </c>
      <c r="B79" s="48" t="s">
        <v>910</v>
      </c>
      <c r="C79" s="44" t="s">
        <v>798</v>
      </c>
      <c r="D79" s="47">
        <v>2</v>
      </c>
      <c r="E79" s="47">
        <v>130</v>
      </c>
      <c r="F79" s="47">
        <v>2</v>
      </c>
      <c r="G79" s="47">
        <v>37</v>
      </c>
      <c r="H79" s="47">
        <v>1</v>
      </c>
      <c r="I79" s="47">
        <v>70</v>
      </c>
      <c r="J79" s="47">
        <v>1</v>
      </c>
      <c r="K79" s="47">
        <v>25</v>
      </c>
      <c r="L79" s="47">
        <v>75</v>
      </c>
      <c r="M79" s="47">
        <v>12</v>
      </c>
      <c r="N79" s="47">
        <v>87</v>
      </c>
      <c r="O79" s="47">
        <v>3</v>
      </c>
      <c r="P79" s="47">
        <v>200</v>
      </c>
      <c r="Q79" s="44" t="s">
        <v>1644</v>
      </c>
      <c r="R79" s="47">
        <v>0</v>
      </c>
      <c r="S79" s="47">
        <v>0</v>
      </c>
      <c r="T79" s="47">
        <v>3</v>
      </c>
      <c r="U79" s="47">
        <v>62</v>
      </c>
      <c r="V79" s="47">
        <v>1</v>
      </c>
      <c r="W79" s="47">
        <v>26</v>
      </c>
      <c r="X79" s="47">
        <v>0</v>
      </c>
      <c r="Y79" s="47">
        <v>0</v>
      </c>
      <c r="Z79" s="47">
        <v>7</v>
      </c>
      <c r="AA79" s="47">
        <v>288</v>
      </c>
      <c r="AB79" s="76">
        <f t="shared" si="2"/>
        <v>41.142857142857146</v>
      </c>
      <c r="AC79" s="76">
        <f t="shared" si="3"/>
        <v>7.1910112359550568E-2</v>
      </c>
      <c r="AD79" s="47">
        <v>4005</v>
      </c>
    </row>
    <row r="80" spans="1:30" ht="15.75" thickBot="1" x14ac:dyDescent="0.3">
      <c r="A80" s="44" t="s">
        <v>921</v>
      </c>
      <c r="B80" s="48" t="s">
        <v>922</v>
      </c>
      <c r="C80" s="44" t="s">
        <v>798</v>
      </c>
      <c r="D80" s="47">
        <v>210</v>
      </c>
      <c r="E80" s="47">
        <v>3100</v>
      </c>
      <c r="F80" s="47">
        <v>2</v>
      </c>
      <c r="G80" s="47">
        <v>5</v>
      </c>
      <c r="H80" s="47">
        <v>20</v>
      </c>
      <c r="I80" s="47">
        <v>150</v>
      </c>
      <c r="J80" s="47">
        <v>3</v>
      </c>
      <c r="K80" s="47">
        <v>5</v>
      </c>
      <c r="L80" s="47">
        <v>40</v>
      </c>
      <c r="M80" s="47">
        <v>5</v>
      </c>
      <c r="N80" s="47">
        <v>45</v>
      </c>
      <c r="O80" s="47">
        <v>230</v>
      </c>
      <c r="P80" s="47">
        <v>3250</v>
      </c>
      <c r="Q80" s="44" t="s">
        <v>1643</v>
      </c>
      <c r="R80" s="47">
        <v>30</v>
      </c>
      <c r="S80" s="47">
        <v>35</v>
      </c>
      <c r="T80" s="47">
        <v>5</v>
      </c>
      <c r="U80" s="47">
        <v>10</v>
      </c>
      <c r="V80" s="47">
        <v>5</v>
      </c>
      <c r="W80" s="47">
        <v>40</v>
      </c>
      <c r="X80" s="47">
        <v>1</v>
      </c>
      <c r="Y80" s="47">
        <v>55</v>
      </c>
      <c r="Z80" s="47">
        <v>241</v>
      </c>
      <c r="AA80" s="47">
        <v>3355</v>
      </c>
      <c r="AB80" s="76">
        <f t="shared" si="2"/>
        <v>13.921161825726141</v>
      </c>
      <c r="AC80" s="76">
        <f t="shared" si="3"/>
        <v>0.80052493438320205</v>
      </c>
      <c r="AD80" s="47">
        <v>4191</v>
      </c>
    </row>
    <row r="81" spans="1:30" ht="15.75" thickBot="1" x14ac:dyDescent="0.3">
      <c r="A81" s="44" t="s">
        <v>963</v>
      </c>
      <c r="B81" s="48" t="s">
        <v>964</v>
      </c>
      <c r="C81" s="44" t="s">
        <v>798</v>
      </c>
      <c r="D81" s="47">
        <v>8</v>
      </c>
      <c r="E81" s="47">
        <v>143</v>
      </c>
      <c r="F81" s="47">
        <v>0</v>
      </c>
      <c r="G81" s="47">
        <v>0</v>
      </c>
      <c r="H81" s="47">
        <v>17</v>
      </c>
      <c r="I81" s="47">
        <v>448</v>
      </c>
      <c r="J81" s="47">
        <v>1</v>
      </c>
      <c r="K81" s="47">
        <v>7</v>
      </c>
      <c r="L81" s="47">
        <v>75</v>
      </c>
      <c r="M81" s="47">
        <v>14</v>
      </c>
      <c r="N81" s="47">
        <v>89</v>
      </c>
      <c r="O81" s="47">
        <v>25</v>
      </c>
      <c r="P81" s="47">
        <v>591</v>
      </c>
      <c r="Q81" s="44" t="s">
        <v>1643</v>
      </c>
      <c r="R81" s="47">
        <v>8</v>
      </c>
      <c r="S81" s="47">
        <v>74</v>
      </c>
      <c r="T81" s="47">
        <v>1</v>
      </c>
      <c r="U81" s="47">
        <v>7</v>
      </c>
      <c r="V81" s="47">
        <v>3</v>
      </c>
      <c r="W81" s="47">
        <v>56</v>
      </c>
      <c r="X81" s="47">
        <v>0</v>
      </c>
      <c r="Y81" s="47">
        <v>0</v>
      </c>
      <c r="Z81" s="47">
        <v>29</v>
      </c>
      <c r="AA81" s="47">
        <v>654</v>
      </c>
      <c r="AB81" s="76">
        <f t="shared" si="2"/>
        <v>22.551724137931036</v>
      </c>
      <c r="AC81" s="76">
        <f t="shared" si="3"/>
        <v>0.14149718736477715</v>
      </c>
      <c r="AD81" s="47">
        <v>4622</v>
      </c>
    </row>
    <row r="82" spans="1:30" ht="15.75" thickBot="1" x14ac:dyDescent="0.3">
      <c r="A82" s="44" t="s">
        <v>977</v>
      </c>
      <c r="B82" s="48" t="s">
        <v>978</v>
      </c>
      <c r="C82" s="44" t="s">
        <v>798</v>
      </c>
      <c r="D82" s="47">
        <v>120</v>
      </c>
      <c r="E82" s="47">
        <v>1194</v>
      </c>
      <c r="F82" s="47">
        <v>1</v>
      </c>
      <c r="G82" s="47">
        <v>140</v>
      </c>
      <c r="H82" s="47">
        <v>10</v>
      </c>
      <c r="I82" s="47">
        <v>562</v>
      </c>
      <c r="J82" s="47">
        <v>2</v>
      </c>
      <c r="K82" s="47">
        <v>16</v>
      </c>
      <c r="L82" s="47">
        <v>111</v>
      </c>
      <c r="M82" s="47">
        <v>26</v>
      </c>
      <c r="N82" s="47">
        <v>137</v>
      </c>
      <c r="O82" s="47">
        <v>130</v>
      </c>
      <c r="P82" s="47">
        <v>1756</v>
      </c>
      <c r="Q82" s="44" t="s">
        <v>1643</v>
      </c>
      <c r="R82" s="47">
        <v>101</v>
      </c>
      <c r="S82" s="47">
        <v>544</v>
      </c>
      <c r="T82" s="47">
        <v>3</v>
      </c>
      <c r="U82" s="47">
        <v>156</v>
      </c>
      <c r="V82" s="47">
        <v>30</v>
      </c>
      <c r="W82" s="47">
        <v>490</v>
      </c>
      <c r="X82" s="47">
        <v>38</v>
      </c>
      <c r="Y82" s="47">
        <v>1386</v>
      </c>
      <c r="Z82" s="47">
        <v>201</v>
      </c>
      <c r="AA82" s="47">
        <v>3788</v>
      </c>
      <c r="AB82" s="76">
        <f t="shared" si="2"/>
        <v>18.845771144278608</v>
      </c>
      <c r="AC82" s="76">
        <f t="shared" si="3"/>
        <v>0.75972723626153227</v>
      </c>
      <c r="AD82" s="47">
        <v>4986</v>
      </c>
    </row>
    <row r="83" spans="1:30" ht="15.75" thickBot="1" x14ac:dyDescent="0.3">
      <c r="A83" s="44" t="s">
        <v>999</v>
      </c>
      <c r="B83" s="48" t="s">
        <v>1000</v>
      </c>
      <c r="C83" s="44" t="s">
        <v>798</v>
      </c>
      <c r="D83" s="47">
        <v>11</v>
      </c>
      <c r="E83" s="47">
        <v>251</v>
      </c>
      <c r="F83" s="47">
        <v>0</v>
      </c>
      <c r="G83" s="47">
        <v>0</v>
      </c>
      <c r="H83" s="47">
        <v>7</v>
      </c>
      <c r="I83" s="47">
        <v>79</v>
      </c>
      <c r="J83" s="47">
        <v>0</v>
      </c>
      <c r="K83" s="47">
        <v>0</v>
      </c>
      <c r="L83" s="44">
        <v>0</v>
      </c>
      <c r="M83" s="47">
        <v>0</v>
      </c>
      <c r="N83" s="47">
        <v>0</v>
      </c>
      <c r="O83" s="47">
        <v>18</v>
      </c>
      <c r="P83" s="47">
        <v>330</v>
      </c>
      <c r="Q83" s="44" t="s">
        <v>1643</v>
      </c>
      <c r="R83" s="47">
        <v>2</v>
      </c>
      <c r="S83" s="47">
        <v>38</v>
      </c>
      <c r="T83" s="47">
        <v>0</v>
      </c>
      <c r="U83" s="47">
        <v>0</v>
      </c>
      <c r="V83" s="47">
        <v>6</v>
      </c>
      <c r="W83" s="47">
        <v>38</v>
      </c>
      <c r="X83" s="47">
        <v>6</v>
      </c>
      <c r="Y83" s="47">
        <v>245</v>
      </c>
      <c r="Z83" s="47">
        <v>30</v>
      </c>
      <c r="AA83" s="47">
        <v>613</v>
      </c>
      <c r="AB83" s="76">
        <f t="shared" si="2"/>
        <v>20.433333333333334</v>
      </c>
      <c r="AC83" s="76">
        <f t="shared" si="3"/>
        <v>0.1357997341603899</v>
      </c>
      <c r="AD83" s="47">
        <v>4514</v>
      </c>
    </row>
    <row r="84" spans="1:30" ht="15.75" thickBot="1" x14ac:dyDescent="0.3">
      <c r="A84" s="44" t="s">
        <v>1013</v>
      </c>
      <c r="B84" s="48" t="s">
        <v>1014</v>
      </c>
      <c r="C84" s="44" t="s">
        <v>798</v>
      </c>
      <c r="D84" s="47">
        <v>16</v>
      </c>
      <c r="E84" s="47">
        <v>93</v>
      </c>
      <c r="F84" s="47">
        <v>1</v>
      </c>
      <c r="G84" s="47">
        <v>6</v>
      </c>
      <c r="H84" s="47">
        <v>3</v>
      </c>
      <c r="I84" s="47">
        <v>60</v>
      </c>
      <c r="J84" s="47">
        <v>1</v>
      </c>
      <c r="K84" s="47">
        <v>21</v>
      </c>
      <c r="L84" s="47">
        <v>102</v>
      </c>
      <c r="M84" s="47">
        <v>43</v>
      </c>
      <c r="N84" s="47">
        <v>145</v>
      </c>
      <c r="O84" s="47">
        <v>19</v>
      </c>
      <c r="P84" s="47">
        <v>153</v>
      </c>
      <c r="Q84" s="44" t="s">
        <v>1643</v>
      </c>
      <c r="R84" s="47">
        <v>16</v>
      </c>
      <c r="S84" s="47">
        <v>93</v>
      </c>
      <c r="T84" s="47">
        <v>2</v>
      </c>
      <c r="U84" s="47">
        <v>27</v>
      </c>
      <c r="V84" s="47">
        <v>6</v>
      </c>
      <c r="W84" s="47">
        <v>110</v>
      </c>
      <c r="X84" s="47">
        <v>0</v>
      </c>
      <c r="Y84" s="47">
        <v>0</v>
      </c>
      <c r="Z84" s="47">
        <v>27</v>
      </c>
      <c r="AA84" s="47">
        <v>290</v>
      </c>
      <c r="AB84" s="76">
        <f t="shared" si="2"/>
        <v>10.74074074074074</v>
      </c>
      <c r="AC84" s="76">
        <f t="shared" si="3"/>
        <v>4.2410061421468269E-2</v>
      </c>
      <c r="AD84" s="47">
        <v>6838</v>
      </c>
    </row>
    <row r="85" spans="1:30" ht="15.75" thickBot="1" x14ac:dyDescent="0.3">
      <c r="A85" s="44" t="s">
        <v>1019</v>
      </c>
      <c r="B85" s="48" t="s">
        <v>1020</v>
      </c>
      <c r="C85" s="44" t="s">
        <v>798</v>
      </c>
      <c r="D85" s="47">
        <v>0</v>
      </c>
      <c r="E85" s="47">
        <v>0</v>
      </c>
      <c r="F85" s="47">
        <v>1</v>
      </c>
      <c r="G85" s="47">
        <v>4</v>
      </c>
      <c r="H85" s="47">
        <v>1</v>
      </c>
      <c r="I85" s="47">
        <v>49</v>
      </c>
      <c r="J85" s="47">
        <v>1</v>
      </c>
      <c r="K85" s="47">
        <v>5</v>
      </c>
      <c r="L85" s="47">
        <v>0</v>
      </c>
      <c r="M85" s="47">
        <v>0</v>
      </c>
      <c r="N85" s="47">
        <v>0</v>
      </c>
      <c r="O85" s="47">
        <v>1</v>
      </c>
      <c r="P85" s="47">
        <v>49</v>
      </c>
      <c r="Q85" s="44" t="s">
        <v>1643</v>
      </c>
      <c r="R85" s="47">
        <v>1</v>
      </c>
      <c r="S85" s="47">
        <v>5</v>
      </c>
      <c r="T85" s="47">
        <v>2</v>
      </c>
      <c r="U85" s="47">
        <v>9</v>
      </c>
      <c r="V85" s="47">
        <v>1</v>
      </c>
      <c r="W85" s="47">
        <v>50</v>
      </c>
      <c r="X85" s="47">
        <v>0</v>
      </c>
      <c r="Y85" s="47">
        <v>0</v>
      </c>
      <c r="Z85" s="47">
        <v>4</v>
      </c>
      <c r="AA85" s="47">
        <v>108</v>
      </c>
      <c r="AB85" s="76">
        <f t="shared" si="2"/>
        <v>27</v>
      </c>
      <c r="AC85" s="76">
        <f t="shared" si="3"/>
        <v>2.2181146025878003E-2</v>
      </c>
      <c r="AD85" s="47">
        <v>4869</v>
      </c>
    </row>
    <row r="86" spans="1:30" ht="15.75" thickBot="1" x14ac:dyDescent="0.3">
      <c r="A86" s="44" t="s">
        <v>1021</v>
      </c>
      <c r="B86" s="48" t="s">
        <v>1022</v>
      </c>
      <c r="C86" s="44" t="s">
        <v>798</v>
      </c>
      <c r="D86" s="47">
        <v>48</v>
      </c>
      <c r="E86" s="47">
        <v>277</v>
      </c>
      <c r="F86" s="47">
        <v>6</v>
      </c>
      <c r="G86" s="47">
        <v>13</v>
      </c>
      <c r="H86" s="47">
        <v>6</v>
      </c>
      <c r="I86" s="47">
        <v>352</v>
      </c>
      <c r="J86" s="47">
        <v>1</v>
      </c>
      <c r="K86" s="47">
        <v>12</v>
      </c>
      <c r="L86" s="47">
        <v>76</v>
      </c>
      <c r="M86" s="47">
        <v>4</v>
      </c>
      <c r="N86" s="47">
        <v>80</v>
      </c>
      <c r="O86" s="47">
        <v>54</v>
      </c>
      <c r="P86" s="47">
        <v>629</v>
      </c>
      <c r="Q86" s="44" t="s">
        <v>1643</v>
      </c>
      <c r="R86" s="47">
        <v>7</v>
      </c>
      <c r="S86" s="47">
        <v>68</v>
      </c>
      <c r="T86" s="47">
        <v>7</v>
      </c>
      <c r="U86" s="47">
        <v>25</v>
      </c>
      <c r="V86" s="47">
        <v>1</v>
      </c>
      <c r="W86" s="47">
        <v>23</v>
      </c>
      <c r="X86" s="47">
        <v>7</v>
      </c>
      <c r="Y86" s="47">
        <v>86</v>
      </c>
      <c r="Z86" s="47">
        <v>69</v>
      </c>
      <c r="AA86" s="47">
        <v>763</v>
      </c>
      <c r="AB86" s="76">
        <f t="shared" si="2"/>
        <v>11.057971014492754</v>
      </c>
      <c r="AC86" s="76">
        <f t="shared" si="3"/>
        <v>0.1600251677852349</v>
      </c>
      <c r="AD86" s="47">
        <v>4768</v>
      </c>
    </row>
    <row r="87" spans="1:30" ht="15.75" thickBot="1" x14ac:dyDescent="0.3">
      <c r="A87" s="44" t="s">
        <v>1035</v>
      </c>
      <c r="B87" s="48" t="s">
        <v>1036</v>
      </c>
      <c r="C87" s="44" t="s">
        <v>798</v>
      </c>
      <c r="D87" s="47">
        <v>44</v>
      </c>
      <c r="E87" s="47">
        <v>1895</v>
      </c>
      <c r="F87" s="47">
        <v>0</v>
      </c>
      <c r="G87" s="47">
        <v>0</v>
      </c>
      <c r="H87" s="47">
        <v>5</v>
      </c>
      <c r="I87" s="47">
        <v>704</v>
      </c>
      <c r="J87" s="47">
        <v>0</v>
      </c>
      <c r="K87" s="47">
        <v>0</v>
      </c>
      <c r="L87" s="47">
        <v>0</v>
      </c>
      <c r="M87" s="47">
        <v>0</v>
      </c>
      <c r="N87" s="47">
        <v>0</v>
      </c>
      <c r="O87" s="47">
        <v>49</v>
      </c>
      <c r="P87" s="47">
        <v>2599</v>
      </c>
      <c r="Q87" s="44" t="s">
        <v>1643</v>
      </c>
      <c r="R87" s="47">
        <v>37</v>
      </c>
      <c r="S87" s="47">
        <v>866</v>
      </c>
      <c r="T87" s="47">
        <v>0</v>
      </c>
      <c r="U87" s="47">
        <v>0</v>
      </c>
      <c r="V87" s="47">
        <v>68</v>
      </c>
      <c r="W87" s="47">
        <v>1856</v>
      </c>
      <c r="X87" s="47">
        <v>0</v>
      </c>
      <c r="Y87" s="47">
        <v>0</v>
      </c>
      <c r="Z87" s="47">
        <v>117</v>
      </c>
      <c r="AA87" s="47">
        <v>4455</v>
      </c>
      <c r="AB87" s="76">
        <f t="shared" si="2"/>
        <v>38.07692307692308</v>
      </c>
      <c r="AC87" s="76">
        <f t="shared" si="3"/>
        <v>0.82013991163475697</v>
      </c>
      <c r="AD87" s="47">
        <v>5432</v>
      </c>
    </row>
    <row r="88" spans="1:30" ht="15.75" thickBot="1" x14ac:dyDescent="0.3">
      <c r="A88" s="44" t="s">
        <v>1065</v>
      </c>
      <c r="B88" s="48" t="s">
        <v>1066</v>
      </c>
      <c r="C88" s="44" t="s">
        <v>798</v>
      </c>
      <c r="D88" s="47">
        <v>72</v>
      </c>
      <c r="E88" s="47">
        <v>1236</v>
      </c>
      <c r="F88" s="47">
        <v>0</v>
      </c>
      <c r="G88" s="47">
        <v>0</v>
      </c>
      <c r="H88" s="47">
        <v>31</v>
      </c>
      <c r="I88" s="47">
        <v>652</v>
      </c>
      <c r="J88" s="47">
        <v>0</v>
      </c>
      <c r="K88" s="47">
        <v>0</v>
      </c>
      <c r="L88" s="47">
        <v>224</v>
      </c>
      <c r="M88" s="47">
        <v>18</v>
      </c>
      <c r="N88" s="47">
        <v>242</v>
      </c>
      <c r="O88" s="47">
        <v>103</v>
      </c>
      <c r="P88" s="47">
        <v>1888</v>
      </c>
      <c r="Q88" s="44" t="s">
        <v>1643</v>
      </c>
      <c r="R88" s="47">
        <v>58</v>
      </c>
      <c r="S88" s="47">
        <v>942</v>
      </c>
      <c r="T88" s="47">
        <v>0</v>
      </c>
      <c r="U88" s="47">
        <v>0</v>
      </c>
      <c r="V88" s="47">
        <v>2</v>
      </c>
      <c r="W88" s="47">
        <v>108</v>
      </c>
      <c r="X88" s="47">
        <v>8</v>
      </c>
      <c r="Y88" s="47">
        <v>354</v>
      </c>
      <c r="Z88" s="47">
        <v>113</v>
      </c>
      <c r="AA88" s="47">
        <v>2350</v>
      </c>
      <c r="AB88" s="76">
        <f t="shared" si="2"/>
        <v>20.79646017699115</v>
      </c>
      <c r="AC88" s="76">
        <f t="shared" si="3"/>
        <v>0.38124594419208307</v>
      </c>
      <c r="AD88" s="47">
        <v>6164</v>
      </c>
    </row>
    <row r="89" spans="1:30" ht="15.75" thickBot="1" x14ac:dyDescent="0.3">
      <c r="A89" s="44" t="s">
        <v>1075</v>
      </c>
      <c r="B89" s="48" t="s">
        <v>1076</v>
      </c>
      <c r="C89" s="44" t="s">
        <v>798</v>
      </c>
      <c r="D89" s="47">
        <v>17</v>
      </c>
      <c r="E89" s="47">
        <v>479</v>
      </c>
      <c r="F89" s="47">
        <v>0</v>
      </c>
      <c r="G89" s="47">
        <v>0</v>
      </c>
      <c r="H89" s="47">
        <v>6</v>
      </c>
      <c r="I89" s="47">
        <v>498</v>
      </c>
      <c r="J89" s="47">
        <v>0</v>
      </c>
      <c r="K89" s="47">
        <v>0</v>
      </c>
      <c r="L89" s="47">
        <v>122</v>
      </c>
      <c r="M89" s="47">
        <v>25</v>
      </c>
      <c r="N89" s="47">
        <v>147</v>
      </c>
      <c r="O89" s="47">
        <v>23</v>
      </c>
      <c r="P89" s="47">
        <v>977</v>
      </c>
      <c r="Q89" s="44" t="s">
        <v>1643</v>
      </c>
      <c r="R89" s="47">
        <v>13</v>
      </c>
      <c r="S89" s="47">
        <v>225</v>
      </c>
      <c r="T89" s="47">
        <v>0</v>
      </c>
      <c r="U89" s="47">
        <v>0</v>
      </c>
      <c r="V89" s="47">
        <v>62</v>
      </c>
      <c r="W89" s="47">
        <v>744</v>
      </c>
      <c r="X89" s="47">
        <v>0</v>
      </c>
      <c r="Y89" s="47">
        <v>0</v>
      </c>
      <c r="Z89" s="47">
        <v>85</v>
      </c>
      <c r="AA89" s="47">
        <v>1721</v>
      </c>
      <c r="AB89" s="76">
        <f t="shared" si="2"/>
        <v>20.247058823529411</v>
      </c>
      <c r="AC89" s="76">
        <f t="shared" si="3"/>
        <v>0.30508775039886543</v>
      </c>
      <c r="AD89" s="47">
        <v>5641</v>
      </c>
    </row>
    <row r="90" spans="1:30" ht="15.75" thickBot="1" x14ac:dyDescent="0.3">
      <c r="A90" s="44" t="s">
        <v>1119</v>
      </c>
      <c r="B90" s="48" t="s">
        <v>1120</v>
      </c>
      <c r="C90" s="44" t="s">
        <v>798</v>
      </c>
      <c r="D90" s="47">
        <v>24</v>
      </c>
      <c r="E90" s="47">
        <v>344</v>
      </c>
      <c r="F90" s="47">
        <v>0</v>
      </c>
      <c r="G90" s="47">
        <v>0</v>
      </c>
      <c r="H90" s="47">
        <v>6</v>
      </c>
      <c r="I90" s="47">
        <v>203</v>
      </c>
      <c r="J90" s="47">
        <v>0</v>
      </c>
      <c r="K90" s="47">
        <v>0</v>
      </c>
      <c r="L90" s="47">
        <v>96</v>
      </c>
      <c r="M90" s="47">
        <v>16</v>
      </c>
      <c r="N90" s="47">
        <v>112</v>
      </c>
      <c r="O90" s="47">
        <v>30</v>
      </c>
      <c r="P90" s="47">
        <v>547</v>
      </c>
      <c r="Q90" s="44" t="s">
        <v>1644</v>
      </c>
      <c r="R90" s="47">
        <v>1</v>
      </c>
      <c r="S90" s="47">
        <v>8</v>
      </c>
      <c r="T90" s="47">
        <v>0</v>
      </c>
      <c r="U90" s="47">
        <v>0</v>
      </c>
      <c r="V90" s="47">
        <v>70</v>
      </c>
      <c r="W90" s="47">
        <v>653</v>
      </c>
      <c r="X90" s="47">
        <v>41</v>
      </c>
      <c r="Y90" s="47">
        <v>1064</v>
      </c>
      <c r="Z90" s="47">
        <v>141</v>
      </c>
      <c r="AA90" s="47">
        <v>2264</v>
      </c>
      <c r="AB90" s="76">
        <f t="shared" si="2"/>
        <v>16.056737588652481</v>
      </c>
      <c r="AC90" s="76">
        <f t="shared" si="3"/>
        <v>0.3699950972381108</v>
      </c>
      <c r="AD90" s="47">
        <v>6119</v>
      </c>
    </row>
    <row r="91" spans="1:30" ht="15.75" thickBot="1" x14ac:dyDescent="0.3">
      <c r="A91" s="44" t="s">
        <v>1129</v>
      </c>
      <c r="B91" s="48" t="s">
        <v>1130</v>
      </c>
      <c r="C91" s="44" t="s">
        <v>798</v>
      </c>
      <c r="D91" s="47">
        <v>80</v>
      </c>
      <c r="E91" s="47">
        <v>3000</v>
      </c>
      <c r="F91" s="47">
        <v>3</v>
      </c>
      <c r="G91" s="47">
        <v>29</v>
      </c>
      <c r="H91" s="47">
        <v>35</v>
      </c>
      <c r="I91" s="47">
        <v>1798</v>
      </c>
      <c r="J91" s="47">
        <v>9</v>
      </c>
      <c r="K91" s="47">
        <v>39</v>
      </c>
      <c r="L91" s="47">
        <v>125</v>
      </c>
      <c r="M91" s="47">
        <v>10</v>
      </c>
      <c r="N91" s="47">
        <v>135</v>
      </c>
      <c r="O91" s="47">
        <v>115</v>
      </c>
      <c r="P91" s="47">
        <v>4798</v>
      </c>
      <c r="Q91" s="44" t="s">
        <v>1643</v>
      </c>
      <c r="R91" s="47">
        <v>50</v>
      </c>
      <c r="S91" s="47">
        <v>189</v>
      </c>
      <c r="T91" s="47">
        <v>12</v>
      </c>
      <c r="U91" s="47">
        <v>68</v>
      </c>
      <c r="V91" s="47">
        <v>8</v>
      </c>
      <c r="W91" s="47">
        <v>56</v>
      </c>
      <c r="X91" s="47">
        <v>2</v>
      </c>
      <c r="Y91" s="47">
        <v>59</v>
      </c>
      <c r="Z91" s="47">
        <v>137</v>
      </c>
      <c r="AA91" s="47">
        <v>4981</v>
      </c>
      <c r="AB91" s="76">
        <f t="shared" si="2"/>
        <v>36.357664233576642</v>
      </c>
      <c r="AC91" s="76">
        <f t="shared" si="3"/>
        <v>0.75676086295958678</v>
      </c>
      <c r="AD91" s="47">
        <v>6582</v>
      </c>
    </row>
    <row r="92" spans="1:30" ht="15.75" thickBot="1" x14ac:dyDescent="0.3">
      <c r="A92" s="44" t="s">
        <v>1139</v>
      </c>
      <c r="B92" s="48" t="s">
        <v>1140</v>
      </c>
      <c r="C92" s="44" t="s">
        <v>798</v>
      </c>
      <c r="D92" s="47">
        <v>61</v>
      </c>
      <c r="E92" s="47">
        <v>490</v>
      </c>
      <c r="F92" s="47">
        <v>0</v>
      </c>
      <c r="G92" s="47">
        <v>0</v>
      </c>
      <c r="H92" s="47">
        <v>12</v>
      </c>
      <c r="I92" s="47">
        <v>40</v>
      </c>
      <c r="J92" s="47">
        <v>6</v>
      </c>
      <c r="K92" s="47">
        <v>38</v>
      </c>
      <c r="L92" s="47">
        <v>86</v>
      </c>
      <c r="M92" s="47">
        <v>35</v>
      </c>
      <c r="N92" s="47">
        <v>121</v>
      </c>
      <c r="O92" s="47">
        <v>73</v>
      </c>
      <c r="P92" s="47">
        <v>530</v>
      </c>
      <c r="Q92" s="44" t="s">
        <v>1643</v>
      </c>
      <c r="R92" s="47">
        <v>50</v>
      </c>
      <c r="S92" s="47">
        <v>414</v>
      </c>
      <c r="T92" s="47">
        <v>6</v>
      </c>
      <c r="U92" s="47">
        <v>38</v>
      </c>
      <c r="V92" s="47">
        <v>3</v>
      </c>
      <c r="W92" s="47">
        <v>30</v>
      </c>
      <c r="X92" s="47">
        <v>1</v>
      </c>
      <c r="Y92" s="47">
        <v>47</v>
      </c>
      <c r="Z92" s="47">
        <v>83</v>
      </c>
      <c r="AA92" s="47">
        <v>645</v>
      </c>
      <c r="AB92" s="76">
        <f t="shared" si="2"/>
        <v>7.7710843373493974</v>
      </c>
      <c r="AC92" s="76">
        <f t="shared" si="3"/>
        <v>0.10871397269509522</v>
      </c>
      <c r="AD92" s="47">
        <v>5933</v>
      </c>
    </row>
    <row r="93" spans="1:30" ht="15.75" thickBot="1" x14ac:dyDescent="0.3">
      <c r="A93" s="44" t="s">
        <v>1147</v>
      </c>
      <c r="B93" s="48" t="s">
        <v>1148</v>
      </c>
      <c r="C93" s="44" t="s">
        <v>798</v>
      </c>
      <c r="D93" s="47">
        <v>37</v>
      </c>
      <c r="E93" s="47">
        <v>200</v>
      </c>
      <c r="F93" s="47">
        <v>1</v>
      </c>
      <c r="G93" s="47">
        <v>23</v>
      </c>
      <c r="H93" s="47">
        <v>5</v>
      </c>
      <c r="I93" s="47">
        <v>116</v>
      </c>
      <c r="J93" s="47">
        <v>5</v>
      </c>
      <c r="K93" s="47">
        <v>71</v>
      </c>
      <c r="L93" s="47">
        <v>25</v>
      </c>
      <c r="M93" s="47">
        <v>16</v>
      </c>
      <c r="N93" s="47">
        <v>41</v>
      </c>
      <c r="O93" s="47">
        <v>42</v>
      </c>
      <c r="P93" s="47">
        <v>316</v>
      </c>
      <c r="Q93" s="44" t="s">
        <v>1643</v>
      </c>
      <c r="R93" s="47">
        <v>0</v>
      </c>
      <c r="S93" s="47">
        <v>0</v>
      </c>
      <c r="T93" s="47">
        <v>6</v>
      </c>
      <c r="U93" s="47">
        <v>94</v>
      </c>
      <c r="V93" s="47">
        <v>14</v>
      </c>
      <c r="W93" s="47">
        <v>165</v>
      </c>
      <c r="X93" s="47">
        <v>2</v>
      </c>
      <c r="Y93" s="47">
        <v>50</v>
      </c>
      <c r="Z93" s="47">
        <v>64</v>
      </c>
      <c r="AA93" s="47">
        <v>625</v>
      </c>
      <c r="AB93" s="76">
        <f t="shared" si="2"/>
        <v>9.765625</v>
      </c>
      <c r="AC93" s="76">
        <f t="shared" si="3"/>
        <v>0.1481042654028436</v>
      </c>
      <c r="AD93" s="47">
        <v>4220</v>
      </c>
    </row>
    <row r="94" spans="1:30" ht="15.75" thickBot="1" x14ac:dyDescent="0.3">
      <c r="A94" s="44" t="s">
        <v>1151</v>
      </c>
      <c r="B94" s="48" t="s">
        <v>1152</v>
      </c>
      <c r="C94" s="44" t="s">
        <v>798</v>
      </c>
      <c r="D94" s="47">
        <v>72</v>
      </c>
      <c r="E94" s="47">
        <v>823</v>
      </c>
      <c r="F94" s="47">
        <v>38</v>
      </c>
      <c r="G94" s="47">
        <v>351</v>
      </c>
      <c r="H94" s="47">
        <v>30</v>
      </c>
      <c r="I94" s="47">
        <v>758</v>
      </c>
      <c r="J94" s="47">
        <v>8</v>
      </c>
      <c r="K94" s="47">
        <v>167</v>
      </c>
      <c r="L94" s="47">
        <v>191</v>
      </c>
      <c r="M94" s="47">
        <v>72</v>
      </c>
      <c r="N94" s="47">
        <v>263</v>
      </c>
      <c r="O94" s="47">
        <v>102</v>
      </c>
      <c r="P94" s="47">
        <v>1581</v>
      </c>
      <c r="Q94" s="44" t="s">
        <v>1643</v>
      </c>
      <c r="R94" s="47">
        <v>8</v>
      </c>
      <c r="S94" s="47">
        <v>38</v>
      </c>
      <c r="T94" s="47">
        <v>46</v>
      </c>
      <c r="U94" s="47">
        <v>518</v>
      </c>
      <c r="V94" s="47">
        <v>168</v>
      </c>
      <c r="W94" s="47">
        <v>5728</v>
      </c>
      <c r="X94" s="47">
        <v>18</v>
      </c>
      <c r="Y94" s="47">
        <v>386</v>
      </c>
      <c r="Z94" s="47">
        <v>334</v>
      </c>
      <c r="AA94" s="47">
        <v>8213</v>
      </c>
      <c r="AB94" s="76">
        <f t="shared" si="2"/>
        <v>24.589820359281436</v>
      </c>
      <c r="AC94" s="76">
        <f t="shared" si="3"/>
        <v>1.7815618221258134</v>
      </c>
      <c r="AD94" s="47">
        <v>4610</v>
      </c>
    </row>
    <row r="95" spans="1:30" ht="15.75" thickBot="1" x14ac:dyDescent="0.3">
      <c r="A95" s="44" t="s">
        <v>1157</v>
      </c>
      <c r="B95" s="48" t="s">
        <v>1158</v>
      </c>
      <c r="C95" s="44" t="s">
        <v>798</v>
      </c>
      <c r="D95" s="47">
        <v>52</v>
      </c>
      <c r="E95" s="47">
        <v>256</v>
      </c>
      <c r="F95" s="47">
        <v>6</v>
      </c>
      <c r="G95" s="47">
        <v>15</v>
      </c>
      <c r="H95" s="47">
        <v>8</v>
      </c>
      <c r="I95" s="47">
        <v>201</v>
      </c>
      <c r="J95" s="47">
        <v>2</v>
      </c>
      <c r="K95" s="47">
        <v>0</v>
      </c>
      <c r="L95" s="47">
        <v>42</v>
      </c>
      <c r="M95" s="47">
        <v>0</v>
      </c>
      <c r="N95" s="47">
        <v>42</v>
      </c>
      <c r="O95" s="47">
        <v>60</v>
      </c>
      <c r="P95" s="47">
        <v>457</v>
      </c>
      <c r="Q95" s="44" t="s">
        <v>1643</v>
      </c>
      <c r="R95" s="47">
        <v>12</v>
      </c>
      <c r="S95" s="47">
        <v>10</v>
      </c>
      <c r="T95" s="47">
        <v>8</v>
      </c>
      <c r="U95" s="47">
        <v>15</v>
      </c>
      <c r="V95" s="47">
        <v>178</v>
      </c>
      <c r="W95" s="47">
        <v>1691</v>
      </c>
      <c r="X95" s="47">
        <v>1</v>
      </c>
      <c r="Y95" s="47">
        <v>532</v>
      </c>
      <c r="Z95" s="47">
        <v>247</v>
      </c>
      <c r="AA95" s="47">
        <v>2695</v>
      </c>
      <c r="AB95" s="76">
        <f t="shared" si="2"/>
        <v>10.910931174089068</v>
      </c>
      <c r="AC95" s="76">
        <f t="shared" si="3"/>
        <v>0.4872536611824263</v>
      </c>
      <c r="AD95" s="47">
        <v>5531</v>
      </c>
    </row>
    <row r="96" spans="1:30" ht="15.75" thickBot="1" x14ac:dyDescent="0.3">
      <c r="A96" s="44" t="s">
        <v>1161</v>
      </c>
      <c r="B96" s="48" t="s">
        <v>1162</v>
      </c>
      <c r="C96" s="44" t="s">
        <v>798</v>
      </c>
      <c r="D96" s="47">
        <v>101</v>
      </c>
      <c r="E96" s="47">
        <v>2126</v>
      </c>
      <c r="F96" s="47">
        <v>10</v>
      </c>
      <c r="G96" s="47">
        <v>140</v>
      </c>
      <c r="H96" s="47">
        <v>19</v>
      </c>
      <c r="I96" s="47">
        <v>200</v>
      </c>
      <c r="J96" s="47">
        <v>0</v>
      </c>
      <c r="K96" s="47">
        <v>0</v>
      </c>
      <c r="L96" s="47">
        <v>39</v>
      </c>
      <c r="M96" s="47">
        <v>4</v>
      </c>
      <c r="N96" s="47">
        <v>43</v>
      </c>
      <c r="O96" s="47">
        <v>120</v>
      </c>
      <c r="P96" s="47">
        <v>2326</v>
      </c>
      <c r="Q96" s="44" t="s">
        <v>1643</v>
      </c>
      <c r="R96" s="47">
        <v>88</v>
      </c>
      <c r="S96" s="47">
        <v>1848</v>
      </c>
      <c r="T96" s="47">
        <v>10</v>
      </c>
      <c r="U96" s="47">
        <v>140</v>
      </c>
      <c r="V96" s="47">
        <v>59</v>
      </c>
      <c r="W96" s="47">
        <v>581</v>
      </c>
      <c r="X96" s="47">
        <v>0</v>
      </c>
      <c r="Y96" s="47">
        <v>0</v>
      </c>
      <c r="Z96" s="47">
        <v>189</v>
      </c>
      <c r="AA96" s="47">
        <v>3047</v>
      </c>
      <c r="AB96" s="76">
        <f t="shared" si="2"/>
        <v>16.12169312169312</v>
      </c>
      <c r="AC96" s="76">
        <f t="shared" si="3"/>
        <v>0.59663207362443704</v>
      </c>
      <c r="AD96" s="47">
        <v>5107</v>
      </c>
    </row>
    <row r="97" spans="1:30" ht="15.75" thickBot="1" x14ac:dyDescent="0.3">
      <c r="A97" s="44" t="s">
        <v>1167</v>
      </c>
      <c r="B97" s="48" t="s">
        <v>1168</v>
      </c>
      <c r="C97" s="44" t="s">
        <v>798</v>
      </c>
      <c r="D97" s="47">
        <v>136</v>
      </c>
      <c r="E97" s="47">
        <v>2404</v>
      </c>
      <c r="F97" s="47">
        <v>10</v>
      </c>
      <c r="G97" s="47">
        <v>90</v>
      </c>
      <c r="H97" s="47">
        <v>7</v>
      </c>
      <c r="I97" s="47">
        <v>643</v>
      </c>
      <c r="J97" s="47">
        <v>7</v>
      </c>
      <c r="K97" s="47">
        <v>130</v>
      </c>
      <c r="L97" s="47">
        <v>143</v>
      </c>
      <c r="M97" s="47">
        <v>17</v>
      </c>
      <c r="N97" s="47">
        <v>160</v>
      </c>
      <c r="O97" s="47">
        <v>143</v>
      </c>
      <c r="P97" s="47">
        <v>3047</v>
      </c>
      <c r="Q97" s="44" t="s">
        <v>1643</v>
      </c>
      <c r="R97" s="47">
        <v>143</v>
      </c>
      <c r="S97" s="47">
        <v>3047</v>
      </c>
      <c r="T97" s="47">
        <v>17</v>
      </c>
      <c r="U97" s="47">
        <v>220</v>
      </c>
      <c r="V97" s="47">
        <v>161</v>
      </c>
      <c r="W97" s="47">
        <v>1892</v>
      </c>
      <c r="X97" s="47">
        <v>17</v>
      </c>
      <c r="Y97" s="47">
        <v>2948</v>
      </c>
      <c r="Z97" s="47">
        <v>338</v>
      </c>
      <c r="AA97" s="47">
        <v>8107</v>
      </c>
      <c r="AB97" s="76">
        <f t="shared" si="2"/>
        <v>23.985207100591715</v>
      </c>
      <c r="AC97" s="76">
        <f t="shared" si="3"/>
        <v>1.401625172890733</v>
      </c>
      <c r="AD97" s="47">
        <v>5784</v>
      </c>
    </row>
    <row r="98" spans="1:30" ht="15.75" thickBot="1" x14ac:dyDescent="0.3">
      <c r="A98" s="44" t="s">
        <v>1173</v>
      </c>
      <c r="B98" s="48" t="s">
        <v>1174</v>
      </c>
      <c r="C98" s="44" t="s">
        <v>798</v>
      </c>
      <c r="D98" s="47">
        <v>41</v>
      </c>
      <c r="E98" s="47">
        <v>1525</v>
      </c>
      <c r="F98" s="47">
        <v>3</v>
      </c>
      <c r="G98" s="47">
        <v>63</v>
      </c>
      <c r="H98" s="47">
        <v>36</v>
      </c>
      <c r="I98" s="47">
        <v>1071</v>
      </c>
      <c r="J98" s="47">
        <v>7</v>
      </c>
      <c r="K98" s="47">
        <v>86</v>
      </c>
      <c r="L98" s="47">
        <v>93</v>
      </c>
      <c r="M98" s="47">
        <v>16</v>
      </c>
      <c r="N98" s="47">
        <v>109</v>
      </c>
      <c r="O98" s="47">
        <v>77</v>
      </c>
      <c r="P98" s="47">
        <v>2596</v>
      </c>
      <c r="Q98" s="44" t="s">
        <v>1643</v>
      </c>
      <c r="R98" s="47">
        <v>14</v>
      </c>
      <c r="S98" s="47">
        <v>263</v>
      </c>
      <c r="T98" s="47">
        <v>10</v>
      </c>
      <c r="U98" s="47">
        <v>149</v>
      </c>
      <c r="V98" s="47">
        <v>31</v>
      </c>
      <c r="W98" s="47">
        <v>224</v>
      </c>
      <c r="X98" s="47">
        <v>0</v>
      </c>
      <c r="Y98" s="47">
        <v>0</v>
      </c>
      <c r="Z98" s="47">
        <v>118</v>
      </c>
      <c r="AA98" s="47">
        <v>2969</v>
      </c>
      <c r="AB98" s="76">
        <f t="shared" si="2"/>
        <v>25.161016949152543</v>
      </c>
      <c r="AC98" s="76">
        <f t="shared" si="3"/>
        <v>0.519691930684404</v>
      </c>
      <c r="AD98" s="47">
        <v>5713</v>
      </c>
    </row>
    <row r="99" spans="1:30" ht="15.75" thickBot="1" x14ac:dyDescent="0.3">
      <c r="A99" s="44" t="s">
        <v>1177</v>
      </c>
      <c r="B99" s="48" t="s">
        <v>1178</v>
      </c>
      <c r="C99" s="44" t="s">
        <v>798</v>
      </c>
      <c r="D99" s="47">
        <v>50</v>
      </c>
      <c r="E99" s="47">
        <v>856</v>
      </c>
      <c r="F99" s="47">
        <v>20</v>
      </c>
      <c r="G99" s="47">
        <v>647</v>
      </c>
      <c r="H99" s="47">
        <v>17</v>
      </c>
      <c r="I99" s="47">
        <v>514</v>
      </c>
      <c r="J99" s="47">
        <v>8</v>
      </c>
      <c r="K99" s="47">
        <v>84</v>
      </c>
      <c r="L99" s="47">
        <v>117</v>
      </c>
      <c r="M99" s="47">
        <v>33</v>
      </c>
      <c r="N99" s="47">
        <v>150</v>
      </c>
      <c r="O99" s="47">
        <v>67</v>
      </c>
      <c r="P99" s="47">
        <v>1370</v>
      </c>
      <c r="Q99" s="44" t="s">
        <v>1643</v>
      </c>
      <c r="R99" s="47">
        <v>40</v>
      </c>
      <c r="S99" s="47">
        <v>594</v>
      </c>
      <c r="T99" s="47">
        <v>28</v>
      </c>
      <c r="U99" s="47">
        <v>731</v>
      </c>
      <c r="V99" s="47">
        <v>36</v>
      </c>
      <c r="W99" s="47">
        <v>228</v>
      </c>
      <c r="X99" s="47">
        <v>7</v>
      </c>
      <c r="Y99" s="47">
        <v>256</v>
      </c>
      <c r="Z99" s="47">
        <v>138</v>
      </c>
      <c r="AA99" s="47">
        <v>2585</v>
      </c>
      <c r="AB99" s="76">
        <f t="shared" si="2"/>
        <v>18.731884057971016</v>
      </c>
      <c r="AC99" s="76">
        <f t="shared" si="3"/>
        <v>0.40121061617259041</v>
      </c>
      <c r="AD99" s="47">
        <v>6443</v>
      </c>
    </row>
    <row r="100" spans="1:30" ht="15.75" thickBot="1" x14ac:dyDescent="0.3">
      <c r="A100" s="44" t="s">
        <v>1181</v>
      </c>
      <c r="B100" s="48" t="s">
        <v>1182</v>
      </c>
      <c r="C100" s="44" t="s">
        <v>798</v>
      </c>
      <c r="D100" s="47">
        <v>3</v>
      </c>
      <c r="E100" s="47">
        <v>40</v>
      </c>
      <c r="F100" s="47">
        <v>1</v>
      </c>
      <c r="G100" s="47">
        <v>5</v>
      </c>
      <c r="H100" s="47">
        <v>0</v>
      </c>
      <c r="I100" s="47">
        <v>0</v>
      </c>
      <c r="J100" s="47">
        <v>0</v>
      </c>
      <c r="K100" s="47">
        <v>0</v>
      </c>
      <c r="L100" s="47">
        <v>43</v>
      </c>
      <c r="M100" s="47">
        <v>5</v>
      </c>
      <c r="N100" s="47">
        <v>48</v>
      </c>
      <c r="O100" s="47">
        <v>3</v>
      </c>
      <c r="P100" s="47">
        <v>40</v>
      </c>
      <c r="Q100" s="44" t="s">
        <v>1643</v>
      </c>
      <c r="R100" s="47">
        <v>3</v>
      </c>
      <c r="S100" s="47">
        <v>40</v>
      </c>
      <c r="T100" s="47">
        <v>1</v>
      </c>
      <c r="U100" s="47">
        <v>5</v>
      </c>
      <c r="V100" s="47">
        <v>1</v>
      </c>
      <c r="W100" s="47">
        <v>6</v>
      </c>
      <c r="X100" s="47">
        <v>0</v>
      </c>
      <c r="Y100" s="47">
        <v>0</v>
      </c>
      <c r="Z100" s="47">
        <v>5</v>
      </c>
      <c r="AA100" s="47">
        <v>51</v>
      </c>
      <c r="AB100" s="76">
        <f t="shared" si="2"/>
        <v>10.199999999999999</v>
      </c>
      <c r="AC100" s="76">
        <f t="shared" si="3"/>
        <v>1.2500000000000001E-2</v>
      </c>
      <c r="AD100" s="47">
        <v>4080</v>
      </c>
    </row>
    <row r="101" spans="1:30" ht="15.75" thickBot="1" x14ac:dyDescent="0.3">
      <c r="A101" s="44" t="s">
        <v>1183</v>
      </c>
      <c r="B101" s="48" t="s">
        <v>1184</v>
      </c>
      <c r="C101" s="44" t="s">
        <v>798</v>
      </c>
      <c r="D101" s="47">
        <v>69</v>
      </c>
      <c r="E101" s="47">
        <v>1066</v>
      </c>
      <c r="F101" s="47">
        <v>8</v>
      </c>
      <c r="G101" s="47">
        <v>63</v>
      </c>
      <c r="H101" s="47">
        <v>10</v>
      </c>
      <c r="I101" s="47">
        <v>668</v>
      </c>
      <c r="J101" s="47">
        <v>2</v>
      </c>
      <c r="K101" s="47">
        <v>11</v>
      </c>
      <c r="L101" s="47">
        <v>127</v>
      </c>
      <c r="M101" s="47">
        <v>32</v>
      </c>
      <c r="N101" s="47">
        <v>159</v>
      </c>
      <c r="O101" s="47">
        <v>79</v>
      </c>
      <c r="P101" s="47">
        <v>1734</v>
      </c>
      <c r="Q101" s="44" t="s">
        <v>1643</v>
      </c>
      <c r="R101" s="47">
        <v>50</v>
      </c>
      <c r="S101" s="47">
        <v>669</v>
      </c>
      <c r="T101" s="47">
        <v>10</v>
      </c>
      <c r="U101" s="47">
        <v>74</v>
      </c>
      <c r="V101" s="47">
        <v>24</v>
      </c>
      <c r="W101" s="47">
        <v>159</v>
      </c>
      <c r="X101" s="47">
        <v>3</v>
      </c>
      <c r="Y101" s="47">
        <v>183</v>
      </c>
      <c r="Z101" s="47">
        <v>116</v>
      </c>
      <c r="AA101" s="47">
        <v>2150</v>
      </c>
      <c r="AB101" s="76">
        <f t="shared" si="2"/>
        <v>18.53448275862069</v>
      </c>
      <c r="AC101" s="76">
        <f t="shared" si="3"/>
        <v>0.41266794625719772</v>
      </c>
      <c r="AD101" s="47">
        <v>5210</v>
      </c>
    </row>
    <row r="102" spans="1:30" ht="15.75" thickBot="1" x14ac:dyDescent="0.3">
      <c r="A102" s="44" t="s">
        <v>1185</v>
      </c>
      <c r="B102" s="48" t="s">
        <v>1186</v>
      </c>
      <c r="C102" s="44" t="s">
        <v>798</v>
      </c>
      <c r="D102" s="47">
        <v>54</v>
      </c>
      <c r="E102" s="47">
        <v>429</v>
      </c>
      <c r="F102" s="47">
        <v>211</v>
      </c>
      <c r="G102" s="47">
        <v>2580</v>
      </c>
      <c r="H102" s="47">
        <v>5</v>
      </c>
      <c r="I102" s="47">
        <v>203</v>
      </c>
      <c r="J102" s="47">
        <v>0</v>
      </c>
      <c r="K102" s="47">
        <v>0</v>
      </c>
      <c r="L102" s="47">
        <v>42</v>
      </c>
      <c r="M102" s="47">
        <v>0</v>
      </c>
      <c r="N102" s="47">
        <v>42</v>
      </c>
      <c r="O102" s="47">
        <v>59</v>
      </c>
      <c r="P102" s="47">
        <v>632</v>
      </c>
      <c r="Q102" s="44" t="s">
        <v>1643</v>
      </c>
      <c r="R102" s="47">
        <v>54</v>
      </c>
      <c r="S102" s="47">
        <v>429</v>
      </c>
      <c r="T102" s="47">
        <v>211</v>
      </c>
      <c r="U102" s="47">
        <v>2580</v>
      </c>
      <c r="V102" s="47">
        <v>2</v>
      </c>
      <c r="W102" s="47">
        <v>28</v>
      </c>
      <c r="X102" s="47">
        <v>0</v>
      </c>
      <c r="Y102" s="47">
        <v>0</v>
      </c>
      <c r="Z102" s="47">
        <v>272</v>
      </c>
      <c r="AA102" s="47">
        <v>3240</v>
      </c>
      <c r="AB102" s="76">
        <f t="shared" si="2"/>
        <v>11.911764705882353</v>
      </c>
      <c r="AC102" s="76">
        <f t="shared" si="3"/>
        <v>0.46305559525510931</v>
      </c>
      <c r="AD102" s="47">
        <v>6997</v>
      </c>
    </row>
    <row r="103" spans="1:30" ht="15.75" thickBot="1" x14ac:dyDescent="0.3">
      <c r="A103" s="44" t="s">
        <v>1197</v>
      </c>
      <c r="B103" s="48" t="s">
        <v>1198</v>
      </c>
      <c r="C103" s="44" t="s">
        <v>798</v>
      </c>
      <c r="D103" s="47">
        <v>24</v>
      </c>
      <c r="E103" s="47">
        <v>446</v>
      </c>
      <c r="F103" s="47">
        <v>42</v>
      </c>
      <c r="G103" s="47">
        <v>484</v>
      </c>
      <c r="H103" s="47">
        <v>7</v>
      </c>
      <c r="I103" s="47">
        <v>739</v>
      </c>
      <c r="J103" s="47">
        <v>8</v>
      </c>
      <c r="K103" s="47">
        <v>100</v>
      </c>
      <c r="L103" s="47">
        <v>205</v>
      </c>
      <c r="M103" s="47">
        <v>62</v>
      </c>
      <c r="N103" s="47">
        <v>267</v>
      </c>
      <c r="O103" s="47">
        <v>31</v>
      </c>
      <c r="P103" s="47">
        <v>1185</v>
      </c>
      <c r="Q103" s="44" t="s">
        <v>1643</v>
      </c>
      <c r="R103" s="47">
        <v>73</v>
      </c>
      <c r="S103" s="47">
        <v>640</v>
      </c>
      <c r="T103" s="47">
        <v>50</v>
      </c>
      <c r="U103" s="47">
        <v>584</v>
      </c>
      <c r="V103" s="47">
        <v>84</v>
      </c>
      <c r="W103" s="47">
        <v>572</v>
      </c>
      <c r="X103" s="47">
        <v>44</v>
      </c>
      <c r="Y103" s="47">
        <v>749</v>
      </c>
      <c r="Z103" s="47">
        <v>209</v>
      </c>
      <c r="AA103" s="47">
        <v>3090</v>
      </c>
      <c r="AB103" s="76">
        <f t="shared" si="2"/>
        <v>14.78468899521531</v>
      </c>
      <c r="AC103" s="76">
        <f t="shared" si="3"/>
        <v>0.74136276391554701</v>
      </c>
      <c r="AD103" s="47">
        <v>4168</v>
      </c>
    </row>
    <row r="104" spans="1:30" ht="15.75" thickBot="1" x14ac:dyDescent="0.3">
      <c r="A104" s="44" t="s">
        <v>1211</v>
      </c>
      <c r="B104" s="48" t="s">
        <v>1212</v>
      </c>
      <c r="C104" s="44" t="s">
        <v>798</v>
      </c>
      <c r="D104" s="47">
        <v>96</v>
      </c>
      <c r="E104" s="47">
        <v>1653</v>
      </c>
      <c r="F104" s="47">
        <v>19</v>
      </c>
      <c r="G104" s="47">
        <v>82</v>
      </c>
      <c r="H104" s="47">
        <v>40</v>
      </c>
      <c r="I104" s="47">
        <v>944</v>
      </c>
      <c r="J104" s="47">
        <v>7</v>
      </c>
      <c r="K104" s="47">
        <v>34</v>
      </c>
      <c r="L104" s="47">
        <v>290</v>
      </c>
      <c r="M104" s="47">
        <v>46</v>
      </c>
      <c r="N104" s="47">
        <v>336</v>
      </c>
      <c r="O104" s="47">
        <v>136</v>
      </c>
      <c r="P104" s="47">
        <v>2597</v>
      </c>
      <c r="Q104" s="44" t="s">
        <v>1643</v>
      </c>
      <c r="R104" s="47">
        <v>85</v>
      </c>
      <c r="S104" s="47">
        <v>1666</v>
      </c>
      <c r="T104" s="47">
        <v>26</v>
      </c>
      <c r="U104" s="47">
        <v>116</v>
      </c>
      <c r="V104" s="47">
        <v>26</v>
      </c>
      <c r="W104" s="47">
        <v>283</v>
      </c>
      <c r="X104" s="47">
        <v>24</v>
      </c>
      <c r="Y104" s="47">
        <v>419</v>
      </c>
      <c r="Z104" s="47">
        <v>212</v>
      </c>
      <c r="AA104" s="47">
        <v>3415</v>
      </c>
      <c r="AB104" s="76">
        <f t="shared" si="2"/>
        <v>16.108490566037737</v>
      </c>
      <c r="AC104" s="76">
        <f t="shared" si="3"/>
        <v>0.69213619781110658</v>
      </c>
      <c r="AD104" s="47">
        <v>4934</v>
      </c>
    </row>
    <row r="105" spans="1:30" ht="15.75" thickBot="1" x14ac:dyDescent="0.3">
      <c r="A105" s="44" t="s">
        <v>1213</v>
      </c>
      <c r="B105" s="48" t="s">
        <v>1214</v>
      </c>
      <c r="C105" s="44" t="s">
        <v>798</v>
      </c>
      <c r="D105" s="47">
        <v>46</v>
      </c>
      <c r="E105" s="47">
        <v>1120</v>
      </c>
      <c r="F105" s="47">
        <v>2</v>
      </c>
      <c r="G105" s="47">
        <v>116</v>
      </c>
      <c r="H105" s="47">
        <v>9</v>
      </c>
      <c r="I105" s="47">
        <v>292</v>
      </c>
      <c r="J105" s="47">
        <v>0</v>
      </c>
      <c r="K105" s="47">
        <v>0</v>
      </c>
      <c r="L105" s="47">
        <v>33</v>
      </c>
      <c r="M105" s="47">
        <v>8</v>
      </c>
      <c r="N105" s="47">
        <v>41</v>
      </c>
      <c r="O105" s="47">
        <v>55</v>
      </c>
      <c r="P105" s="47">
        <v>1412</v>
      </c>
      <c r="Q105" s="44" t="s">
        <v>1643</v>
      </c>
      <c r="R105" s="47">
        <v>46</v>
      </c>
      <c r="S105" s="47">
        <v>1120</v>
      </c>
      <c r="T105" s="47">
        <v>2</v>
      </c>
      <c r="U105" s="47">
        <v>116</v>
      </c>
      <c r="V105" s="47">
        <v>40</v>
      </c>
      <c r="W105" s="47">
        <v>489</v>
      </c>
      <c r="X105" s="47">
        <v>11</v>
      </c>
      <c r="Y105" s="47">
        <v>338</v>
      </c>
      <c r="Z105" s="47">
        <v>108</v>
      </c>
      <c r="AA105" s="47">
        <v>2355</v>
      </c>
      <c r="AB105" s="76">
        <f t="shared" si="2"/>
        <v>21.805555555555557</v>
      </c>
      <c r="AC105" s="76">
        <f t="shared" si="3"/>
        <v>0.40208297763360085</v>
      </c>
      <c r="AD105" s="47">
        <v>5857</v>
      </c>
    </row>
    <row r="106" spans="1:30" ht="15.75" thickBot="1" x14ac:dyDescent="0.3">
      <c r="A106" s="44" t="s">
        <v>1233</v>
      </c>
      <c r="B106" s="48" t="s">
        <v>1234</v>
      </c>
      <c r="C106" s="44" t="s">
        <v>798</v>
      </c>
      <c r="D106" s="47">
        <v>52</v>
      </c>
      <c r="E106" s="47">
        <v>319</v>
      </c>
      <c r="F106" s="47">
        <v>0</v>
      </c>
      <c r="G106" s="47">
        <v>0</v>
      </c>
      <c r="H106" s="47">
        <v>6</v>
      </c>
      <c r="I106" s="47">
        <v>131</v>
      </c>
      <c r="J106" s="47">
        <v>0</v>
      </c>
      <c r="K106" s="47">
        <v>0</v>
      </c>
      <c r="L106" s="47">
        <v>61</v>
      </c>
      <c r="M106" s="47">
        <v>0</v>
      </c>
      <c r="N106" s="47">
        <v>61</v>
      </c>
      <c r="O106" s="47">
        <v>58</v>
      </c>
      <c r="P106" s="47">
        <v>450</v>
      </c>
      <c r="Q106" s="44" t="s">
        <v>1643</v>
      </c>
      <c r="R106" s="47">
        <v>34</v>
      </c>
      <c r="S106" s="47">
        <v>238</v>
      </c>
      <c r="T106" s="47">
        <v>0</v>
      </c>
      <c r="U106" s="47">
        <v>0</v>
      </c>
      <c r="V106" s="47">
        <v>12</v>
      </c>
      <c r="W106" s="47">
        <v>173</v>
      </c>
      <c r="X106" s="47">
        <v>10</v>
      </c>
      <c r="Y106" s="47">
        <v>225</v>
      </c>
      <c r="Z106" s="47">
        <v>80</v>
      </c>
      <c r="AA106" s="47">
        <v>848</v>
      </c>
      <c r="AB106" s="76">
        <f t="shared" si="2"/>
        <v>10.6</v>
      </c>
      <c r="AC106" s="76">
        <f t="shared" si="3"/>
        <v>0.2047814537551316</v>
      </c>
      <c r="AD106" s="47">
        <v>4141</v>
      </c>
    </row>
    <row r="107" spans="1:30" ht="15.75" thickBot="1" x14ac:dyDescent="0.3">
      <c r="A107" s="44" t="s">
        <v>1239</v>
      </c>
      <c r="B107" s="48" t="s">
        <v>1240</v>
      </c>
      <c r="C107" s="44" t="s">
        <v>798</v>
      </c>
      <c r="D107" s="47">
        <v>3</v>
      </c>
      <c r="E107" s="47">
        <v>305</v>
      </c>
      <c r="F107" s="47">
        <v>0</v>
      </c>
      <c r="G107" s="47">
        <v>0</v>
      </c>
      <c r="H107" s="47">
        <v>1</v>
      </c>
      <c r="I107" s="47">
        <v>74</v>
      </c>
      <c r="J107" s="47">
        <v>0</v>
      </c>
      <c r="K107" s="47">
        <v>0</v>
      </c>
      <c r="L107" s="47">
        <v>63</v>
      </c>
      <c r="M107" s="47">
        <v>3</v>
      </c>
      <c r="N107" s="47">
        <v>66</v>
      </c>
      <c r="O107" s="47">
        <v>4</v>
      </c>
      <c r="P107" s="47">
        <v>379</v>
      </c>
      <c r="Q107" s="44" t="s">
        <v>1643</v>
      </c>
      <c r="R107" s="47">
        <v>1</v>
      </c>
      <c r="S107" s="47">
        <v>13</v>
      </c>
      <c r="T107" s="47">
        <v>0</v>
      </c>
      <c r="U107" s="47">
        <v>0</v>
      </c>
      <c r="V107" s="47">
        <v>8</v>
      </c>
      <c r="W107" s="47">
        <v>160</v>
      </c>
      <c r="X107" s="47">
        <v>0</v>
      </c>
      <c r="Y107" s="47">
        <v>0</v>
      </c>
      <c r="Z107" s="47">
        <v>12</v>
      </c>
      <c r="AA107" s="47">
        <v>539</v>
      </c>
      <c r="AB107" s="76">
        <f t="shared" si="2"/>
        <v>44.916666666666664</v>
      </c>
      <c r="AC107" s="76">
        <f t="shared" si="3"/>
        <v>0.12842506552299263</v>
      </c>
      <c r="AD107" s="47">
        <v>4197</v>
      </c>
    </row>
    <row r="108" spans="1:30" ht="15.75" thickBot="1" x14ac:dyDescent="0.3">
      <c r="A108" s="44" t="s">
        <v>1245</v>
      </c>
      <c r="B108" s="48" t="s">
        <v>1246</v>
      </c>
      <c r="C108" s="44" t="s">
        <v>798</v>
      </c>
      <c r="D108" s="47">
        <v>143</v>
      </c>
      <c r="E108" s="47">
        <v>1624</v>
      </c>
      <c r="F108" s="47">
        <v>0</v>
      </c>
      <c r="G108" s="47">
        <v>0</v>
      </c>
      <c r="H108" s="47">
        <v>32</v>
      </c>
      <c r="I108" s="47">
        <v>371</v>
      </c>
      <c r="J108" s="47">
        <v>0</v>
      </c>
      <c r="K108" s="47">
        <v>0</v>
      </c>
      <c r="L108" s="47">
        <v>15</v>
      </c>
      <c r="M108" s="47">
        <v>0</v>
      </c>
      <c r="N108" s="47">
        <v>15</v>
      </c>
      <c r="O108" s="47">
        <v>175</v>
      </c>
      <c r="P108" s="47">
        <v>1995</v>
      </c>
      <c r="Q108" s="44" t="s">
        <v>1643</v>
      </c>
      <c r="R108" s="47">
        <v>120</v>
      </c>
      <c r="S108" s="47">
        <v>1440</v>
      </c>
      <c r="T108" s="47">
        <v>0</v>
      </c>
      <c r="U108" s="47">
        <v>0</v>
      </c>
      <c r="V108" s="47">
        <v>0</v>
      </c>
      <c r="W108" s="47">
        <v>0</v>
      </c>
      <c r="X108" s="47">
        <v>173</v>
      </c>
      <c r="Y108" s="47">
        <v>1196</v>
      </c>
      <c r="Z108" s="47">
        <v>348</v>
      </c>
      <c r="AA108" s="47">
        <v>3191</v>
      </c>
      <c r="AB108" s="76">
        <f t="shared" si="2"/>
        <v>9.1695402298850581</v>
      </c>
      <c r="AC108" s="76">
        <f t="shared" si="3"/>
        <v>0.62963693764798734</v>
      </c>
      <c r="AD108" s="47">
        <v>5068</v>
      </c>
    </row>
    <row r="109" spans="1:30" ht="15.75" thickBot="1" x14ac:dyDescent="0.3">
      <c r="A109" s="44" t="s">
        <v>1249</v>
      </c>
      <c r="B109" s="48" t="s">
        <v>1250</v>
      </c>
      <c r="C109" s="44" t="s">
        <v>798</v>
      </c>
      <c r="D109" s="47">
        <v>37</v>
      </c>
      <c r="E109" s="47">
        <v>165</v>
      </c>
      <c r="F109" s="47">
        <v>0</v>
      </c>
      <c r="G109" s="47">
        <v>0</v>
      </c>
      <c r="H109" s="47">
        <v>1</v>
      </c>
      <c r="I109" s="47">
        <v>30</v>
      </c>
      <c r="J109" s="47">
        <v>0</v>
      </c>
      <c r="K109" s="47">
        <v>0</v>
      </c>
      <c r="L109" s="44">
        <v>0</v>
      </c>
      <c r="M109" s="44">
        <v>0</v>
      </c>
      <c r="N109" s="44">
        <v>0</v>
      </c>
      <c r="O109" s="47">
        <v>38</v>
      </c>
      <c r="P109" s="47">
        <v>195</v>
      </c>
      <c r="Q109" s="44" t="s">
        <v>1643</v>
      </c>
      <c r="R109" s="47">
        <v>37</v>
      </c>
      <c r="S109" s="47">
        <v>165</v>
      </c>
      <c r="T109" s="47">
        <v>0</v>
      </c>
      <c r="U109" s="47">
        <v>0</v>
      </c>
      <c r="V109" s="47">
        <v>0</v>
      </c>
      <c r="W109" s="47">
        <v>0</v>
      </c>
      <c r="X109" s="47">
        <v>0</v>
      </c>
      <c r="Y109" s="47">
        <v>0</v>
      </c>
      <c r="Z109" s="47">
        <v>38</v>
      </c>
      <c r="AA109" s="47">
        <v>195</v>
      </c>
      <c r="AB109" s="76">
        <f t="shared" si="2"/>
        <v>5.1315789473684212</v>
      </c>
      <c r="AC109" s="76">
        <f t="shared" si="3"/>
        <v>3.92512077294686E-2</v>
      </c>
      <c r="AD109" s="47">
        <v>4968</v>
      </c>
    </row>
    <row r="110" spans="1:30" ht="15.75" thickBot="1" x14ac:dyDescent="0.3">
      <c r="A110" s="44" t="s">
        <v>1261</v>
      </c>
      <c r="B110" s="48" t="s">
        <v>1262</v>
      </c>
      <c r="C110" s="44" t="s">
        <v>798</v>
      </c>
      <c r="D110" s="47">
        <v>32</v>
      </c>
      <c r="E110" s="47">
        <v>1060</v>
      </c>
      <c r="F110" s="47">
        <v>5</v>
      </c>
      <c r="G110" s="47">
        <v>20</v>
      </c>
      <c r="H110" s="47">
        <v>10</v>
      </c>
      <c r="I110" s="47">
        <v>192</v>
      </c>
      <c r="J110" s="47">
        <v>0</v>
      </c>
      <c r="K110" s="47">
        <v>0</v>
      </c>
      <c r="L110" s="47">
        <v>63</v>
      </c>
      <c r="M110" s="47">
        <v>0</v>
      </c>
      <c r="N110" s="47">
        <v>63</v>
      </c>
      <c r="O110" s="47">
        <v>42</v>
      </c>
      <c r="P110" s="47">
        <v>1252</v>
      </c>
      <c r="Q110" s="44" t="s">
        <v>1643</v>
      </c>
      <c r="R110" s="47">
        <v>30</v>
      </c>
      <c r="S110" s="47">
        <v>329</v>
      </c>
      <c r="T110" s="47">
        <v>5</v>
      </c>
      <c r="U110" s="47">
        <v>20</v>
      </c>
      <c r="V110" s="47">
        <v>52</v>
      </c>
      <c r="W110" s="47">
        <v>1152</v>
      </c>
      <c r="X110" s="47">
        <v>4</v>
      </c>
      <c r="Y110" s="47">
        <v>66</v>
      </c>
      <c r="Z110" s="47">
        <v>103</v>
      </c>
      <c r="AA110" s="47">
        <v>2490</v>
      </c>
      <c r="AB110" s="76">
        <f t="shared" si="2"/>
        <v>24.174757281553397</v>
      </c>
      <c r="AC110" s="76">
        <f t="shared" si="3"/>
        <v>0.60716898317483536</v>
      </c>
      <c r="AD110" s="47">
        <v>4101</v>
      </c>
    </row>
    <row r="111" spans="1:30" ht="15.75" thickBot="1" x14ac:dyDescent="0.3">
      <c r="A111" s="44" t="s">
        <v>1263</v>
      </c>
      <c r="B111" s="48" t="s">
        <v>1264</v>
      </c>
      <c r="C111" s="44" t="s">
        <v>798</v>
      </c>
      <c r="D111" s="47">
        <v>11</v>
      </c>
      <c r="E111" s="47">
        <v>212</v>
      </c>
      <c r="F111" s="47">
        <v>0</v>
      </c>
      <c r="G111" s="47">
        <v>0</v>
      </c>
      <c r="H111" s="47">
        <v>3</v>
      </c>
      <c r="I111" s="47">
        <v>142</v>
      </c>
      <c r="J111" s="47">
        <v>0</v>
      </c>
      <c r="K111" s="47">
        <v>0</v>
      </c>
      <c r="L111" s="47">
        <v>132</v>
      </c>
      <c r="M111" s="47">
        <v>17</v>
      </c>
      <c r="N111" s="47">
        <v>149</v>
      </c>
      <c r="O111" s="47">
        <v>14</v>
      </c>
      <c r="P111" s="47">
        <v>354</v>
      </c>
      <c r="Q111" s="44" t="s">
        <v>1643</v>
      </c>
      <c r="R111" s="47">
        <v>9</v>
      </c>
      <c r="S111" s="47">
        <v>182</v>
      </c>
      <c r="T111" s="47">
        <v>0</v>
      </c>
      <c r="U111" s="47">
        <v>0</v>
      </c>
      <c r="V111" s="47">
        <v>11</v>
      </c>
      <c r="W111" s="47">
        <v>110</v>
      </c>
      <c r="X111" s="47">
        <v>0</v>
      </c>
      <c r="Y111" s="47">
        <v>0</v>
      </c>
      <c r="Z111" s="47">
        <v>25</v>
      </c>
      <c r="AA111" s="47">
        <v>464</v>
      </c>
      <c r="AB111" s="76">
        <f t="shared" si="2"/>
        <v>18.559999999999999</v>
      </c>
      <c r="AC111" s="76">
        <f t="shared" si="3"/>
        <v>8.8532722762831514E-2</v>
      </c>
      <c r="AD111" s="47">
        <v>5241</v>
      </c>
    </row>
    <row r="112" spans="1:30" ht="15.75" thickBot="1" x14ac:dyDescent="0.3">
      <c r="A112" s="44" t="s">
        <v>1271</v>
      </c>
      <c r="B112" s="48" t="s">
        <v>1272</v>
      </c>
      <c r="C112" s="44" t="s">
        <v>798</v>
      </c>
      <c r="D112" s="47">
        <v>24</v>
      </c>
      <c r="E112" s="47">
        <v>298</v>
      </c>
      <c r="F112" s="47">
        <v>0</v>
      </c>
      <c r="G112" s="47">
        <v>0</v>
      </c>
      <c r="H112" s="47">
        <v>12</v>
      </c>
      <c r="I112" s="47">
        <v>858</v>
      </c>
      <c r="J112" s="47">
        <v>0</v>
      </c>
      <c r="K112" s="47">
        <v>0</v>
      </c>
      <c r="L112" s="47">
        <v>143</v>
      </c>
      <c r="M112" s="44">
        <v>0</v>
      </c>
      <c r="N112" s="47">
        <v>143</v>
      </c>
      <c r="O112" s="47">
        <v>36</v>
      </c>
      <c r="P112" s="47">
        <v>1156</v>
      </c>
      <c r="Q112" s="44" t="s">
        <v>1643</v>
      </c>
      <c r="R112" s="47">
        <v>12</v>
      </c>
      <c r="S112" s="47">
        <v>162</v>
      </c>
      <c r="T112" s="47">
        <v>0</v>
      </c>
      <c r="U112" s="47">
        <v>0</v>
      </c>
      <c r="V112" s="47">
        <v>9</v>
      </c>
      <c r="W112" s="47">
        <v>65</v>
      </c>
      <c r="X112" s="47">
        <v>38</v>
      </c>
      <c r="Y112" s="47">
        <v>1456</v>
      </c>
      <c r="Z112" s="47">
        <v>83</v>
      </c>
      <c r="AA112" s="47">
        <v>2677</v>
      </c>
      <c r="AB112" s="76">
        <f t="shared" si="2"/>
        <v>32.253012048192772</v>
      </c>
      <c r="AC112" s="76">
        <f t="shared" si="3"/>
        <v>0.51879844961240307</v>
      </c>
      <c r="AD112" s="47">
        <v>5160</v>
      </c>
    </row>
    <row r="113" spans="1:30" ht="15.75" thickBot="1" x14ac:dyDescent="0.3">
      <c r="A113" s="44" t="s">
        <v>1273</v>
      </c>
      <c r="B113" s="48" t="s">
        <v>1274</v>
      </c>
      <c r="C113" s="44" t="s">
        <v>798</v>
      </c>
      <c r="D113" s="47">
        <v>582</v>
      </c>
      <c r="E113" s="47">
        <v>14550</v>
      </c>
      <c r="F113" s="47">
        <v>0</v>
      </c>
      <c r="G113" s="47">
        <v>0</v>
      </c>
      <c r="H113" s="47">
        <v>8</v>
      </c>
      <c r="I113" s="47">
        <v>375</v>
      </c>
      <c r="J113" s="47">
        <v>0</v>
      </c>
      <c r="K113" s="47">
        <v>0</v>
      </c>
      <c r="L113" s="47">
        <v>105</v>
      </c>
      <c r="M113" s="47">
        <v>0</v>
      </c>
      <c r="N113" s="47">
        <v>105</v>
      </c>
      <c r="O113" s="47">
        <v>590</v>
      </c>
      <c r="P113" s="47">
        <v>14925</v>
      </c>
      <c r="Q113" s="44" t="s">
        <v>1643</v>
      </c>
      <c r="R113" s="47">
        <v>35</v>
      </c>
      <c r="S113" s="47">
        <v>525</v>
      </c>
      <c r="T113" s="47">
        <v>0</v>
      </c>
      <c r="U113" s="47">
        <v>0</v>
      </c>
      <c r="V113" s="47">
        <v>9</v>
      </c>
      <c r="W113" s="47">
        <v>9</v>
      </c>
      <c r="X113" s="47">
        <v>4</v>
      </c>
      <c r="Y113" s="47">
        <v>175</v>
      </c>
      <c r="Z113" s="47">
        <v>603</v>
      </c>
      <c r="AA113" s="47">
        <v>15109</v>
      </c>
      <c r="AB113" s="76">
        <f t="shared" si="2"/>
        <v>25.056384742951906</v>
      </c>
      <c r="AC113" s="76">
        <f t="shared" si="3"/>
        <v>2.5867146036637561</v>
      </c>
      <c r="AD113" s="47">
        <v>5841</v>
      </c>
    </row>
    <row r="114" spans="1:30" ht="15.75" thickBot="1" x14ac:dyDescent="0.3">
      <c r="A114" s="44" t="s">
        <v>1279</v>
      </c>
      <c r="B114" s="48" t="s">
        <v>1280</v>
      </c>
      <c r="C114" s="44" t="s">
        <v>798</v>
      </c>
      <c r="D114" s="47">
        <v>31</v>
      </c>
      <c r="E114" s="47">
        <v>340</v>
      </c>
      <c r="F114" s="47">
        <v>0</v>
      </c>
      <c r="G114" s="47">
        <v>0</v>
      </c>
      <c r="H114" s="47">
        <v>6</v>
      </c>
      <c r="I114" s="47">
        <v>112</v>
      </c>
      <c r="J114" s="47">
        <v>0</v>
      </c>
      <c r="K114" s="47">
        <v>0</v>
      </c>
      <c r="L114" s="47">
        <v>112</v>
      </c>
      <c r="M114" s="47">
        <v>0</v>
      </c>
      <c r="N114" s="47">
        <v>112</v>
      </c>
      <c r="O114" s="47">
        <v>37</v>
      </c>
      <c r="P114" s="47">
        <v>452</v>
      </c>
      <c r="Q114" s="44" t="s">
        <v>1643</v>
      </c>
      <c r="R114" s="47">
        <v>31</v>
      </c>
      <c r="S114" s="44">
        <v>0</v>
      </c>
      <c r="T114" s="47">
        <v>0</v>
      </c>
      <c r="U114" s="47">
        <v>0</v>
      </c>
      <c r="V114" s="47">
        <v>0</v>
      </c>
      <c r="W114" s="47">
        <v>0</v>
      </c>
      <c r="X114" s="47">
        <v>118</v>
      </c>
      <c r="Y114" s="47">
        <v>349</v>
      </c>
      <c r="Z114" s="47">
        <v>155</v>
      </c>
      <c r="AA114" s="47">
        <v>801</v>
      </c>
      <c r="AB114" s="76">
        <f t="shared" si="2"/>
        <v>5.1677419354838712</v>
      </c>
      <c r="AC114" s="76">
        <f t="shared" si="3"/>
        <v>0.1693446088794926</v>
      </c>
      <c r="AD114" s="47">
        <v>4730</v>
      </c>
    </row>
    <row r="115" spans="1:30" ht="15.75" thickBot="1" x14ac:dyDescent="0.3">
      <c r="A115" s="44" t="s">
        <v>1297</v>
      </c>
      <c r="B115" s="48" t="s">
        <v>1298</v>
      </c>
      <c r="C115" s="44" t="s">
        <v>798</v>
      </c>
      <c r="D115" s="47">
        <v>24</v>
      </c>
      <c r="E115" s="47">
        <v>205</v>
      </c>
      <c r="F115" s="47">
        <v>1</v>
      </c>
      <c r="G115" s="47">
        <v>6</v>
      </c>
      <c r="H115" s="47">
        <v>6</v>
      </c>
      <c r="I115" s="47">
        <v>92</v>
      </c>
      <c r="J115" s="47">
        <v>4</v>
      </c>
      <c r="K115" s="47">
        <v>18</v>
      </c>
      <c r="L115" s="47">
        <v>70</v>
      </c>
      <c r="M115" s="47">
        <v>22</v>
      </c>
      <c r="N115" s="47">
        <v>92</v>
      </c>
      <c r="O115" s="47">
        <v>30</v>
      </c>
      <c r="P115" s="47">
        <v>297</v>
      </c>
      <c r="Q115" s="44" t="s">
        <v>1644</v>
      </c>
      <c r="R115" s="47">
        <v>0</v>
      </c>
      <c r="S115" s="47">
        <v>0</v>
      </c>
      <c r="T115" s="47">
        <v>5</v>
      </c>
      <c r="U115" s="47">
        <v>24</v>
      </c>
      <c r="V115" s="47">
        <v>77</v>
      </c>
      <c r="W115" s="47">
        <v>879</v>
      </c>
      <c r="X115" s="47">
        <v>2</v>
      </c>
      <c r="Y115" s="47">
        <v>95</v>
      </c>
      <c r="Z115" s="47">
        <v>114</v>
      </c>
      <c r="AA115" s="47">
        <v>1295</v>
      </c>
      <c r="AB115" s="76">
        <f t="shared" si="2"/>
        <v>11.359649122807017</v>
      </c>
      <c r="AC115" s="76">
        <f t="shared" si="3"/>
        <v>0.25532334384858046</v>
      </c>
      <c r="AD115" s="47">
        <v>5072</v>
      </c>
    </row>
    <row r="116" spans="1:30" ht="15.75" thickBot="1" x14ac:dyDescent="0.3">
      <c r="A116" s="44" t="s">
        <v>1299</v>
      </c>
      <c r="B116" s="48" t="s">
        <v>1300</v>
      </c>
      <c r="C116" s="44" t="s">
        <v>798</v>
      </c>
      <c r="D116" s="47">
        <v>80</v>
      </c>
      <c r="E116" s="47">
        <v>1520</v>
      </c>
      <c r="F116" s="47">
        <v>0</v>
      </c>
      <c r="G116" s="47">
        <v>0</v>
      </c>
      <c r="H116" s="47">
        <v>22</v>
      </c>
      <c r="I116" s="47">
        <v>1484</v>
      </c>
      <c r="J116" s="47">
        <v>6</v>
      </c>
      <c r="K116" s="47">
        <v>210</v>
      </c>
      <c r="L116" s="47">
        <v>205</v>
      </c>
      <c r="M116" s="47">
        <v>35</v>
      </c>
      <c r="N116" s="47">
        <v>240</v>
      </c>
      <c r="O116" s="47">
        <v>102</v>
      </c>
      <c r="P116" s="47">
        <v>3004</v>
      </c>
      <c r="Q116" s="44" t="s">
        <v>1643</v>
      </c>
      <c r="R116" s="47">
        <v>60</v>
      </c>
      <c r="S116" s="47">
        <v>1740</v>
      </c>
      <c r="T116" s="47">
        <v>6</v>
      </c>
      <c r="U116" s="47">
        <v>210</v>
      </c>
      <c r="V116" s="47">
        <v>18</v>
      </c>
      <c r="W116" s="47">
        <v>360</v>
      </c>
      <c r="X116" s="47">
        <v>4</v>
      </c>
      <c r="Y116" s="47">
        <v>585</v>
      </c>
      <c r="Z116" s="47">
        <v>130</v>
      </c>
      <c r="AA116" s="47">
        <v>4159</v>
      </c>
      <c r="AB116" s="76">
        <f t="shared" si="2"/>
        <v>31.992307692307691</v>
      </c>
      <c r="AC116" s="76">
        <f t="shared" si="3"/>
        <v>0.62692191739523662</v>
      </c>
      <c r="AD116" s="47">
        <v>6634</v>
      </c>
    </row>
    <row r="117" spans="1:30" ht="15.75" thickBot="1" x14ac:dyDescent="0.3">
      <c r="A117" s="44" t="s">
        <v>1311</v>
      </c>
      <c r="B117" s="48" t="s">
        <v>1312</v>
      </c>
      <c r="C117" s="44" t="s">
        <v>798</v>
      </c>
      <c r="D117" s="47">
        <v>180</v>
      </c>
      <c r="E117" s="47">
        <v>1420</v>
      </c>
      <c r="F117" s="47">
        <v>35</v>
      </c>
      <c r="G117" s="47">
        <v>356</v>
      </c>
      <c r="H117" s="47">
        <v>8</v>
      </c>
      <c r="I117" s="47">
        <v>232</v>
      </c>
      <c r="J117" s="47">
        <v>1</v>
      </c>
      <c r="K117" s="47">
        <v>20</v>
      </c>
      <c r="L117" s="47">
        <v>210</v>
      </c>
      <c r="M117" s="47">
        <v>22</v>
      </c>
      <c r="N117" s="47">
        <v>232</v>
      </c>
      <c r="O117" s="47">
        <v>188</v>
      </c>
      <c r="P117" s="47">
        <v>1652</v>
      </c>
      <c r="Q117" s="44" t="s">
        <v>1643</v>
      </c>
      <c r="R117" s="47">
        <v>203</v>
      </c>
      <c r="S117" s="47">
        <v>876</v>
      </c>
      <c r="T117" s="47">
        <v>36</v>
      </c>
      <c r="U117" s="47">
        <v>376</v>
      </c>
      <c r="V117" s="47">
        <v>43</v>
      </c>
      <c r="W117" s="47">
        <v>1290</v>
      </c>
      <c r="X117" s="47">
        <v>4</v>
      </c>
      <c r="Y117" s="47">
        <v>203</v>
      </c>
      <c r="Z117" s="47">
        <v>271</v>
      </c>
      <c r="AA117" s="47">
        <v>3521</v>
      </c>
      <c r="AB117" s="76">
        <f t="shared" si="2"/>
        <v>12.992619926199263</v>
      </c>
      <c r="AC117" s="76">
        <f t="shared" si="3"/>
        <v>0.6640890230101848</v>
      </c>
      <c r="AD117" s="47">
        <v>5302</v>
      </c>
    </row>
    <row r="118" spans="1:30" ht="15.75" thickBot="1" x14ac:dyDescent="0.3">
      <c r="A118" s="44" t="s">
        <v>1313</v>
      </c>
      <c r="B118" s="48" t="s">
        <v>1314</v>
      </c>
      <c r="C118" s="44" t="s">
        <v>798</v>
      </c>
      <c r="D118" s="47">
        <v>63</v>
      </c>
      <c r="E118" s="47">
        <v>1715</v>
      </c>
      <c r="F118" s="47">
        <v>40</v>
      </c>
      <c r="G118" s="47">
        <v>276</v>
      </c>
      <c r="H118" s="47">
        <v>7</v>
      </c>
      <c r="I118" s="47">
        <v>756</v>
      </c>
      <c r="J118" s="47">
        <v>2</v>
      </c>
      <c r="K118" s="47">
        <v>14</v>
      </c>
      <c r="L118" s="47">
        <v>448</v>
      </c>
      <c r="M118" s="47">
        <v>169</v>
      </c>
      <c r="N118" s="47">
        <v>617</v>
      </c>
      <c r="O118" s="47">
        <v>70</v>
      </c>
      <c r="P118" s="47">
        <v>2471</v>
      </c>
      <c r="Q118" s="44" t="s">
        <v>1643</v>
      </c>
      <c r="R118" s="47">
        <v>36</v>
      </c>
      <c r="S118" s="47">
        <v>596</v>
      </c>
      <c r="T118" s="47">
        <v>42</v>
      </c>
      <c r="U118" s="47">
        <v>290</v>
      </c>
      <c r="V118" s="47">
        <v>23</v>
      </c>
      <c r="W118" s="47">
        <v>559</v>
      </c>
      <c r="X118" s="47">
        <v>0</v>
      </c>
      <c r="Y118" s="47">
        <v>0</v>
      </c>
      <c r="Z118" s="47">
        <v>135</v>
      </c>
      <c r="AA118" s="47">
        <v>3320</v>
      </c>
      <c r="AB118" s="76">
        <f t="shared" si="2"/>
        <v>24.592592592592592</v>
      </c>
      <c r="AC118" s="76">
        <f t="shared" si="3"/>
        <v>0.48580626280362893</v>
      </c>
      <c r="AD118" s="47">
        <v>6834</v>
      </c>
    </row>
    <row r="119" spans="1:30" ht="15.75" thickBot="1" x14ac:dyDescent="0.3">
      <c r="A119" s="44" t="s">
        <v>1317</v>
      </c>
      <c r="B119" s="48" t="s">
        <v>1318</v>
      </c>
      <c r="C119" s="44" t="s">
        <v>798</v>
      </c>
      <c r="D119" s="47">
        <v>0</v>
      </c>
      <c r="E119" s="47">
        <v>0</v>
      </c>
      <c r="F119" s="47">
        <v>0</v>
      </c>
      <c r="G119" s="47">
        <v>0</v>
      </c>
      <c r="H119" s="47">
        <v>8</v>
      </c>
      <c r="I119" s="47">
        <v>110</v>
      </c>
      <c r="J119" s="47">
        <v>0</v>
      </c>
      <c r="K119" s="47">
        <v>0</v>
      </c>
      <c r="L119" s="47">
        <v>30</v>
      </c>
      <c r="M119" s="47">
        <v>1</v>
      </c>
      <c r="N119" s="47">
        <v>31</v>
      </c>
      <c r="O119" s="47">
        <v>8</v>
      </c>
      <c r="P119" s="47">
        <v>110</v>
      </c>
      <c r="Q119" s="44" t="s">
        <v>1643</v>
      </c>
      <c r="R119" s="47">
        <v>2</v>
      </c>
      <c r="S119" s="47">
        <v>6</v>
      </c>
      <c r="T119" s="47">
        <v>0</v>
      </c>
      <c r="U119" s="47">
        <v>0</v>
      </c>
      <c r="V119" s="47">
        <v>12</v>
      </c>
      <c r="W119" s="47">
        <v>40</v>
      </c>
      <c r="X119" s="47">
        <v>1</v>
      </c>
      <c r="Y119" s="47">
        <v>82</v>
      </c>
      <c r="Z119" s="47">
        <v>21</v>
      </c>
      <c r="AA119" s="47">
        <v>232</v>
      </c>
      <c r="AB119" s="76">
        <f t="shared" si="2"/>
        <v>11.047619047619047</v>
      </c>
      <c r="AC119" s="76">
        <f t="shared" si="3"/>
        <v>5.1913179682255541E-2</v>
      </c>
      <c r="AD119" s="47">
        <v>4469</v>
      </c>
    </row>
    <row r="120" spans="1:30" ht="15.75" thickBot="1" x14ac:dyDescent="0.3">
      <c r="A120" s="44" t="s">
        <v>1325</v>
      </c>
      <c r="B120" s="48" t="s">
        <v>1326</v>
      </c>
      <c r="C120" s="44" t="s">
        <v>798</v>
      </c>
      <c r="D120" s="47">
        <v>20</v>
      </c>
      <c r="E120" s="47">
        <v>371</v>
      </c>
      <c r="F120" s="47">
        <v>3</v>
      </c>
      <c r="G120" s="47">
        <v>50</v>
      </c>
      <c r="H120" s="47">
        <v>23</v>
      </c>
      <c r="I120" s="47">
        <v>1085</v>
      </c>
      <c r="J120" s="47">
        <v>5</v>
      </c>
      <c r="K120" s="47">
        <v>100</v>
      </c>
      <c r="L120" s="47">
        <v>226</v>
      </c>
      <c r="M120" s="47">
        <v>57</v>
      </c>
      <c r="N120" s="47">
        <v>283</v>
      </c>
      <c r="O120" s="47">
        <v>43</v>
      </c>
      <c r="P120" s="47">
        <v>1456</v>
      </c>
      <c r="Q120" s="44" t="s">
        <v>1643</v>
      </c>
      <c r="R120" s="47">
        <v>16</v>
      </c>
      <c r="S120" s="47">
        <v>65</v>
      </c>
      <c r="T120" s="47">
        <v>8</v>
      </c>
      <c r="U120" s="47">
        <v>150</v>
      </c>
      <c r="V120" s="47">
        <v>17</v>
      </c>
      <c r="W120" s="47">
        <v>155</v>
      </c>
      <c r="X120" s="47">
        <v>6</v>
      </c>
      <c r="Y120" s="47">
        <v>149</v>
      </c>
      <c r="Z120" s="47">
        <v>74</v>
      </c>
      <c r="AA120" s="47">
        <v>1910</v>
      </c>
      <c r="AB120" s="76">
        <f t="shared" si="2"/>
        <v>25.810810810810811</v>
      </c>
      <c r="AC120" s="76">
        <f t="shared" si="3"/>
        <v>0.3093618399740849</v>
      </c>
      <c r="AD120" s="47">
        <v>6174</v>
      </c>
    </row>
    <row r="121" spans="1:30" ht="15.75" thickBot="1" x14ac:dyDescent="0.3">
      <c r="A121" s="44" t="s">
        <v>1345</v>
      </c>
      <c r="B121" s="48" t="s">
        <v>1346</v>
      </c>
      <c r="C121" s="44" t="s">
        <v>798</v>
      </c>
      <c r="D121" s="47">
        <v>15</v>
      </c>
      <c r="E121" s="47">
        <v>151</v>
      </c>
      <c r="F121" s="47">
        <v>8</v>
      </c>
      <c r="G121" s="47">
        <v>33</v>
      </c>
      <c r="H121" s="47">
        <v>28</v>
      </c>
      <c r="I121" s="47">
        <v>585</v>
      </c>
      <c r="J121" s="47">
        <v>3</v>
      </c>
      <c r="K121" s="47">
        <v>12</v>
      </c>
      <c r="L121" s="47">
        <v>236</v>
      </c>
      <c r="M121" s="47">
        <v>43</v>
      </c>
      <c r="N121" s="47">
        <v>279</v>
      </c>
      <c r="O121" s="47">
        <v>43</v>
      </c>
      <c r="P121" s="47">
        <v>736</v>
      </c>
      <c r="Q121" s="44" t="s">
        <v>1643</v>
      </c>
      <c r="R121" s="47">
        <v>15</v>
      </c>
      <c r="S121" s="47">
        <v>151</v>
      </c>
      <c r="T121" s="47">
        <v>11</v>
      </c>
      <c r="U121" s="47">
        <v>45</v>
      </c>
      <c r="V121" s="47">
        <v>86</v>
      </c>
      <c r="W121" s="47">
        <v>739</v>
      </c>
      <c r="X121" s="47">
        <v>137</v>
      </c>
      <c r="Y121" s="47">
        <v>1263</v>
      </c>
      <c r="Z121" s="47">
        <v>277</v>
      </c>
      <c r="AA121" s="47">
        <v>2783</v>
      </c>
      <c r="AB121" s="76">
        <f t="shared" si="2"/>
        <v>10.046931407942239</v>
      </c>
      <c r="AC121" s="76">
        <f t="shared" si="3"/>
        <v>0.52459943449575874</v>
      </c>
      <c r="AD121" s="47">
        <v>5305</v>
      </c>
    </row>
    <row r="122" spans="1:30" ht="15.75" thickBot="1" x14ac:dyDescent="0.3">
      <c r="A122" s="44" t="s">
        <v>1351</v>
      </c>
      <c r="B122" s="48" t="s">
        <v>1352</v>
      </c>
      <c r="C122" s="44" t="s">
        <v>798</v>
      </c>
      <c r="D122" s="47">
        <v>15</v>
      </c>
      <c r="E122" s="47">
        <v>725</v>
      </c>
      <c r="F122" s="47">
        <v>1</v>
      </c>
      <c r="G122" s="47">
        <v>98</v>
      </c>
      <c r="H122" s="47">
        <v>5</v>
      </c>
      <c r="I122" s="47">
        <v>162</v>
      </c>
      <c r="J122" s="47">
        <v>3</v>
      </c>
      <c r="K122" s="47">
        <v>30</v>
      </c>
      <c r="L122" s="47">
        <v>121</v>
      </c>
      <c r="M122" s="47">
        <v>14</v>
      </c>
      <c r="N122" s="47">
        <v>135</v>
      </c>
      <c r="O122" s="47">
        <v>20</v>
      </c>
      <c r="P122" s="47">
        <v>887</v>
      </c>
      <c r="Q122" s="44" t="s">
        <v>1643</v>
      </c>
      <c r="R122" s="47">
        <v>2</v>
      </c>
      <c r="S122" s="47">
        <v>15</v>
      </c>
      <c r="T122" s="47">
        <v>4</v>
      </c>
      <c r="U122" s="47">
        <v>128</v>
      </c>
      <c r="V122" s="47">
        <v>10</v>
      </c>
      <c r="W122" s="47">
        <v>320</v>
      </c>
      <c r="X122" s="47">
        <v>1</v>
      </c>
      <c r="Y122" s="47">
        <v>45</v>
      </c>
      <c r="Z122" s="47">
        <v>35</v>
      </c>
      <c r="AA122" s="47">
        <v>1380</v>
      </c>
      <c r="AB122" s="76">
        <f t="shared" si="2"/>
        <v>39.428571428571431</v>
      </c>
      <c r="AC122" s="76">
        <f t="shared" si="3"/>
        <v>0.2176312884403091</v>
      </c>
      <c r="AD122" s="47">
        <v>6341</v>
      </c>
    </row>
    <row r="123" spans="1:30" ht="15.75" thickBot="1" x14ac:dyDescent="0.3">
      <c r="A123" s="44" t="s">
        <v>1357</v>
      </c>
      <c r="B123" s="48" t="s">
        <v>1358</v>
      </c>
      <c r="C123" s="44" t="s">
        <v>798</v>
      </c>
      <c r="D123" s="47">
        <v>94</v>
      </c>
      <c r="E123" s="47">
        <v>3025</v>
      </c>
      <c r="F123" s="47">
        <v>4</v>
      </c>
      <c r="G123" s="47">
        <v>51</v>
      </c>
      <c r="H123" s="47">
        <v>5</v>
      </c>
      <c r="I123" s="47">
        <v>218</v>
      </c>
      <c r="J123" s="47">
        <v>2</v>
      </c>
      <c r="K123" s="47">
        <v>11</v>
      </c>
      <c r="L123" s="47">
        <v>137</v>
      </c>
      <c r="M123" s="47">
        <v>12</v>
      </c>
      <c r="N123" s="47">
        <v>149</v>
      </c>
      <c r="O123" s="47">
        <v>99</v>
      </c>
      <c r="P123" s="47">
        <v>3243</v>
      </c>
      <c r="Q123" s="44" t="s">
        <v>1643</v>
      </c>
      <c r="R123" s="47">
        <v>49</v>
      </c>
      <c r="S123" s="47">
        <v>640</v>
      </c>
      <c r="T123" s="47">
        <v>6</v>
      </c>
      <c r="U123" s="47">
        <v>62</v>
      </c>
      <c r="V123" s="47">
        <v>115</v>
      </c>
      <c r="W123" s="47">
        <v>1093</v>
      </c>
      <c r="X123" s="47">
        <v>9</v>
      </c>
      <c r="Y123" s="47">
        <v>471</v>
      </c>
      <c r="Z123" s="47">
        <v>229</v>
      </c>
      <c r="AA123" s="47">
        <v>4869</v>
      </c>
      <c r="AB123" s="76">
        <f t="shared" si="2"/>
        <v>21.262008733624455</v>
      </c>
      <c r="AC123" s="76">
        <f t="shared" si="3"/>
        <v>0.89618995030369963</v>
      </c>
      <c r="AD123" s="47">
        <v>5433</v>
      </c>
    </row>
    <row r="124" spans="1:30" ht="15.75" thickBot="1" x14ac:dyDescent="0.3">
      <c r="A124" s="44" t="s">
        <v>1367</v>
      </c>
      <c r="B124" s="48" t="s">
        <v>1368</v>
      </c>
      <c r="C124" s="44" t="s">
        <v>798</v>
      </c>
      <c r="D124" s="47">
        <v>200</v>
      </c>
      <c r="E124" s="47">
        <v>1139</v>
      </c>
      <c r="F124" s="47">
        <v>1</v>
      </c>
      <c r="G124" s="47">
        <v>12</v>
      </c>
      <c r="H124" s="47">
        <v>5</v>
      </c>
      <c r="I124" s="47">
        <v>89</v>
      </c>
      <c r="J124" s="47">
        <v>5</v>
      </c>
      <c r="K124" s="47">
        <v>12</v>
      </c>
      <c r="L124" s="47">
        <v>150</v>
      </c>
      <c r="M124" s="47">
        <v>24</v>
      </c>
      <c r="N124" s="47">
        <v>174</v>
      </c>
      <c r="O124" s="47">
        <v>205</v>
      </c>
      <c r="P124" s="47">
        <v>1228</v>
      </c>
      <c r="Q124" s="44" t="s">
        <v>1643</v>
      </c>
      <c r="R124" s="47">
        <v>1</v>
      </c>
      <c r="S124" s="47">
        <v>852</v>
      </c>
      <c r="T124" s="47">
        <v>6</v>
      </c>
      <c r="U124" s="47">
        <v>24</v>
      </c>
      <c r="V124" s="47">
        <v>30</v>
      </c>
      <c r="W124" s="47">
        <v>231</v>
      </c>
      <c r="X124" s="47">
        <v>12</v>
      </c>
      <c r="Y124" s="47">
        <v>60</v>
      </c>
      <c r="Z124" s="47">
        <v>253</v>
      </c>
      <c r="AA124" s="47">
        <v>1543</v>
      </c>
      <c r="AB124" s="76">
        <f t="shared" si="2"/>
        <v>6.0988142292490117</v>
      </c>
      <c r="AC124" s="76">
        <f t="shared" si="3"/>
        <v>0.23189059212503757</v>
      </c>
      <c r="AD124" s="47">
        <v>6654</v>
      </c>
    </row>
    <row r="125" spans="1:30" ht="15.75" thickBot="1" x14ac:dyDescent="0.3">
      <c r="A125" s="44" t="s">
        <v>1371</v>
      </c>
      <c r="B125" s="48" t="s">
        <v>1372</v>
      </c>
      <c r="C125" s="44" t="s">
        <v>798</v>
      </c>
      <c r="D125" s="47">
        <v>4</v>
      </c>
      <c r="E125" s="47">
        <v>13</v>
      </c>
      <c r="F125" s="47">
        <v>0</v>
      </c>
      <c r="G125" s="47">
        <v>0</v>
      </c>
      <c r="H125" s="47">
        <v>1</v>
      </c>
      <c r="I125" s="47">
        <v>6</v>
      </c>
      <c r="J125" s="47">
        <v>1</v>
      </c>
      <c r="K125" s="47">
        <v>2</v>
      </c>
      <c r="L125" s="47">
        <v>24</v>
      </c>
      <c r="M125" s="47">
        <v>3</v>
      </c>
      <c r="N125" s="47">
        <v>27</v>
      </c>
      <c r="O125" s="47">
        <v>5</v>
      </c>
      <c r="P125" s="47">
        <v>19</v>
      </c>
      <c r="Q125" s="44" t="s">
        <v>1644</v>
      </c>
      <c r="R125" s="47">
        <v>0</v>
      </c>
      <c r="S125" s="47">
        <v>0</v>
      </c>
      <c r="T125" s="47">
        <v>1</v>
      </c>
      <c r="U125" s="47">
        <v>2</v>
      </c>
      <c r="V125" s="47">
        <v>1</v>
      </c>
      <c r="W125" s="47">
        <v>3</v>
      </c>
      <c r="X125" s="47">
        <v>3</v>
      </c>
      <c r="Y125" s="47">
        <v>10</v>
      </c>
      <c r="Z125" s="47">
        <v>10</v>
      </c>
      <c r="AA125" s="47">
        <v>34</v>
      </c>
      <c r="AB125" s="76">
        <f t="shared" si="2"/>
        <v>3.4</v>
      </c>
      <c r="AC125" s="76">
        <f t="shared" si="3"/>
        <v>8.282582216808769E-3</v>
      </c>
      <c r="AD125" s="47">
        <v>4105</v>
      </c>
    </row>
    <row r="126" spans="1:30" ht="15.75" thickBot="1" x14ac:dyDescent="0.3">
      <c r="A126" s="44" t="s">
        <v>1377</v>
      </c>
      <c r="B126" s="48" t="s">
        <v>1378</v>
      </c>
      <c r="C126" s="44" t="s">
        <v>798</v>
      </c>
      <c r="D126" s="47">
        <v>5</v>
      </c>
      <c r="E126" s="47">
        <v>86</v>
      </c>
      <c r="F126" s="47">
        <v>0</v>
      </c>
      <c r="G126" s="47">
        <v>0</v>
      </c>
      <c r="H126" s="47">
        <v>1</v>
      </c>
      <c r="I126" s="47">
        <v>30</v>
      </c>
      <c r="J126" s="47">
        <v>0</v>
      </c>
      <c r="K126" s="47">
        <v>0</v>
      </c>
      <c r="L126" s="47">
        <v>50</v>
      </c>
      <c r="M126" s="47">
        <v>0</v>
      </c>
      <c r="N126" s="47">
        <v>50</v>
      </c>
      <c r="O126" s="47">
        <v>6</v>
      </c>
      <c r="P126" s="47">
        <v>116</v>
      </c>
      <c r="Q126" s="44" t="s">
        <v>1643</v>
      </c>
      <c r="R126" s="47">
        <v>1</v>
      </c>
      <c r="S126" s="47">
        <v>6</v>
      </c>
      <c r="T126" s="47">
        <v>0</v>
      </c>
      <c r="U126" s="47">
        <v>0</v>
      </c>
      <c r="V126" s="47">
        <v>5</v>
      </c>
      <c r="W126" s="47">
        <v>40</v>
      </c>
      <c r="X126" s="47">
        <v>1</v>
      </c>
      <c r="Y126" s="47">
        <v>6</v>
      </c>
      <c r="Z126" s="47">
        <v>12</v>
      </c>
      <c r="AA126" s="47">
        <v>162</v>
      </c>
      <c r="AB126" s="76">
        <f t="shared" si="2"/>
        <v>13.5</v>
      </c>
      <c r="AC126" s="76">
        <f t="shared" si="3"/>
        <v>3.2187562090204652E-2</v>
      </c>
      <c r="AD126" s="47">
        <v>5033</v>
      </c>
    </row>
    <row r="127" spans="1:30" ht="15.75" thickBot="1" x14ac:dyDescent="0.3">
      <c r="A127" s="44" t="s">
        <v>1385</v>
      </c>
      <c r="B127" s="48" t="s">
        <v>1386</v>
      </c>
      <c r="C127" s="44" t="s">
        <v>798</v>
      </c>
      <c r="D127" s="47">
        <v>86</v>
      </c>
      <c r="E127" s="47">
        <v>902</v>
      </c>
      <c r="F127" s="47">
        <v>1</v>
      </c>
      <c r="G127" s="47">
        <v>11</v>
      </c>
      <c r="H127" s="47">
        <v>7</v>
      </c>
      <c r="I127" s="47">
        <v>427</v>
      </c>
      <c r="J127" s="47">
        <v>7</v>
      </c>
      <c r="K127" s="47">
        <v>36</v>
      </c>
      <c r="L127" s="47">
        <v>144</v>
      </c>
      <c r="M127" s="47">
        <v>11</v>
      </c>
      <c r="N127" s="47">
        <v>155</v>
      </c>
      <c r="O127" s="47">
        <v>93</v>
      </c>
      <c r="P127" s="47">
        <v>1329</v>
      </c>
      <c r="Q127" s="44" t="s">
        <v>1643</v>
      </c>
      <c r="R127" s="47">
        <v>40</v>
      </c>
      <c r="S127" s="47">
        <v>534</v>
      </c>
      <c r="T127" s="47">
        <v>8</v>
      </c>
      <c r="U127" s="47">
        <v>47</v>
      </c>
      <c r="V127" s="47">
        <v>2</v>
      </c>
      <c r="W127" s="47">
        <v>100</v>
      </c>
      <c r="X127" s="47">
        <v>34</v>
      </c>
      <c r="Y127" s="47">
        <v>274</v>
      </c>
      <c r="Z127" s="47">
        <v>137</v>
      </c>
      <c r="AA127" s="47">
        <v>1750</v>
      </c>
      <c r="AB127" s="76">
        <f t="shared" si="2"/>
        <v>12.773722627737227</v>
      </c>
      <c r="AC127" s="76">
        <f t="shared" si="3"/>
        <v>0.32329576944393129</v>
      </c>
      <c r="AD127" s="47">
        <v>5413</v>
      </c>
    </row>
    <row r="128" spans="1:30" ht="15.75" thickBot="1" x14ac:dyDescent="0.3">
      <c r="A128" s="44" t="s">
        <v>1391</v>
      </c>
      <c r="B128" s="48" t="s">
        <v>1392</v>
      </c>
      <c r="C128" s="44" t="s">
        <v>798</v>
      </c>
      <c r="D128" s="47">
        <v>40</v>
      </c>
      <c r="E128" s="47">
        <v>595</v>
      </c>
      <c r="F128" s="47">
        <v>3</v>
      </c>
      <c r="G128" s="47">
        <v>11</v>
      </c>
      <c r="H128" s="47">
        <v>9</v>
      </c>
      <c r="I128" s="47">
        <v>221</v>
      </c>
      <c r="J128" s="47">
        <v>4</v>
      </c>
      <c r="K128" s="47">
        <v>124</v>
      </c>
      <c r="L128" s="47">
        <v>51</v>
      </c>
      <c r="M128" s="47">
        <v>25</v>
      </c>
      <c r="N128" s="47">
        <v>76</v>
      </c>
      <c r="O128" s="47">
        <v>49</v>
      </c>
      <c r="P128" s="47">
        <v>816</v>
      </c>
      <c r="Q128" s="44" t="s">
        <v>1643</v>
      </c>
      <c r="R128" s="47">
        <v>42</v>
      </c>
      <c r="S128" s="47">
        <v>572</v>
      </c>
      <c r="T128" s="47">
        <v>7</v>
      </c>
      <c r="U128" s="47">
        <v>135</v>
      </c>
      <c r="V128" s="47">
        <v>30</v>
      </c>
      <c r="W128" s="47">
        <v>641</v>
      </c>
      <c r="X128" s="47">
        <v>43</v>
      </c>
      <c r="Y128" s="47">
        <v>124</v>
      </c>
      <c r="Z128" s="47">
        <v>129</v>
      </c>
      <c r="AA128" s="47">
        <v>1716</v>
      </c>
      <c r="AB128" s="76">
        <f t="shared" si="2"/>
        <v>13.302325581395349</v>
      </c>
      <c r="AC128" s="76">
        <f t="shared" si="3"/>
        <v>0.25062070979991236</v>
      </c>
      <c r="AD128" s="47">
        <v>6847</v>
      </c>
    </row>
    <row r="129" spans="1:30" ht="15.75" thickBot="1" x14ac:dyDescent="0.3">
      <c r="A129" s="44" t="s">
        <v>1393</v>
      </c>
      <c r="B129" s="48" t="s">
        <v>1394</v>
      </c>
      <c r="C129" s="44" t="s">
        <v>798</v>
      </c>
      <c r="D129" s="47">
        <v>62</v>
      </c>
      <c r="E129" s="47">
        <v>699</v>
      </c>
      <c r="F129" s="47">
        <v>2</v>
      </c>
      <c r="G129" s="47">
        <v>27</v>
      </c>
      <c r="H129" s="47">
        <v>8</v>
      </c>
      <c r="I129" s="47">
        <v>120</v>
      </c>
      <c r="J129" s="47">
        <v>1</v>
      </c>
      <c r="K129" s="47">
        <v>1</v>
      </c>
      <c r="L129" s="47">
        <v>79</v>
      </c>
      <c r="M129" s="47">
        <v>27</v>
      </c>
      <c r="N129" s="47">
        <v>106</v>
      </c>
      <c r="O129" s="47">
        <v>70</v>
      </c>
      <c r="P129" s="47">
        <v>819</v>
      </c>
      <c r="Q129" s="44" t="s">
        <v>1643</v>
      </c>
      <c r="R129" s="47">
        <v>51</v>
      </c>
      <c r="S129" s="47">
        <v>298</v>
      </c>
      <c r="T129" s="47">
        <v>3</v>
      </c>
      <c r="U129" s="47">
        <v>28</v>
      </c>
      <c r="V129" s="47">
        <v>16</v>
      </c>
      <c r="W129" s="47">
        <v>110</v>
      </c>
      <c r="X129" s="47">
        <v>29</v>
      </c>
      <c r="Y129" s="47">
        <v>328</v>
      </c>
      <c r="Z129" s="47">
        <v>118</v>
      </c>
      <c r="AA129" s="47">
        <v>1285</v>
      </c>
      <c r="AB129" s="76">
        <f t="shared" si="2"/>
        <v>10.889830508474576</v>
      </c>
      <c r="AC129" s="76">
        <f t="shared" si="3"/>
        <v>0.20592948717948717</v>
      </c>
      <c r="AD129" s="47">
        <v>6240</v>
      </c>
    </row>
    <row r="130" spans="1:30" ht="15.75" thickBot="1" x14ac:dyDescent="0.3">
      <c r="A130" s="44" t="s">
        <v>1399</v>
      </c>
      <c r="B130" s="48" t="s">
        <v>1400</v>
      </c>
      <c r="C130" s="44" t="s">
        <v>798</v>
      </c>
      <c r="D130" s="47">
        <v>32</v>
      </c>
      <c r="E130" s="47">
        <v>596</v>
      </c>
      <c r="F130" s="47">
        <v>0</v>
      </c>
      <c r="G130" s="47">
        <v>0</v>
      </c>
      <c r="H130" s="47">
        <v>15</v>
      </c>
      <c r="I130" s="47">
        <v>271</v>
      </c>
      <c r="J130" s="47">
        <v>6</v>
      </c>
      <c r="K130" s="47">
        <v>36</v>
      </c>
      <c r="L130" s="47">
        <v>62</v>
      </c>
      <c r="M130" s="47">
        <v>9</v>
      </c>
      <c r="N130" s="47">
        <v>71</v>
      </c>
      <c r="O130" s="47">
        <v>47</v>
      </c>
      <c r="P130" s="47">
        <v>867</v>
      </c>
      <c r="Q130" s="44" t="s">
        <v>1643</v>
      </c>
      <c r="R130" s="47">
        <v>47</v>
      </c>
      <c r="S130" s="47">
        <v>867</v>
      </c>
      <c r="T130" s="47">
        <v>6</v>
      </c>
      <c r="U130" s="47">
        <v>36</v>
      </c>
      <c r="V130" s="47">
        <v>16</v>
      </c>
      <c r="W130" s="47">
        <v>97</v>
      </c>
      <c r="X130" s="47">
        <v>64</v>
      </c>
      <c r="Y130" s="47">
        <v>1329</v>
      </c>
      <c r="Z130" s="47">
        <v>133</v>
      </c>
      <c r="AA130" s="47">
        <v>2329</v>
      </c>
      <c r="AB130" s="76">
        <f t="shared" si="2"/>
        <v>17.511278195488721</v>
      </c>
      <c r="AC130" s="76">
        <f t="shared" si="3"/>
        <v>0.43322172619047616</v>
      </c>
      <c r="AD130" s="47">
        <v>5376</v>
      </c>
    </row>
    <row r="131" spans="1:30" ht="15.75" thickBot="1" x14ac:dyDescent="0.3">
      <c r="A131" s="44" t="s">
        <v>1405</v>
      </c>
      <c r="B131" s="48" t="s">
        <v>1406</v>
      </c>
      <c r="C131" s="44" t="s">
        <v>798</v>
      </c>
      <c r="D131" s="47">
        <v>41</v>
      </c>
      <c r="E131" s="47">
        <v>335</v>
      </c>
      <c r="F131" s="47">
        <v>1</v>
      </c>
      <c r="G131" s="47">
        <v>4</v>
      </c>
      <c r="H131" s="47">
        <v>5</v>
      </c>
      <c r="I131" s="47">
        <v>187</v>
      </c>
      <c r="J131" s="47">
        <v>1</v>
      </c>
      <c r="K131" s="47">
        <v>4</v>
      </c>
      <c r="L131" s="47">
        <v>97</v>
      </c>
      <c r="M131" s="47">
        <v>9</v>
      </c>
      <c r="N131" s="47">
        <v>106</v>
      </c>
      <c r="O131" s="47">
        <v>46</v>
      </c>
      <c r="P131" s="47">
        <v>522</v>
      </c>
      <c r="Q131" s="44" t="s">
        <v>1643</v>
      </c>
      <c r="R131" s="47">
        <v>37</v>
      </c>
      <c r="S131" s="47">
        <v>106</v>
      </c>
      <c r="T131" s="47">
        <v>2</v>
      </c>
      <c r="U131" s="47">
        <v>8</v>
      </c>
      <c r="V131" s="47">
        <v>21</v>
      </c>
      <c r="W131" s="47">
        <v>181</v>
      </c>
      <c r="X131" s="47">
        <v>0</v>
      </c>
      <c r="Y131" s="47">
        <v>0</v>
      </c>
      <c r="Z131" s="47">
        <v>69</v>
      </c>
      <c r="AA131" s="47">
        <v>711</v>
      </c>
      <c r="AB131" s="76">
        <f t="shared" si="2"/>
        <v>10.304347826086957</v>
      </c>
      <c r="AC131" s="76">
        <f t="shared" si="3"/>
        <v>0.1287343834872352</v>
      </c>
      <c r="AD131" s="47">
        <v>5523</v>
      </c>
    </row>
    <row r="132" spans="1:30" ht="15.75" thickBot="1" x14ac:dyDescent="0.3">
      <c r="A132" s="44" t="s">
        <v>1417</v>
      </c>
      <c r="B132" s="48" t="s">
        <v>1418</v>
      </c>
      <c r="C132" s="44" t="s">
        <v>798</v>
      </c>
      <c r="D132" s="47">
        <v>15</v>
      </c>
      <c r="E132" s="47">
        <v>468</v>
      </c>
      <c r="F132" s="47">
        <v>10</v>
      </c>
      <c r="G132" s="47">
        <v>91</v>
      </c>
      <c r="H132" s="47">
        <v>5</v>
      </c>
      <c r="I132" s="47">
        <v>185</v>
      </c>
      <c r="J132" s="47">
        <v>4</v>
      </c>
      <c r="K132" s="47">
        <v>80</v>
      </c>
      <c r="L132" s="47">
        <v>178</v>
      </c>
      <c r="M132" s="47">
        <v>71</v>
      </c>
      <c r="N132" s="47">
        <v>249</v>
      </c>
      <c r="O132" s="47">
        <v>20</v>
      </c>
      <c r="P132" s="47">
        <v>653</v>
      </c>
      <c r="Q132" s="44" t="s">
        <v>1643</v>
      </c>
      <c r="R132" s="47">
        <v>5</v>
      </c>
      <c r="S132" s="47">
        <v>85</v>
      </c>
      <c r="T132" s="47">
        <v>14</v>
      </c>
      <c r="U132" s="47">
        <v>171</v>
      </c>
      <c r="V132" s="47">
        <v>20</v>
      </c>
      <c r="W132" s="47">
        <v>341</v>
      </c>
      <c r="X132" s="47">
        <v>3</v>
      </c>
      <c r="Y132" s="47">
        <v>115</v>
      </c>
      <c r="Z132" s="47">
        <v>57</v>
      </c>
      <c r="AA132" s="47">
        <v>1280</v>
      </c>
      <c r="AB132" s="76">
        <f t="shared" si="2"/>
        <v>22.456140350877192</v>
      </c>
      <c r="AC132" s="76">
        <f t="shared" si="3"/>
        <v>0.27473706804035203</v>
      </c>
      <c r="AD132" s="47">
        <v>4659</v>
      </c>
    </row>
    <row r="133" spans="1:30" ht="15.75" thickBot="1" x14ac:dyDescent="0.3">
      <c r="A133" s="44" t="s">
        <v>1429</v>
      </c>
      <c r="B133" s="48" t="s">
        <v>1430</v>
      </c>
      <c r="C133" s="44" t="s">
        <v>798</v>
      </c>
      <c r="D133" s="47">
        <v>106</v>
      </c>
      <c r="E133" s="47">
        <v>1751</v>
      </c>
      <c r="F133" s="47">
        <v>53</v>
      </c>
      <c r="G133" s="47">
        <v>610</v>
      </c>
      <c r="H133" s="47">
        <v>25</v>
      </c>
      <c r="I133" s="47">
        <v>763</v>
      </c>
      <c r="J133" s="47">
        <v>11</v>
      </c>
      <c r="K133" s="47">
        <v>231</v>
      </c>
      <c r="L133" s="47">
        <v>159</v>
      </c>
      <c r="M133" s="47">
        <v>110</v>
      </c>
      <c r="N133" s="47">
        <v>269</v>
      </c>
      <c r="O133" s="47">
        <v>131</v>
      </c>
      <c r="P133" s="47">
        <v>2514</v>
      </c>
      <c r="Q133" s="44" t="s">
        <v>1643</v>
      </c>
      <c r="R133" s="47">
        <v>58</v>
      </c>
      <c r="S133" s="47">
        <v>186</v>
      </c>
      <c r="T133" s="47">
        <v>64</v>
      </c>
      <c r="U133" s="47">
        <v>841</v>
      </c>
      <c r="V133" s="47">
        <v>121</v>
      </c>
      <c r="W133" s="47">
        <v>1392</v>
      </c>
      <c r="X133" s="47">
        <v>73</v>
      </c>
      <c r="Y133" s="47">
        <v>622</v>
      </c>
      <c r="Z133" s="47">
        <v>389</v>
      </c>
      <c r="AA133" s="47">
        <v>5369</v>
      </c>
      <c r="AB133" s="76">
        <f t="shared" ref="AB133:AB196" si="4">AA133/Z133</f>
        <v>13.802056555269923</v>
      </c>
      <c r="AC133" s="76">
        <f t="shared" ref="AC133:AC196" si="5">AA133/AD133</f>
        <v>0.85289912629070685</v>
      </c>
      <c r="AD133" s="47">
        <v>6295</v>
      </c>
    </row>
    <row r="134" spans="1:30" ht="15.75" thickBot="1" x14ac:dyDescent="0.3">
      <c r="A134" s="44" t="s">
        <v>1443</v>
      </c>
      <c r="B134" s="48" t="s">
        <v>1444</v>
      </c>
      <c r="C134" s="44" t="s">
        <v>798</v>
      </c>
      <c r="D134" s="47">
        <v>59</v>
      </c>
      <c r="E134" s="47">
        <v>344</v>
      </c>
      <c r="F134" s="47">
        <v>0</v>
      </c>
      <c r="G134" s="47">
        <v>0</v>
      </c>
      <c r="H134" s="47">
        <v>12</v>
      </c>
      <c r="I134" s="47">
        <v>80</v>
      </c>
      <c r="J134" s="47">
        <v>14</v>
      </c>
      <c r="K134" s="47">
        <v>5</v>
      </c>
      <c r="L134" s="47">
        <v>24</v>
      </c>
      <c r="M134" s="47">
        <v>2</v>
      </c>
      <c r="N134" s="47">
        <v>26</v>
      </c>
      <c r="O134" s="47">
        <v>71</v>
      </c>
      <c r="P134" s="47">
        <v>424</v>
      </c>
      <c r="Q134" s="44" t="s">
        <v>1643</v>
      </c>
      <c r="R134" s="47">
        <v>42</v>
      </c>
      <c r="S134" s="47">
        <v>300</v>
      </c>
      <c r="T134" s="47">
        <v>14</v>
      </c>
      <c r="U134" s="47">
        <v>5</v>
      </c>
      <c r="V134" s="47">
        <v>29</v>
      </c>
      <c r="W134" s="47">
        <v>132</v>
      </c>
      <c r="X134" s="47">
        <v>59</v>
      </c>
      <c r="Y134" s="47">
        <v>1049</v>
      </c>
      <c r="Z134" s="47">
        <v>173</v>
      </c>
      <c r="AA134" s="47">
        <v>1610</v>
      </c>
      <c r="AB134" s="76">
        <f t="shared" si="4"/>
        <v>9.306358381502891</v>
      </c>
      <c r="AC134" s="76">
        <f t="shared" si="5"/>
        <v>0.36310329273793412</v>
      </c>
      <c r="AD134" s="47">
        <v>4434</v>
      </c>
    </row>
    <row r="135" spans="1:30" ht="15.75" thickBot="1" x14ac:dyDescent="0.3">
      <c r="A135" s="44" t="s">
        <v>1453</v>
      </c>
      <c r="B135" s="48" t="s">
        <v>1454</v>
      </c>
      <c r="C135" s="44" t="s">
        <v>798</v>
      </c>
      <c r="D135" s="47">
        <v>43</v>
      </c>
      <c r="E135" s="47">
        <v>1176</v>
      </c>
      <c r="F135" s="47">
        <v>0</v>
      </c>
      <c r="G135" s="47">
        <v>0</v>
      </c>
      <c r="H135" s="47">
        <v>16</v>
      </c>
      <c r="I135" s="47">
        <v>210</v>
      </c>
      <c r="J135" s="47">
        <v>0</v>
      </c>
      <c r="K135" s="47">
        <v>0</v>
      </c>
      <c r="L135" s="47">
        <v>49</v>
      </c>
      <c r="M135" s="47">
        <v>0</v>
      </c>
      <c r="N135" s="47">
        <v>49</v>
      </c>
      <c r="O135" s="47">
        <v>59</v>
      </c>
      <c r="P135" s="47">
        <v>1386</v>
      </c>
      <c r="Q135" s="44" t="s">
        <v>1643</v>
      </c>
      <c r="R135" s="47">
        <v>41</v>
      </c>
      <c r="S135" s="47">
        <v>450</v>
      </c>
      <c r="T135" s="47">
        <v>0</v>
      </c>
      <c r="U135" s="47">
        <v>0</v>
      </c>
      <c r="V135" s="47">
        <v>5</v>
      </c>
      <c r="W135" s="47">
        <v>69</v>
      </c>
      <c r="X135" s="47">
        <v>2</v>
      </c>
      <c r="Y135" s="47">
        <v>278</v>
      </c>
      <c r="Z135" s="47">
        <v>66</v>
      </c>
      <c r="AA135" s="47">
        <v>1733</v>
      </c>
      <c r="AB135" s="76">
        <f t="shared" si="4"/>
        <v>26.257575757575758</v>
      </c>
      <c r="AC135" s="76">
        <f t="shared" si="5"/>
        <v>0.3961142857142857</v>
      </c>
      <c r="AD135" s="47">
        <v>4375</v>
      </c>
    </row>
    <row r="136" spans="1:30" ht="15.75" thickBot="1" x14ac:dyDescent="0.3">
      <c r="A136" s="44" t="s">
        <v>1457</v>
      </c>
      <c r="B136" s="48" t="s">
        <v>1458</v>
      </c>
      <c r="C136" s="44" t="s">
        <v>798</v>
      </c>
      <c r="D136" s="47">
        <v>139</v>
      </c>
      <c r="E136" s="47">
        <v>3139</v>
      </c>
      <c r="F136" s="47">
        <v>11</v>
      </c>
      <c r="G136" s="47">
        <v>75</v>
      </c>
      <c r="H136" s="47">
        <v>40</v>
      </c>
      <c r="I136" s="47">
        <v>1218</v>
      </c>
      <c r="J136" s="47">
        <v>8</v>
      </c>
      <c r="K136" s="47">
        <v>80</v>
      </c>
      <c r="L136" s="47">
        <v>380</v>
      </c>
      <c r="M136" s="47">
        <v>100</v>
      </c>
      <c r="N136" s="47">
        <v>480</v>
      </c>
      <c r="O136" s="47">
        <v>179</v>
      </c>
      <c r="P136" s="47">
        <v>4357</v>
      </c>
      <c r="Q136" s="44" t="s">
        <v>1643</v>
      </c>
      <c r="R136" s="47">
        <v>73</v>
      </c>
      <c r="S136" s="47">
        <v>1678</v>
      </c>
      <c r="T136" s="47">
        <v>19</v>
      </c>
      <c r="U136" s="47">
        <v>155</v>
      </c>
      <c r="V136" s="47">
        <v>68</v>
      </c>
      <c r="W136" s="47">
        <v>511</v>
      </c>
      <c r="X136" s="47">
        <v>0</v>
      </c>
      <c r="Y136" s="47">
        <v>0</v>
      </c>
      <c r="Z136" s="47">
        <v>266</v>
      </c>
      <c r="AA136" s="47">
        <v>5023</v>
      </c>
      <c r="AB136" s="76">
        <f t="shared" si="4"/>
        <v>18.883458646616543</v>
      </c>
      <c r="AC136" s="76">
        <f t="shared" si="5"/>
        <v>0.98470888061164474</v>
      </c>
      <c r="AD136" s="47">
        <v>5101</v>
      </c>
    </row>
    <row r="137" spans="1:30" ht="15.75" thickBot="1" x14ac:dyDescent="0.3">
      <c r="A137" s="44" t="s">
        <v>1463</v>
      </c>
      <c r="B137" s="48" t="s">
        <v>1464</v>
      </c>
      <c r="C137" s="44" t="s">
        <v>798</v>
      </c>
      <c r="D137" s="47">
        <v>4</v>
      </c>
      <c r="E137" s="47">
        <v>125</v>
      </c>
      <c r="F137" s="47">
        <v>0</v>
      </c>
      <c r="G137" s="47">
        <v>0</v>
      </c>
      <c r="H137" s="47">
        <v>8</v>
      </c>
      <c r="I137" s="47">
        <v>171</v>
      </c>
      <c r="J137" s="47">
        <v>8</v>
      </c>
      <c r="K137" s="47">
        <v>20</v>
      </c>
      <c r="L137" s="47">
        <v>135</v>
      </c>
      <c r="M137" s="47">
        <v>20</v>
      </c>
      <c r="N137" s="47">
        <v>155</v>
      </c>
      <c r="O137" s="47">
        <v>12</v>
      </c>
      <c r="P137" s="47">
        <v>296</v>
      </c>
      <c r="Q137" s="44" t="s">
        <v>1644</v>
      </c>
      <c r="R137" s="47">
        <v>0</v>
      </c>
      <c r="S137" s="47">
        <v>0</v>
      </c>
      <c r="T137" s="47">
        <v>8</v>
      </c>
      <c r="U137" s="47">
        <v>20</v>
      </c>
      <c r="V137" s="47">
        <v>3</v>
      </c>
      <c r="W137" s="47">
        <v>508</v>
      </c>
      <c r="X137" s="47">
        <v>3</v>
      </c>
      <c r="Y137" s="47">
        <v>150</v>
      </c>
      <c r="Z137" s="47">
        <v>26</v>
      </c>
      <c r="AA137" s="47">
        <v>974</v>
      </c>
      <c r="AB137" s="76">
        <f t="shared" si="4"/>
        <v>37.46153846153846</v>
      </c>
      <c r="AC137" s="76">
        <f t="shared" si="5"/>
        <v>0.24120851906884597</v>
      </c>
      <c r="AD137" s="47">
        <v>4038</v>
      </c>
    </row>
    <row r="138" spans="1:30" ht="15.75" thickBot="1" x14ac:dyDescent="0.3">
      <c r="A138" s="44" t="s">
        <v>1472</v>
      </c>
      <c r="B138" s="48" t="s">
        <v>1473</v>
      </c>
      <c r="C138" s="44" t="s">
        <v>798</v>
      </c>
      <c r="D138" s="47">
        <v>2</v>
      </c>
      <c r="E138" s="47">
        <v>33</v>
      </c>
      <c r="F138" s="47">
        <v>0</v>
      </c>
      <c r="G138" s="47">
        <v>0</v>
      </c>
      <c r="H138" s="47">
        <v>8</v>
      </c>
      <c r="I138" s="47">
        <v>107</v>
      </c>
      <c r="J138" s="47">
        <v>0</v>
      </c>
      <c r="K138" s="47">
        <v>0</v>
      </c>
      <c r="L138" s="47">
        <v>19</v>
      </c>
      <c r="M138" s="47">
        <v>0</v>
      </c>
      <c r="N138" s="47">
        <v>19</v>
      </c>
      <c r="O138" s="47">
        <v>10</v>
      </c>
      <c r="P138" s="47">
        <v>140</v>
      </c>
      <c r="Q138" s="44" t="s">
        <v>1643</v>
      </c>
      <c r="R138" s="47">
        <v>2</v>
      </c>
      <c r="S138" s="47">
        <v>33</v>
      </c>
      <c r="T138" s="47">
        <v>0</v>
      </c>
      <c r="U138" s="47">
        <v>0</v>
      </c>
      <c r="V138" s="47">
        <v>40</v>
      </c>
      <c r="W138" s="47">
        <v>180</v>
      </c>
      <c r="X138" s="47">
        <v>12</v>
      </c>
      <c r="Y138" s="47">
        <v>152</v>
      </c>
      <c r="Z138" s="47">
        <v>62</v>
      </c>
      <c r="AA138" s="47">
        <v>472</v>
      </c>
      <c r="AB138" s="76">
        <f t="shared" si="4"/>
        <v>7.612903225806452</v>
      </c>
      <c r="AC138" s="76">
        <f t="shared" si="5"/>
        <v>8.3762200532386866E-2</v>
      </c>
      <c r="AD138" s="47">
        <v>5635</v>
      </c>
    </row>
    <row r="139" spans="1:30" ht="15.75" thickBot="1" x14ac:dyDescent="0.3">
      <c r="A139" s="44" t="s">
        <v>1494</v>
      </c>
      <c r="B139" s="48" t="s">
        <v>1495</v>
      </c>
      <c r="C139" s="44" t="s">
        <v>798</v>
      </c>
      <c r="D139" s="47">
        <v>106</v>
      </c>
      <c r="E139" s="47">
        <v>1721</v>
      </c>
      <c r="F139" s="47">
        <v>5</v>
      </c>
      <c r="G139" s="47">
        <v>26</v>
      </c>
      <c r="H139" s="47">
        <v>25</v>
      </c>
      <c r="I139" s="47">
        <v>2606</v>
      </c>
      <c r="J139" s="47">
        <v>46</v>
      </c>
      <c r="K139" s="47">
        <v>494</v>
      </c>
      <c r="L139" s="47">
        <v>178</v>
      </c>
      <c r="M139" s="47">
        <v>28</v>
      </c>
      <c r="N139" s="47">
        <v>206</v>
      </c>
      <c r="O139" s="47">
        <v>131</v>
      </c>
      <c r="P139" s="47">
        <v>4327</v>
      </c>
      <c r="Q139" s="44" t="s">
        <v>1643</v>
      </c>
      <c r="R139" s="47">
        <v>84</v>
      </c>
      <c r="S139" s="47">
        <v>1044</v>
      </c>
      <c r="T139" s="47">
        <v>51</v>
      </c>
      <c r="U139" s="47">
        <v>520</v>
      </c>
      <c r="V139" s="47">
        <v>39</v>
      </c>
      <c r="W139" s="47">
        <v>282</v>
      </c>
      <c r="X139" s="47">
        <v>22</v>
      </c>
      <c r="Y139" s="47">
        <v>1118</v>
      </c>
      <c r="Z139" s="47">
        <v>243</v>
      </c>
      <c r="AA139" s="47">
        <v>6247</v>
      </c>
      <c r="AB139" s="76">
        <f t="shared" si="4"/>
        <v>25.707818930041153</v>
      </c>
      <c r="AC139" s="76">
        <f t="shared" si="5"/>
        <v>1.5439940682155215</v>
      </c>
      <c r="AD139" s="47">
        <v>4046</v>
      </c>
    </row>
    <row r="140" spans="1:30" ht="15.75" thickBot="1" x14ac:dyDescent="0.3">
      <c r="A140" s="44" t="s">
        <v>1506</v>
      </c>
      <c r="B140" s="48" t="s">
        <v>1507</v>
      </c>
      <c r="C140" s="44" t="s">
        <v>798</v>
      </c>
      <c r="D140" s="47">
        <v>21</v>
      </c>
      <c r="E140" s="47">
        <v>466</v>
      </c>
      <c r="F140" s="47">
        <v>5</v>
      </c>
      <c r="G140" s="47">
        <v>30</v>
      </c>
      <c r="H140" s="47">
        <v>6</v>
      </c>
      <c r="I140" s="47">
        <v>376</v>
      </c>
      <c r="J140" s="47">
        <v>0</v>
      </c>
      <c r="K140" s="47">
        <v>0</v>
      </c>
      <c r="L140" s="47">
        <v>175</v>
      </c>
      <c r="M140" s="47">
        <v>15</v>
      </c>
      <c r="N140" s="47">
        <v>190</v>
      </c>
      <c r="O140" s="47">
        <v>27</v>
      </c>
      <c r="P140" s="47">
        <v>842</v>
      </c>
      <c r="Q140" s="44" t="s">
        <v>1643</v>
      </c>
      <c r="R140" s="47">
        <v>16</v>
      </c>
      <c r="S140" s="47">
        <v>352</v>
      </c>
      <c r="T140" s="47">
        <v>5</v>
      </c>
      <c r="U140" s="47">
        <v>30</v>
      </c>
      <c r="V140" s="47">
        <v>8</v>
      </c>
      <c r="W140" s="47">
        <v>197</v>
      </c>
      <c r="X140" s="47">
        <v>0</v>
      </c>
      <c r="Y140" s="47">
        <v>0</v>
      </c>
      <c r="Z140" s="47">
        <v>40</v>
      </c>
      <c r="AA140" s="47">
        <v>1069</v>
      </c>
      <c r="AB140" s="76">
        <f t="shared" si="4"/>
        <v>26.725000000000001</v>
      </c>
      <c r="AC140" s="76">
        <f t="shared" si="5"/>
        <v>0.19510859645920789</v>
      </c>
      <c r="AD140" s="47">
        <v>5479</v>
      </c>
    </row>
    <row r="141" spans="1:30" ht="15.75" thickBot="1" x14ac:dyDescent="0.3">
      <c r="A141" s="44" t="s">
        <v>1514</v>
      </c>
      <c r="B141" s="48" t="s">
        <v>1515</v>
      </c>
      <c r="C141" s="44" t="s">
        <v>798</v>
      </c>
      <c r="D141" s="47">
        <v>1</v>
      </c>
      <c r="E141" s="47">
        <v>57</v>
      </c>
      <c r="F141" s="47">
        <v>1</v>
      </c>
      <c r="G141" s="47">
        <v>12</v>
      </c>
      <c r="H141" s="47">
        <v>10</v>
      </c>
      <c r="I141" s="47">
        <v>184</v>
      </c>
      <c r="J141" s="47">
        <v>1</v>
      </c>
      <c r="K141" s="47">
        <v>12</v>
      </c>
      <c r="L141" s="47">
        <v>80</v>
      </c>
      <c r="M141" s="47">
        <v>15</v>
      </c>
      <c r="N141" s="47">
        <v>95</v>
      </c>
      <c r="O141" s="47">
        <v>11</v>
      </c>
      <c r="P141" s="47">
        <v>241</v>
      </c>
      <c r="Q141" s="44" t="s">
        <v>1643</v>
      </c>
      <c r="R141" s="47">
        <v>4</v>
      </c>
      <c r="S141" s="47">
        <v>16</v>
      </c>
      <c r="T141" s="47">
        <v>2</v>
      </c>
      <c r="U141" s="47">
        <v>24</v>
      </c>
      <c r="V141" s="47">
        <v>1</v>
      </c>
      <c r="W141" s="47">
        <v>40</v>
      </c>
      <c r="X141" s="47">
        <v>1</v>
      </c>
      <c r="Y141" s="47">
        <v>825</v>
      </c>
      <c r="Z141" s="47">
        <v>15</v>
      </c>
      <c r="AA141" s="47">
        <v>1130</v>
      </c>
      <c r="AB141" s="76">
        <f t="shared" si="4"/>
        <v>75.333333333333329</v>
      </c>
      <c r="AC141" s="76">
        <f t="shared" si="5"/>
        <v>0.16916167664670659</v>
      </c>
      <c r="AD141" s="47">
        <v>6680</v>
      </c>
    </row>
    <row r="142" spans="1:30" ht="15.75" thickBot="1" x14ac:dyDescent="0.3">
      <c r="A142" s="44" t="s">
        <v>1522</v>
      </c>
      <c r="B142" s="48" t="s">
        <v>1523</v>
      </c>
      <c r="C142" s="44" t="s">
        <v>798</v>
      </c>
      <c r="D142" s="47">
        <v>54</v>
      </c>
      <c r="E142" s="47">
        <v>720</v>
      </c>
      <c r="F142" s="47">
        <v>4</v>
      </c>
      <c r="G142" s="47">
        <v>54</v>
      </c>
      <c r="H142" s="47">
        <v>19</v>
      </c>
      <c r="I142" s="47">
        <v>435</v>
      </c>
      <c r="J142" s="47">
        <v>3</v>
      </c>
      <c r="K142" s="47">
        <v>34</v>
      </c>
      <c r="L142" s="47">
        <v>112</v>
      </c>
      <c r="M142" s="47">
        <v>19</v>
      </c>
      <c r="N142" s="47">
        <v>131</v>
      </c>
      <c r="O142" s="47">
        <v>73</v>
      </c>
      <c r="P142" s="47">
        <v>1155</v>
      </c>
      <c r="Q142" s="44" t="s">
        <v>1643</v>
      </c>
      <c r="R142" s="47">
        <v>36</v>
      </c>
      <c r="S142" s="47">
        <v>108</v>
      </c>
      <c r="T142" s="47">
        <v>7</v>
      </c>
      <c r="U142" s="47">
        <v>88</v>
      </c>
      <c r="V142" s="47">
        <v>15</v>
      </c>
      <c r="W142" s="47">
        <v>199</v>
      </c>
      <c r="X142" s="47">
        <v>4</v>
      </c>
      <c r="Y142" s="47">
        <v>150</v>
      </c>
      <c r="Z142" s="47">
        <v>99</v>
      </c>
      <c r="AA142" s="47">
        <v>1592</v>
      </c>
      <c r="AB142" s="76">
        <f t="shared" si="4"/>
        <v>16.08080808080808</v>
      </c>
      <c r="AC142" s="76">
        <f t="shared" si="5"/>
        <v>0.26388198242996852</v>
      </c>
      <c r="AD142" s="47">
        <v>6033</v>
      </c>
    </row>
    <row r="143" spans="1:30" ht="15.75" thickBot="1" x14ac:dyDescent="0.3">
      <c r="A143" s="44" t="s">
        <v>1530</v>
      </c>
      <c r="B143" s="48" t="s">
        <v>1531</v>
      </c>
      <c r="C143" s="44" t="s">
        <v>798</v>
      </c>
      <c r="D143" s="47">
        <v>88</v>
      </c>
      <c r="E143" s="47">
        <v>839</v>
      </c>
      <c r="F143" s="47">
        <v>0</v>
      </c>
      <c r="G143" s="47">
        <v>0</v>
      </c>
      <c r="H143" s="47">
        <v>6</v>
      </c>
      <c r="I143" s="47">
        <v>349</v>
      </c>
      <c r="J143" s="47">
        <v>0</v>
      </c>
      <c r="K143" s="47">
        <v>0</v>
      </c>
      <c r="L143" s="47">
        <v>33</v>
      </c>
      <c r="M143" s="47">
        <v>0</v>
      </c>
      <c r="N143" s="47">
        <v>33</v>
      </c>
      <c r="O143" s="47">
        <v>94</v>
      </c>
      <c r="P143" s="47">
        <v>1188</v>
      </c>
      <c r="Q143" s="44" t="s">
        <v>1643</v>
      </c>
      <c r="R143" s="47">
        <v>50</v>
      </c>
      <c r="S143" s="47">
        <v>100</v>
      </c>
      <c r="T143" s="47">
        <v>0</v>
      </c>
      <c r="U143" s="47">
        <v>0</v>
      </c>
      <c r="V143" s="47">
        <v>137</v>
      </c>
      <c r="W143" s="47">
        <v>284</v>
      </c>
      <c r="X143" s="47">
        <v>0</v>
      </c>
      <c r="Y143" s="47">
        <v>0</v>
      </c>
      <c r="Z143" s="47">
        <v>231</v>
      </c>
      <c r="AA143" s="47">
        <v>1472</v>
      </c>
      <c r="AB143" s="76">
        <f t="shared" si="4"/>
        <v>6.3722943722943723</v>
      </c>
      <c r="AC143" s="76">
        <f t="shared" si="5"/>
        <v>0.32167832167832167</v>
      </c>
      <c r="AD143" s="47">
        <v>4576</v>
      </c>
    </row>
    <row r="144" spans="1:30" ht="15.75" thickBot="1" x14ac:dyDescent="0.3">
      <c r="A144" s="44" t="s">
        <v>1544</v>
      </c>
      <c r="B144" s="48" t="s">
        <v>1545</v>
      </c>
      <c r="C144" s="44" t="s">
        <v>798</v>
      </c>
      <c r="D144" s="47">
        <v>28</v>
      </c>
      <c r="E144" s="47">
        <v>394</v>
      </c>
      <c r="F144" s="47">
        <v>1</v>
      </c>
      <c r="G144" s="47">
        <v>28</v>
      </c>
      <c r="H144" s="47">
        <v>26</v>
      </c>
      <c r="I144" s="47">
        <v>323</v>
      </c>
      <c r="J144" s="47">
        <v>0</v>
      </c>
      <c r="K144" s="47">
        <v>0</v>
      </c>
      <c r="L144" s="47">
        <v>71</v>
      </c>
      <c r="M144" s="47">
        <v>5</v>
      </c>
      <c r="N144" s="47">
        <v>76</v>
      </c>
      <c r="O144" s="47">
        <v>54</v>
      </c>
      <c r="P144" s="47">
        <v>717</v>
      </c>
      <c r="Q144" s="44" t="s">
        <v>1643</v>
      </c>
      <c r="R144" s="47">
        <v>10</v>
      </c>
      <c r="S144" s="47">
        <v>30</v>
      </c>
      <c r="T144" s="47">
        <v>1</v>
      </c>
      <c r="U144" s="47">
        <v>28</v>
      </c>
      <c r="V144" s="47">
        <v>12</v>
      </c>
      <c r="W144" s="47">
        <v>120</v>
      </c>
      <c r="X144" s="47">
        <v>8</v>
      </c>
      <c r="Y144" s="47">
        <v>160</v>
      </c>
      <c r="Z144" s="47">
        <v>75</v>
      </c>
      <c r="AA144" s="47">
        <v>1025</v>
      </c>
      <c r="AB144" s="76">
        <f t="shared" si="4"/>
        <v>13.666666666666666</v>
      </c>
      <c r="AC144" s="76">
        <f t="shared" si="5"/>
        <v>0.215471936094177</v>
      </c>
      <c r="AD144" s="47">
        <v>4757</v>
      </c>
    </row>
    <row r="145" spans="1:30" ht="15.75" thickBot="1" x14ac:dyDescent="0.3">
      <c r="A145" s="44" t="s">
        <v>1550</v>
      </c>
      <c r="B145" s="48" t="s">
        <v>1551</v>
      </c>
      <c r="C145" s="44" t="s">
        <v>798</v>
      </c>
      <c r="D145" s="47">
        <v>9</v>
      </c>
      <c r="E145" s="47">
        <v>115</v>
      </c>
      <c r="F145" s="47">
        <v>2</v>
      </c>
      <c r="G145" s="47">
        <v>10</v>
      </c>
      <c r="H145" s="47">
        <v>8</v>
      </c>
      <c r="I145" s="47">
        <v>115</v>
      </c>
      <c r="J145" s="47">
        <v>2</v>
      </c>
      <c r="K145" s="47">
        <v>13</v>
      </c>
      <c r="L145" s="47">
        <v>61</v>
      </c>
      <c r="M145" s="47">
        <v>8</v>
      </c>
      <c r="N145" s="47">
        <v>69</v>
      </c>
      <c r="O145" s="47">
        <v>17</v>
      </c>
      <c r="P145" s="47">
        <v>230</v>
      </c>
      <c r="Q145" s="44" t="s">
        <v>1644</v>
      </c>
      <c r="R145" s="47">
        <v>0</v>
      </c>
      <c r="S145" s="47">
        <v>0</v>
      </c>
      <c r="T145" s="47">
        <v>4</v>
      </c>
      <c r="U145" s="47">
        <v>23</v>
      </c>
      <c r="V145" s="44">
        <v>0</v>
      </c>
      <c r="W145" s="44">
        <v>0</v>
      </c>
      <c r="X145" s="47">
        <v>2</v>
      </c>
      <c r="Y145" s="44">
        <v>0</v>
      </c>
      <c r="Z145" s="47">
        <v>23</v>
      </c>
      <c r="AA145" s="47">
        <v>253</v>
      </c>
      <c r="AB145" s="76">
        <f t="shared" si="4"/>
        <v>11</v>
      </c>
      <c r="AC145" s="76">
        <f t="shared" si="5"/>
        <v>5.4833116601647164E-2</v>
      </c>
      <c r="AD145" s="47">
        <v>4614</v>
      </c>
    </row>
    <row r="146" spans="1:30" ht="15.75" thickBot="1" x14ac:dyDescent="0.3">
      <c r="A146" s="44" t="s">
        <v>1560</v>
      </c>
      <c r="B146" s="48" t="s">
        <v>1561</v>
      </c>
      <c r="C146" s="44" t="s">
        <v>798</v>
      </c>
      <c r="D146" s="47">
        <v>31</v>
      </c>
      <c r="E146" s="47">
        <v>769</v>
      </c>
      <c r="F146" s="47">
        <v>1</v>
      </c>
      <c r="G146" s="47">
        <v>11</v>
      </c>
      <c r="H146" s="47">
        <v>24</v>
      </c>
      <c r="I146" s="47">
        <v>513</v>
      </c>
      <c r="J146" s="47">
        <v>1</v>
      </c>
      <c r="K146" s="47">
        <v>9</v>
      </c>
      <c r="L146" s="47">
        <v>201</v>
      </c>
      <c r="M146" s="47">
        <v>12</v>
      </c>
      <c r="N146" s="47">
        <v>213</v>
      </c>
      <c r="O146" s="47">
        <v>55</v>
      </c>
      <c r="P146" s="47">
        <v>1282</v>
      </c>
      <c r="Q146" s="44" t="s">
        <v>1643</v>
      </c>
      <c r="R146" s="47">
        <v>16</v>
      </c>
      <c r="S146" s="47">
        <v>418</v>
      </c>
      <c r="T146" s="47">
        <v>2</v>
      </c>
      <c r="U146" s="47">
        <v>20</v>
      </c>
      <c r="V146" s="47">
        <v>26</v>
      </c>
      <c r="W146" s="47">
        <v>448</v>
      </c>
      <c r="X146" s="47">
        <v>0</v>
      </c>
      <c r="Y146" s="47">
        <v>0</v>
      </c>
      <c r="Z146" s="47">
        <v>83</v>
      </c>
      <c r="AA146" s="47">
        <v>1750</v>
      </c>
      <c r="AB146" s="76">
        <f t="shared" si="4"/>
        <v>21.08433734939759</v>
      </c>
      <c r="AC146" s="76">
        <f t="shared" si="5"/>
        <v>0.25003571938848407</v>
      </c>
      <c r="AD146" s="47">
        <v>6999</v>
      </c>
    </row>
    <row r="147" spans="1:30" ht="15.75" thickBot="1" x14ac:dyDescent="0.3">
      <c r="A147" s="44" t="s">
        <v>1570</v>
      </c>
      <c r="B147" s="48" t="s">
        <v>1571</v>
      </c>
      <c r="C147" s="44" t="s">
        <v>798</v>
      </c>
      <c r="D147" s="47">
        <v>75</v>
      </c>
      <c r="E147" s="47">
        <v>340</v>
      </c>
      <c r="F147" s="47">
        <v>8</v>
      </c>
      <c r="G147" s="47">
        <v>71</v>
      </c>
      <c r="H147" s="47">
        <v>14</v>
      </c>
      <c r="I147" s="47">
        <v>744</v>
      </c>
      <c r="J147" s="47">
        <v>2</v>
      </c>
      <c r="K147" s="47">
        <v>128</v>
      </c>
      <c r="L147" s="47">
        <v>135</v>
      </c>
      <c r="M147" s="47">
        <v>37</v>
      </c>
      <c r="N147" s="47">
        <v>172</v>
      </c>
      <c r="O147" s="47">
        <v>89</v>
      </c>
      <c r="P147" s="47">
        <v>1084</v>
      </c>
      <c r="Q147" s="44" t="s">
        <v>1643</v>
      </c>
      <c r="R147" s="47">
        <v>7</v>
      </c>
      <c r="S147" s="47">
        <v>78</v>
      </c>
      <c r="T147" s="47">
        <v>10</v>
      </c>
      <c r="U147" s="47">
        <v>199</v>
      </c>
      <c r="V147" s="47">
        <v>154</v>
      </c>
      <c r="W147" s="47">
        <v>1508</v>
      </c>
      <c r="X147" s="47">
        <v>1</v>
      </c>
      <c r="Y147" s="47">
        <v>66</v>
      </c>
      <c r="Z147" s="47">
        <v>254</v>
      </c>
      <c r="AA147" s="47">
        <v>2857</v>
      </c>
      <c r="AB147" s="76">
        <f t="shared" si="4"/>
        <v>11.248031496062993</v>
      </c>
      <c r="AC147" s="76">
        <f t="shared" si="5"/>
        <v>0.59065536489559645</v>
      </c>
      <c r="AD147" s="47">
        <v>4837</v>
      </c>
    </row>
    <row r="148" spans="1:30" ht="15.75" thickBot="1" x14ac:dyDescent="0.3">
      <c r="A148" s="44" t="s">
        <v>1588</v>
      </c>
      <c r="B148" s="48" t="s">
        <v>1589</v>
      </c>
      <c r="C148" s="44" t="s">
        <v>798</v>
      </c>
      <c r="D148" s="47">
        <v>66</v>
      </c>
      <c r="E148" s="47">
        <v>1523</v>
      </c>
      <c r="F148" s="47">
        <v>9</v>
      </c>
      <c r="G148" s="47">
        <v>29</v>
      </c>
      <c r="H148" s="47">
        <v>3</v>
      </c>
      <c r="I148" s="47">
        <v>199</v>
      </c>
      <c r="J148" s="47">
        <v>0</v>
      </c>
      <c r="K148" s="47">
        <v>0</v>
      </c>
      <c r="L148" s="47">
        <v>70</v>
      </c>
      <c r="M148" s="47">
        <v>0</v>
      </c>
      <c r="N148" s="47">
        <v>70</v>
      </c>
      <c r="O148" s="47">
        <v>69</v>
      </c>
      <c r="P148" s="47">
        <v>1722</v>
      </c>
      <c r="Q148" s="44" t="s">
        <v>1643</v>
      </c>
      <c r="R148" s="47">
        <v>49</v>
      </c>
      <c r="S148" s="47">
        <v>1232</v>
      </c>
      <c r="T148" s="47">
        <v>9</v>
      </c>
      <c r="U148" s="47">
        <v>29</v>
      </c>
      <c r="V148" s="47">
        <v>42</v>
      </c>
      <c r="W148" s="47">
        <v>447</v>
      </c>
      <c r="X148" s="47">
        <v>24</v>
      </c>
      <c r="Y148" s="47">
        <v>753</v>
      </c>
      <c r="Z148" s="47">
        <v>144</v>
      </c>
      <c r="AA148" s="47">
        <v>2951</v>
      </c>
      <c r="AB148" s="76">
        <f t="shared" si="4"/>
        <v>20.493055555555557</v>
      </c>
      <c r="AC148" s="76">
        <f t="shared" si="5"/>
        <v>0.56316793893129768</v>
      </c>
      <c r="AD148" s="47">
        <v>5240</v>
      </c>
    </row>
    <row r="149" spans="1:30" ht="15.75" thickBot="1" x14ac:dyDescent="0.3">
      <c r="A149" s="44" t="s">
        <v>806</v>
      </c>
      <c r="B149" s="48" t="s">
        <v>807</v>
      </c>
      <c r="C149" s="44" t="s">
        <v>808</v>
      </c>
      <c r="D149" s="47">
        <v>40</v>
      </c>
      <c r="E149" s="47">
        <v>192</v>
      </c>
      <c r="F149" s="47">
        <v>1</v>
      </c>
      <c r="G149" s="47">
        <v>12</v>
      </c>
      <c r="H149" s="47">
        <v>23</v>
      </c>
      <c r="I149" s="47">
        <v>198</v>
      </c>
      <c r="J149" s="47">
        <v>1</v>
      </c>
      <c r="K149" s="47">
        <v>8</v>
      </c>
      <c r="L149" s="47">
        <v>152</v>
      </c>
      <c r="M149" s="47">
        <v>16</v>
      </c>
      <c r="N149" s="47">
        <v>168</v>
      </c>
      <c r="O149" s="47">
        <v>63</v>
      </c>
      <c r="P149" s="47">
        <v>390</v>
      </c>
      <c r="Q149" s="44" t="s">
        <v>1643</v>
      </c>
      <c r="R149" s="47">
        <v>52</v>
      </c>
      <c r="S149" s="47">
        <v>156</v>
      </c>
      <c r="T149" s="47">
        <v>2</v>
      </c>
      <c r="U149" s="47">
        <v>20</v>
      </c>
      <c r="V149" s="47">
        <v>0</v>
      </c>
      <c r="W149" s="47">
        <v>0</v>
      </c>
      <c r="X149" s="47">
        <v>103</v>
      </c>
      <c r="Y149" s="47">
        <v>883</v>
      </c>
      <c r="Z149" s="47">
        <v>168</v>
      </c>
      <c r="AA149" s="47">
        <v>1293</v>
      </c>
      <c r="AB149" s="76">
        <f t="shared" si="4"/>
        <v>7.6964285714285712</v>
      </c>
      <c r="AC149" s="76">
        <f t="shared" si="5"/>
        <v>0.17449392712550607</v>
      </c>
      <c r="AD149" s="47">
        <v>7410</v>
      </c>
    </row>
    <row r="150" spans="1:30" ht="15.75" thickBot="1" x14ac:dyDescent="0.3">
      <c r="A150" s="44" t="s">
        <v>809</v>
      </c>
      <c r="B150" s="48" t="s">
        <v>810</v>
      </c>
      <c r="C150" s="44" t="s">
        <v>808</v>
      </c>
      <c r="D150" s="47">
        <v>20</v>
      </c>
      <c r="E150" s="47">
        <v>77</v>
      </c>
      <c r="F150" s="47">
        <v>0</v>
      </c>
      <c r="G150" s="47">
        <v>0</v>
      </c>
      <c r="H150" s="47">
        <v>0</v>
      </c>
      <c r="I150" s="47">
        <v>0</v>
      </c>
      <c r="J150" s="47">
        <v>0</v>
      </c>
      <c r="K150" s="47">
        <v>0</v>
      </c>
      <c r="L150" s="47">
        <v>0</v>
      </c>
      <c r="M150" s="47">
        <v>0</v>
      </c>
      <c r="N150" s="47">
        <v>0</v>
      </c>
      <c r="O150" s="47">
        <v>20</v>
      </c>
      <c r="P150" s="47">
        <v>77</v>
      </c>
      <c r="Q150" s="44" t="s">
        <v>1643</v>
      </c>
      <c r="R150" s="47">
        <v>13</v>
      </c>
      <c r="S150" s="47">
        <v>45</v>
      </c>
      <c r="T150" s="47">
        <v>0</v>
      </c>
      <c r="U150" s="47">
        <v>0</v>
      </c>
      <c r="V150" s="47">
        <v>18</v>
      </c>
      <c r="W150" s="47">
        <v>330</v>
      </c>
      <c r="X150" s="47">
        <v>0</v>
      </c>
      <c r="Y150" s="47">
        <v>0</v>
      </c>
      <c r="Z150" s="47">
        <v>38</v>
      </c>
      <c r="AA150" s="47">
        <v>407</v>
      </c>
      <c r="AB150" s="76">
        <f t="shared" si="4"/>
        <v>10.710526315789474</v>
      </c>
      <c r="AC150" s="76">
        <f t="shared" si="5"/>
        <v>3.5086206896551723E-2</v>
      </c>
      <c r="AD150" s="47">
        <v>11600</v>
      </c>
    </row>
    <row r="151" spans="1:30" ht="15.75" thickBot="1" x14ac:dyDescent="0.3">
      <c r="A151" s="44" t="s">
        <v>811</v>
      </c>
      <c r="B151" s="48" t="s">
        <v>812</v>
      </c>
      <c r="C151" s="44" t="s">
        <v>808</v>
      </c>
      <c r="D151" s="47">
        <v>143</v>
      </c>
      <c r="E151" s="47">
        <v>4601</v>
      </c>
      <c r="F151" s="47">
        <v>28</v>
      </c>
      <c r="G151" s="47">
        <v>246</v>
      </c>
      <c r="H151" s="47">
        <v>47</v>
      </c>
      <c r="I151" s="47">
        <v>1723</v>
      </c>
      <c r="J151" s="47">
        <v>9</v>
      </c>
      <c r="K151" s="47">
        <v>124</v>
      </c>
      <c r="L151" s="47">
        <v>87</v>
      </c>
      <c r="M151" s="47">
        <v>36</v>
      </c>
      <c r="N151" s="47">
        <v>123</v>
      </c>
      <c r="O151" s="47">
        <v>190</v>
      </c>
      <c r="P151" s="47">
        <v>6324</v>
      </c>
      <c r="Q151" s="44" t="s">
        <v>1643</v>
      </c>
      <c r="R151" s="47">
        <v>14</v>
      </c>
      <c r="S151" s="47">
        <v>360</v>
      </c>
      <c r="T151" s="47">
        <v>37</v>
      </c>
      <c r="U151" s="47">
        <v>370</v>
      </c>
      <c r="V151" s="47">
        <v>374</v>
      </c>
      <c r="W151" s="47">
        <v>2162</v>
      </c>
      <c r="X151" s="47">
        <v>4</v>
      </c>
      <c r="Y151" s="47">
        <v>41</v>
      </c>
      <c r="Z151" s="47">
        <v>605</v>
      </c>
      <c r="AA151" s="47">
        <v>8897</v>
      </c>
      <c r="AB151" s="76">
        <f t="shared" si="4"/>
        <v>14.705785123966942</v>
      </c>
      <c r="AC151" s="76">
        <f t="shared" si="5"/>
        <v>0.76903794623562971</v>
      </c>
      <c r="AD151" s="47">
        <v>11569</v>
      </c>
    </row>
    <row r="152" spans="1:30" ht="15.75" thickBot="1" x14ac:dyDescent="0.3">
      <c r="A152" s="44" t="s">
        <v>813</v>
      </c>
      <c r="B152" s="48" t="s">
        <v>814</v>
      </c>
      <c r="C152" s="44" t="s">
        <v>808</v>
      </c>
      <c r="D152" s="47">
        <v>46</v>
      </c>
      <c r="E152" s="47">
        <v>825</v>
      </c>
      <c r="F152" s="47">
        <v>4</v>
      </c>
      <c r="G152" s="47">
        <v>30</v>
      </c>
      <c r="H152" s="47">
        <v>9</v>
      </c>
      <c r="I152" s="47">
        <v>626</v>
      </c>
      <c r="J152" s="47">
        <v>1</v>
      </c>
      <c r="K152" s="47">
        <v>15</v>
      </c>
      <c r="L152" s="47">
        <v>164</v>
      </c>
      <c r="M152" s="47">
        <v>45</v>
      </c>
      <c r="N152" s="47">
        <v>209</v>
      </c>
      <c r="O152" s="47">
        <v>55</v>
      </c>
      <c r="P152" s="47">
        <v>1451</v>
      </c>
      <c r="Q152" s="44" t="s">
        <v>1643</v>
      </c>
      <c r="R152" s="47">
        <v>22</v>
      </c>
      <c r="S152" s="47">
        <v>199</v>
      </c>
      <c r="T152" s="47">
        <v>5</v>
      </c>
      <c r="U152" s="47">
        <v>45</v>
      </c>
      <c r="V152" s="47">
        <v>179</v>
      </c>
      <c r="W152" s="47">
        <v>2182</v>
      </c>
      <c r="X152" s="47">
        <v>15</v>
      </c>
      <c r="Y152" s="47">
        <v>425</v>
      </c>
      <c r="Z152" s="47">
        <v>254</v>
      </c>
      <c r="AA152" s="47">
        <v>4103</v>
      </c>
      <c r="AB152" s="76">
        <f t="shared" si="4"/>
        <v>16.153543307086615</v>
      </c>
      <c r="AC152" s="76">
        <f t="shared" si="5"/>
        <v>0.42272820935503813</v>
      </c>
      <c r="AD152" s="47">
        <v>9706</v>
      </c>
    </row>
    <row r="153" spans="1:30" ht="15.75" thickBot="1" x14ac:dyDescent="0.3">
      <c r="A153" s="44" t="s">
        <v>825</v>
      </c>
      <c r="B153" s="48" t="s">
        <v>826</v>
      </c>
      <c r="C153" s="44" t="s">
        <v>808</v>
      </c>
      <c r="D153" s="47">
        <v>255</v>
      </c>
      <c r="E153" s="47">
        <v>6544</v>
      </c>
      <c r="F153" s="47">
        <v>0</v>
      </c>
      <c r="G153" s="47">
        <v>0</v>
      </c>
      <c r="H153" s="47">
        <v>8</v>
      </c>
      <c r="I153" s="47">
        <v>990</v>
      </c>
      <c r="J153" s="47">
        <v>0</v>
      </c>
      <c r="K153" s="47">
        <v>0</v>
      </c>
      <c r="L153" s="47">
        <v>0</v>
      </c>
      <c r="M153" s="47">
        <v>0</v>
      </c>
      <c r="N153" s="47">
        <v>0</v>
      </c>
      <c r="O153" s="47">
        <v>263</v>
      </c>
      <c r="P153" s="47">
        <v>7534</v>
      </c>
      <c r="Q153" s="44" t="s">
        <v>1644</v>
      </c>
      <c r="R153" s="47">
        <v>0</v>
      </c>
      <c r="S153" s="47">
        <v>0</v>
      </c>
      <c r="T153" s="47">
        <v>0</v>
      </c>
      <c r="U153" s="47">
        <v>0</v>
      </c>
      <c r="V153" s="47">
        <v>0</v>
      </c>
      <c r="W153" s="47">
        <v>0</v>
      </c>
      <c r="X153" s="47">
        <v>3131</v>
      </c>
      <c r="Y153" s="47">
        <v>35466</v>
      </c>
      <c r="Z153" s="47">
        <v>3394</v>
      </c>
      <c r="AA153" s="47">
        <v>43000</v>
      </c>
      <c r="AB153" s="76">
        <f t="shared" si="4"/>
        <v>12.669416617560401</v>
      </c>
      <c r="AC153" s="76">
        <f t="shared" si="5"/>
        <v>3.6128381784574022</v>
      </c>
      <c r="AD153" s="47">
        <v>11902</v>
      </c>
    </row>
    <row r="154" spans="1:30" ht="15.75" thickBot="1" x14ac:dyDescent="0.3">
      <c r="A154" s="44" t="s">
        <v>833</v>
      </c>
      <c r="B154" s="48" t="s">
        <v>834</v>
      </c>
      <c r="C154" s="44" t="s">
        <v>808</v>
      </c>
      <c r="D154" s="47">
        <v>94</v>
      </c>
      <c r="E154" s="47">
        <v>869</v>
      </c>
      <c r="F154" s="47">
        <v>37</v>
      </c>
      <c r="G154" s="47">
        <v>182</v>
      </c>
      <c r="H154" s="47">
        <v>19</v>
      </c>
      <c r="I154" s="47">
        <v>722</v>
      </c>
      <c r="J154" s="47">
        <v>9</v>
      </c>
      <c r="K154" s="47">
        <v>121</v>
      </c>
      <c r="L154" s="47">
        <v>277</v>
      </c>
      <c r="M154" s="47">
        <v>78</v>
      </c>
      <c r="N154" s="47">
        <v>355</v>
      </c>
      <c r="O154" s="47">
        <v>113</v>
      </c>
      <c r="P154" s="47">
        <v>1591</v>
      </c>
      <c r="Q154" s="44" t="s">
        <v>1643</v>
      </c>
      <c r="R154" s="47">
        <v>68</v>
      </c>
      <c r="S154" s="47">
        <v>377</v>
      </c>
      <c r="T154" s="47">
        <v>46</v>
      </c>
      <c r="U154" s="47">
        <v>303</v>
      </c>
      <c r="V154" s="47">
        <v>52</v>
      </c>
      <c r="W154" s="47">
        <v>555</v>
      </c>
      <c r="X154" s="47">
        <v>12</v>
      </c>
      <c r="Y154" s="47">
        <v>106</v>
      </c>
      <c r="Z154" s="47">
        <v>223</v>
      </c>
      <c r="AA154" s="47">
        <v>2555</v>
      </c>
      <c r="AB154" s="76">
        <f t="shared" si="4"/>
        <v>11.457399103139014</v>
      </c>
      <c r="AC154" s="76">
        <f t="shared" si="5"/>
        <v>0.23227272727272727</v>
      </c>
      <c r="AD154" s="47">
        <v>11000</v>
      </c>
    </row>
    <row r="155" spans="1:30" ht="15.75" thickBot="1" x14ac:dyDescent="0.3">
      <c r="A155" s="44" t="s">
        <v>848</v>
      </c>
      <c r="B155" s="48" t="s">
        <v>849</v>
      </c>
      <c r="C155" s="44" t="s">
        <v>808</v>
      </c>
      <c r="D155" s="47">
        <v>14</v>
      </c>
      <c r="E155" s="47">
        <v>192</v>
      </c>
      <c r="F155" s="47">
        <v>2</v>
      </c>
      <c r="G155" s="47">
        <v>15</v>
      </c>
      <c r="H155" s="47">
        <v>3</v>
      </c>
      <c r="I155" s="47">
        <v>258</v>
      </c>
      <c r="J155" s="47">
        <v>3</v>
      </c>
      <c r="K155" s="47">
        <v>38</v>
      </c>
      <c r="L155" s="47">
        <v>105</v>
      </c>
      <c r="M155" s="47">
        <v>35</v>
      </c>
      <c r="N155" s="47">
        <v>140</v>
      </c>
      <c r="O155" s="47">
        <v>17</v>
      </c>
      <c r="P155" s="47">
        <v>450</v>
      </c>
      <c r="Q155" s="44" t="s">
        <v>1643</v>
      </c>
      <c r="R155" s="47">
        <v>6</v>
      </c>
      <c r="S155" s="47">
        <v>60</v>
      </c>
      <c r="T155" s="47">
        <v>5</v>
      </c>
      <c r="U155" s="47">
        <v>53</v>
      </c>
      <c r="V155" s="47">
        <v>5</v>
      </c>
      <c r="W155" s="47">
        <v>109</v>
      </c>
      <c r="X155" s="47">
        <v>2</v>
      </c>
      <c r="Y155" s="47">
        <v>380</v>
      </c>
      <c r="Z155" s="47">
        <v>29</v>
      </c>
      <c r="AA155" s="47">
        <v>992</v>
      </c>
      <c r="AB155" s="76">
        <f t="shared" si="4"/>
        <v>34.206896551724135</v>
      </c>
      <c r="AC155" s="76">
        <f t="shared" si="5"/>
        <v>0.13831567205800335</v>
      </c>
      <c r="AD155" s="47">
        <v>7172</v>
      </c>
    </row>
    <row r="156" spans="1:30" ht="15.75" thickBot="1" x14ac:dyDescent="0.3">
      <c r="A156" s="44" t="s">
        <v>859</v>
      </c>
      <c r="B156" s="48" t="s">
        <v>860</v>
      </c>
      <c r="C156" s="44" t="s">
        <v>808</v>
      </c>
      <c r="D156" s="47">
        <v>55</v>
      </c>
      <c r="E156" s="47">
        <v>600</v>
      </c>
      <c r="F156" s="47">
        <v>44</v>
      </c>
      <c r="G156" s="47">
        <v>30</v>
      </c>
      <c r="H156" s="47">
        <v>8</v>
      </c>
      <c r="I156" s="47">
        <v>100</v>
      </c>
      <c r="J156" s="47">
        <v>4</v>
      </c>
      <c r="K156" s="47">
        <v>11</v>
      </c>
      <c r="L156" s="47">
        <v>30</v>
      </c>
      <c r="M156" s="47">
        <v>7</v>
      </c>
      <c r="N156" s="47">
        <v>37</v>
      </c>
      <c r="O156" s="47">
        <v>63</v>
      </c>
      <c r="P156" s="47">
        <v>700</v>
      </c>
      <c r="Q156" s="44" t="s">
        <v>1643</v>
      </c>
      <c r="R156" s="47">
        <v>52</v>
      </c>
      <c r="S156" s="47">
        <v>520</v>
      </c>
      <c r="T156" s="47">
        <v>48</v>
      </c>
      <c r="U156" s="47">
        <v>41</v>
      </c>
      <c r="V156" s="47">
        <v>15</v>
      </c>
      <c r="W156" s="47">
        <v>150</v>
      </c>
      <c r="X156" s="47">
        <v>0</v>
      </c>
      <c r="Y156" s="47">
        <v>0</v>
      </c>
      <c r="Z156" s="47">
        <v>126</v>
      </c>
      <c r="AA156" s="47">
        <v>891</v>
      </c>
      <c r="AB156" s="76">
        <f t="shared" si="4"/>
        <v>7.0714285714285712</v>
      </c>
      <c r="AC156" s="76">
        <f t="shared" si="5"/>
        <v>7.6823590274185199E-2</v>
      </c>
      <c r="AD156" s="47">
        <v>11598</v>
      </c>
    </row>
    <row r="157" spans="1:30" ht="15.75" thickBot="1" x14ac:dyDescent="0.3">
      <c r="A157" s="44" t="s">
        <v>879</v>
      </c>
      <c r="B157" s="48" t="s">
        <v>880</v>
      </c>
      <c r="C157" s="44" t="s">
        <v>808</v>
      </c>
      <c r="D157" s="47">
        <v>144</v>
      </c>
      <c r="E157" s="47">
        <v>1571</v>
      </c>
      <c r="F157" s="47">
        <v>148</v>
      </c>
      <c r="G157" s="47">
        <v>1656</v>
      </c>
      <c r="H157" s="47">
        <v>7</v>
      </c>
      <c r="I157" s="47">
        <v>181</v>
      </c>
      <c r="J157" s="47">
        <v>4</v>
      </c>
      <c r="K157" s="47">
        <v>26</v>
      </c>
      <c r="L157" s="47">
        <v>74</v>
      </c>
      <c r="M157" s="47">
        <v>19</v>
      </c>
      <c r="N157" s="47">
        <v>93</v>
      </c>
      <c r="O157" s="47">
        <v>151</v>
      </c>
      <c r="P157" s="47">
        <v>1752</v>
      </c>
      <c r="Q157" s="44" t="s">
        <v>1643</v>
      </c>
      <c r="R157" s="47">
        <v>84</v>
      </c>
      <c r="S157" s="47">
        <v>1286</v>
      </c>
      <c r="T157" s="47">
        <v>152</v>
      </c>
      <c r="U157" s="47">
        <v>1682</v>
      </c>
      <c r="V157" s="47">
        <v>106</v>
      </c>
      <c r="W157" s="47">
        <v>299</v>
      </c>
      <c r="X157" s="47">
        <v>3</v>
      </c>
      <c r="Y157" s="47">
        <v>946</v>
      </c>
      <c r="Z157" s="47">
        <v>412</v>
      </c>
      <c r="AA157" s="47">
        <v>4679</v>
      </c>
      <c r="AB157" s="76">
        <f t="shared" si="4"/>
        <v>11.356796116504855</v>
      </c>
      <c r="AC157" s="76">
        <f t="shared" si="5"/>
        <v>0.50875285419158423</v>
      </c>
      <c r="AD157" s="47">
        <v>9197</v>
      </c>
    </row>
    <row r="158" spans="1:30" ht="15.75" thickBot="1" x14ac:dyDescent="0.3">
      <c r="A158" s="44" t="s">
        <v>889</v>
      </c>
      <c r="B158" s="48" t="s">
        <v>890</v>
      </c>
      <c r="C158" s="44" t="s">
        <v>808</v>
      </c>
      <c r="D158" s="47">
        <v>102</v>
      </c>
      <c r="E158" s="47">
        <v>2199</v>
      </c>
      <c r="F158" s="47">
        <v>2</v>
      </c>
      <c r="G158" s="47">
        <v>81</v>
      </c>
      <c r="H158" s="47">
        <v>33</v>
      </c>
      <c r="I158" s="47">
        <v>867</v>
      </c>
      <c r="J158" s="47">
        <v>5</v>
      </c>
      <c r="K158" s="47">
        <v>59</v>
      </c>
      <c r="L158" s="47">
        <v>154</v>
      </c>
      <c r="M158" s="47">
        <v>40</v>
      </c>
      <c r="N158" s="47">
        <v>194</v>
      </c>
      <c r="O158" s="47">
        <v>135</v>
      </c>
      <c r="P158" s="47">
        <v>3066</v>
      </c>
      <c r="Q158" s="44" t="s">
        <v>1643</v>
      </c>
      <c r="R158" s="47">
        <v>110</v>
      </c>
      <c r="S158" s="47">
        <v>2113</v>
      </c>
      <c r="T158" s="47">
        <v>7</v>
      </c>
      <c r="U158" s="47">
        <v>140</v>
      </c>
      <c r="V158" s="47">
        <v>110</v>
      </c>
      <c r="W158" s="47">
        <v>946</v>
      </c>
      <c r="X158" s="47">
        <v>0</v>
      </c>
      <c r="Y158" s="47">
        <v>0</v>
      </c>
      <c r="Z158" s="47">
        <v>252</v>
      </c>
      <c r="AA158" s="47">
        <v>4152</v>
      </c>
      <c r="AB158" s="76">
        <f t="shared" si="4"/>
        <v>16.476190476190474</v>
      </c>
      <c r="AC158" s="76">
        <f t="shared" si="5"/>
        <v>0.35112050739957718</v>
      </c>
      <c r="AD158" s="47">
        <v>11825</v>
      </c>
    </row>
    <row r="159" spans="1:30" ht="15.75" thickBot="1" x14ac:dyDescent="0.3">
      <c r="A159" s="44" t="s">
        <v>893</v>
      </c>
      <c r="B159" s="48" t="s">
        <v>894</v>
      </c>
      <c r="C159" s="44" t="s">
        <v>808</v>
      </c>
      <c r="D159" s="47">
        <v>126</v>
      </c>
      <c r="E159" s="47">
        <v>3075</v>
      </c>
      <c r="F159" s="47">
        <v>12</v>
      </c>
      <c r="G159" s="47">
        <v>45</v>
      </c>
      <c r="H159" s="47">
        <v>31</v>
      </c>
      <c r="I159" s="47">
        <v>1318</v>
      </c>
      <c r="J159" s="47">
        <v>3</v>
      </c>
      <c r="K159" s="47">
        <v>8</v>
      </c>
      <c r="L159" s="47">
        <v>48</v>
      </c>
      <c r="M159" s="44">
        <v>0</v>
      </c>
      <c r="N159" s="47">
        <v>48</v>
      </c>
      <c r="O159" s="47">
        <v>157</v>
      </c>
      <c r="P159" s="47">
        <v>4393</v>
      </c>
      <c r="Q159" s="44" t="s">
        <v>1643</v>
      </c>
      <c r="R159" s="47">
        <v>120</v>
      </c>
      <c r="S159" s="47">
        <v>1800</v>
      </c>
      <c r="T159" s="47">
        <v>15</v>
      </c>
      <c r="U159" s="47">
        <v>53</v>
      </c>
      <c r="V159" s="47">
        <v>121</v>
      </c>
      <c r="W159" s="47">
        <v>1072</v>
      </c>
      <c r="X159" s="47">
        <v>0</v>
      </c>
      <c r="Y159" s="47">
        <v>0</v>
      </c>
      <c r="Z159" s="47">
        <v>293</v>
      </c>
      <c r="AA159" s="47">
        <v>5518</v>
      </c>
      <c r="AB159" s="76">
        <f t="shared" si="4"/>
        <v>18.832764505119453</v>
      </c>
      <c r="AC159" s="76">
        <f t="shared" si="5"/>
        <v>0.76363133130362582</v>
      </c>
      <c r="AD159" s="47">
        <v>7226</v>
      </c>
    </row>
    <row r="160" spans="1:30" ht="15.75" thickBot="1" x14ac:dyDescent="0.3">
      <c r="A160" s="44" t="s">
        <v>911</v>
      </c>
      <c r="B160" s="48" t="s">
        <v>912</v>
      </c>
      <c r="C160" s="44" t="s">
        <v>808</v>
      </c>
      <c r="D160" s="47">
        <v>154</v>
      </c>
      <c r="E160" s="47">
        <v>2301</v>
      </c>
      <c r="F160" s="47">
        <v>13</v>
      </c>
      <c r="G160" s="47">
        <v>144</v>
      </c>
      <c r="H160" s="47">
        <v>19</v>
      </c>
      <c r="I160" s="47">
        <v>1028</v>
      </c>
      <c r="J160" s="47">
        <v>9</v>
      </c>
      <c r="K160" s="47">
        <v>64</v>
      </c>
      <c r="L160" s="47">
        <v>120</v>
      </c>
      <c r="M160" s="47">
        <v>15</v>
      </c>
      <c r="N160" s="47">
        <v>135</v>
      </c>
      <c r="O160" s="47">
        <v>173</v>
      </c>
      <c r="P160" s="47">
        <v>3329</v>
      </c>
      <c r="Q160" s="44" t="s">
        <v>1643</v>
      </c>
      <c r="R160" s="47">
        <v>32</v>
      </c>
      <c r="S160" s="47">
        <v>525</v>
      </c>
      <c r="T160" s="47">
        <v>22</v>
      </c>
      <c r="U160" s="47">
        <v>208</v>
      </c>
      <c r="V160" s="47">
        <v>99</v>
      </c>
      <c r="W160" s="47">
        <v>912</v>
      </c>
      <c r="X160" s="47">
        <v>12</v>
      </c>
      <c r="Y160" s="47">
        <v>875</v>
      </c>
      <c r="Z160" s="47">
        <v>306</v>
      </c>
      <c r="AA160" s="47">
        <v>5324</v>
      </c>
      <c r="AB160" s="76">
        <f t="shared" si="4"/>
        <v>17.398692810457515</v>
      </c>
      <c r="AC160" s="76">
        <f t="shared" si="5"/>
        <v>0.52765113974231914</v>
      </c>
      <c r="AD160" s="47">
        <v>10090</v>
      </c>
    </row>
    <row r="161" spans="1:30" ht="15.75" thickBot="1" x14ac:dyDescent="0.3">
      <c r="A161" s="44" t="s">
        <v>913</v>
      </c>
      <c r="B161" s="48" t="s">
        <v>914</v>
      </c>
      <c r="C161" s="44" t="s">
        <v>808</v>
      </c>
      <c r="D161" s="47">
        <v>51</v>
      </c>
      <c r="E161" s="47">
        <v>824</v>
      </c>
      <c r="F161" s="47">
        <v>2</v>
      </c>
      <c r="G161" s="47">
        <v>1</v>
      </c>
      <c r="H161" s="47">
        <v>18</v>
      </c>
      <c r="I161" s="47">
        <v>844</v>
      </c>
      <c r="J161" s="47">
        <v>8</v>
      </c>
      <c r="K161" s="47">
        <v>60</v>
      </c>
      <c r="L161" s="47">
        <v>132</v>
      </c>
      <c r="M161" s="47">
        <v>14</v>
      </c>
      <c r="N161" s="47">
        <v>146</v>
      </c>
      <c r="O161" s="47">
        <v>69</v>
      </c>
      <c r="P161" s="47">
        <v>1668</v>
      </c>
      <c r="Q161" s="44" t="s">
        <v>1643</v>
      </c>
      <c r="R161" s="47">
        <v>29</v>
      </c>
      <c r="S161" s="47">
        <v>403</v>
      </c>
      <c r="T161" s="47">
        <v>10</v>
      </c>
      <c r="U161" s="47">
        <v>61</v>
      </c>
      <c r="V161" s="47">
        <v>42</v>
      </c>
      <c r="W161" s="47">
        <v>905</v>
      </c>
      <c r="X161" s="44">
        <v>0</v>
      </c>
      <c r="Y161" s="44">
        <v>0</v>
      </c>
      <c r="Z161" s="47">
        <v>121</v>
      </c>
      <c r="AA161" s="47">
        <v>2634</v>
      </c>
      <c r="AB161" s="76">
        <f t="shared" si="4"/>
        <v>21.768595041322314</v>
      </c>
      <c r="AC161" s="76">
        <f t="shared" si="5"/>
        <v>0.27140649149922719</v>
      </c>
      <c r="AD161" s="47">
        <v>9705</v>
      </c>
    </row>
    <row r="162" spans="1:30" ht="15.75" thickBot="1" x14ac:dyDescent="0.3">
      <c r="A162" s="44" t="s">
        <v>919</v>
      </c>
      <c r="B162" s="48" t="s">
        <v>920</v>
      </c>
      <c r="C162" s="44" t="s">
        <v>808</v>
      </c>
      <c r="D162" s="47">
        <v>3</v>
      </c>
      <c r="E162" s="47">
        <v>17</v>
      </c>
      <c r="F162" s="47">
        <v>0</v>
      </c>
      <c r="G162" s="47">
        <v>0</v>
      </c>
      <c r="H162" s="47">
        <v>0</v>
      </c>
      <c r="I162" s="47">
        <v>0</v>
      </c>
      <c r="J162" s="47">
        <v>0</v>
      </c>
      <c r="K162" s="47">
        <v>0</v>
      </c>
      <c r="L162" s="44">
        <v>0</v>
      </c>
      <c r="M162" s="44">
        <v>0</v>
      </c>
      <c r="N162" s="44">
        <v>0</v>
      </c>
      <c r="O162" s="47">
        <v>3</v>
      </c>
      <c r="P162" s="47">
        <v>17</v>
      </c>
      <c r="Q162" s="44" t="s">
        <v>1644</v>
      </c>
      <c r="R162" s="47">
        <v>0</v>
      </c>
      <c r="S162" s="47">
        <v>0</v>
      </c>
      <c r="T162" s="47">
        <v>0</v>
      </c>
      <c r="U162" s="47">
        <v>0</v>
      </c>
      <c r="V162" s="47">
        <v>13</v>
      </c>
      <c r="W162" s="47">
        <v>165</v>
      </c>
      <c r="X162" s="47">
        <v>8</v>
      </c>
      <c r="Y162" s="47">
        <v>588</v>
      </c>
      <c r="Z162" s="47">
        <v>24</v>
      </c>
      <c r="AA162" s="47">
        <v>770</v>
      </c>
      <c r="AB162" s="76">
        <f t="shared" si="4"/>
        <v>32.083333333333336</v>
      </c>
      <c r="AC162" s="76">
        <f t="shared" si="5"/>
        <v>8.8587206626783252E-2</v>
      </c>
      <c r="AD162" s="47">
        <v>8692</v>
      </c>
    </row>
    <row r="163" spans="1:30" ht="15.75" thickBot="1" x14ac:dyDescent="0.3">
      <c r="A163" s="44" t="s">
        <v>927</v>
      </c>
      <c r="B163" s="48" t="s">
        <v>928</v>
      </c>
      <c r="C163" s="44" t="s">
        <v>808</v>
      </c>
      <c r="D163" s="47">
        <v>67</v>
      </c>
      <c r="E163" s="47">
        <v>1586</v>
      </c>
      <c r="F163" s="47">
        <v>43</v>
      </c>
      <c r="G163" s="47">
        <v>587</v>
      </c>
      <c r="H163" s="47">
        <v>6</v>
      </c>
      <c r="I163" s="47">
        <v>195</v>
      </c>
      <c r="J163" s="47">
        <v>2</v>
      </c>
      <c r="K163" s="47">
        <v>33</v>
      </c>
      <c r="L163" s="47">
        <v>271</v>
      </c>
      <c r="M163" s="47">
        <v>35</v>
      </c>
      <c r="N163" s="47">
        <v>306</v>
      </c>
      <c r="O163" s="47">
        <v>73</v>
      </c>
      <c r="P163" s="47">
        <v>1781</v>
      </c>
      <c r="Q163" s="44" t="s">
        <v>1643</v>
      </c>
      <c r="R163" s="47">
        <v>16</v>
      </c>
      <c r="S163" s="47">
        <v>386</v>
      </c>
      <c r="T163" s="47">
        <v>45</v>
      </c>
      <c r="U163" s="47">
        <v>620</v>
      </c>
      <c r="V163" s="47">
        <v>138</v>
      </c>
      <c r="W163" s="47">
        <v>892</v>
      </c>
      <c r="X163" s="47">
        <v>37</v>
      </c>
      <c r="Y163" s="47">
        <v>2335</v>
      </c>
      <c r="Z163" s="47">
        <v>293</v>
      </c>
      <c r="AA163" s="47">
        <v>5628</v>
      </c>
      <c r="AB163" s="76">
        <f t="shared" si="4"/>
        <v>19.208191126279864</v>
      </c>
      <c r="AC163" s="76">
        <f t="shared" si="5"/>
        <v>0.47561903152201468</v>
      </c>
      <c r="AD163" s="47">
        <v>11833</v>
      </c>
    </row>
    <row r="164" spans="1:30" ht="15.75" thickBot="1" x14ac:dyDescent="0.3">
      <c r="A164" s="44" t="s">
        <v>931</v>
      </c>
      <c r="B164" s="48" t="s">
        <v>932</v>
      </c>
      <c r="C164" s="44" t="s">
        <v>808</v>
      </c>
      <c r="D164" s="47">
        <v>33</v>
      </c>
      <c r="E164" s="47">
        <v>1027</v>
      </c>
      <c r="F164" s="47">
        <v>3</v>
      </c>
      <c r="G164" s="47">
        <v>86</v>
      </c>
      <c r="H164" s="47">
        <v>12</v>
      </c>
      <c r="I164" s="47">
        <v>659</v>
      </c>
      <c r="J164" s="47">
        <v>5</v>
      </c>
      <c r="K164" s="47">
        <v>71</v>
      </c>
      <c r="L164" s="47">
        <v>139</v>
      </c>
      <c r="M164" s="47">
        <v>16</v>
      </c>
      <c r="N164" s="47">
        <v>155</v>
      </c>
      <c r="O164" s="47">
        <v>45</v>
      </c>
      <c r="P164" s="47">
        <v>1686</v>
      </c>
      <c r="Q164" s="44" t="s">
        <v>1643</v>
      </c>
      <c r="R164" s="47">
        <v>24</v>
      </c>
      <c r="S164" s="47">
        <v>186</v>
      </c>
      <c r="T164" s="47">
        <v>8</v>
      </c>
      <c r="U164" s="47">
        <v>157</v>
      </c>
      <c r="V164" s="47">
        <v>14</v>
      </c>
      <c r="W164" s="47">
        <v>378</v>
      </c>
      <c r="X164" s="47">
        <v>6</v>
      </c>
      <c r="Y164" s="47">
        <v>273</v>
      </c>
      <c r="Z164" s="47">
        <v>73</v>
      </c>
      <c r="AA164" s="47">
        <v>2494</v>
      </c>
      <c r="AB164" s="76">
        <f t="shared" si="4"/>
        <v>34.164383561643838</v>
      </c>
      <c r="AC164" s="76">
        <f t="shared" si="5"/>
        <v>0.22971354886248505</v>
      </c>
      <c r="AD164" s="47">
        <v>10857</v>
      </c>
    </row>
    <row r="165" spans="1:30" ht="15.75" thickBot="1" x14ac:dyDescent="0.3">
      <c r="A165" s="44" t="s">
        <v>935</v>
      </c>
      <c r="B165" s="48" t="s">
        <v>936</v>
      </c>
      <c r="C165" s="44" t="s">
        <v>808</v>
      </c>
      <c r="D165" s="47">
        <v>82</v>
      </c>
      <c r="E165" s="47">
        <v>2561</v>
      </c>
      <c r="F165" s="47">
        <v>19</v>
      </c>
      <c r="G165" s="47">
        <v>720</v>
      </c>
      <c r="H165" s="47">
        <v>37</v>
      </c>
      <c r="I165" s="47">
        <v>2032</v>
      </c>
      <c r="J165" s="47">
        <v>5</v>
      </c>
      <c r="K165" s="47">
        <v>318</v>
      </c>
      <c r="L165" s="47">
        <v>1155</v>
      </c>
      <c r="M165" s="47">
        <v>213</v>
      </c>
      <c r="N165" s="47">
        <v>1368</v>
      </c>
      <c r="O165" s="47">
        <v>119</v>
      </c>
      <c r="P165" s="47">
        <v>4593</v>
      </c>
      <c r="Q165" s="44" t="s">
        <v>1643</v>
      </c>
      <c r="R165" s="47">
        <v>93</v>
      </c>
      <c r="S165" s="47">
        <v>2640</v>
      </c>
      <c r="T165" s="47">
        <v>24</v>
      </c>
      <c r="U165" s="47">
        <v>1038</v>
      </c>
      <c r="V165" s="47">
        <v>71</v>
      </c>
      <c r="W165" s="47">
        <v>458</v>
      </c>
      <c r="X165" s="47">
        <v>8</v>
      </c>
      <c r="Y165" s="47">
        <v>1437</v>
      </c>
      <c r="Z165" s="47">
        <v>222</v>
      </c>
      <c r="AA165" s="47">
        <v>7526</v>
      </c>
      <c r="AB165" s="76">
        <f t="shared" si="4"/>
        <v>33.900900900900901</v>
      </c>
      <c r="AC165" s="76">
        <f t="shared" si="5"/>
        <v>0.79363070758198884</v>
      </c>
      <c r="AD165" s="47">
        <v>9483</v>
      </c>
    </row>
    <row r="166" spans="1:30" ht="15.75" thickBot="1" x14ac:dyDescent="0.3">
      <c r="A166" s="44" t="s">
        <v>937</v>
      </c>
      <c r="B166" s="48" t="s">
        <v>938</v>
      </c>
      <c r="C166" s="44" t="s">
        <v>808</v>
      </c>
      <c r="D166" s="47">
        <v>80</v>
      </c>
      <c r="E166" s="47">
        <v>297</v>
      </c>
      <c r="F166" s="47">
        <v>7</v>
      </c>
      <c r="G166" s="47">
        <v>52</v>
      </c>
      <c r="H166" s="47">
        <v>20</v>
      </c>
      <c r="I166" s="47">
        <v>170</v>
      </c>
      <c r="J166" s="47">
        <v>4</v>
      </c>
      <c r="K166" s="47">
        <v>35</v>
      </c>
      <c r="L166" s="47">
        <v>25</v>
      </c>
      <c r="M166" s="47">
        <v>5</v>
      </c>
      <c r="N166" s="47">
        <v>30</v>
      </c>
      <c r="O166" s="47">
        <v>100</v>
      </c>
      <c r="P166" s="47">
        <v>467</v>
      </c>
      <c r="Q166" s="44" t="s">
        <v>1643</v>
      </c>
      <c r="R166" s="47">
        <v>87</v>
      </c>
      <c r="S166" s="47">
        <v>224</v>
      </c>
      <c r="T166" s="47">
        <v>11</v>
      </c>
      <c r="U166" s="47">
        <v>87</v>
      </c>
      <c r="V166" s="47">
        <v>116</v>
      </c>
      <c r="W166" s="47">
        <v>1508</v>
      </c>
      <c r="X166" s="47">
        <v>0</v>
      </c>
      <c r="Y166" s="47">
        <v>0</v>
      </c>
      <c r="Z166" s="47">
        <v>227</v>
      </c>
      <c r="AA166" s="47">
        <v>2062</v>
      </c>
      <c r="AB166" s="76">
        <f t="shared" si="4"/>
        <v>9.0837004405286343</v>
      </c>
      <c r="AC166" s="76">
        <f t="shared" si="5"/>
        <v>0.24972750393605425</v>
      </c>
      <c r="AD166" s="47">
        <v>8257</v>
      </c>
    </row>
    <row r="167" spans="1:30" ht="15.75" thickBot="1" x14ac:dyDescent="0.3">
      <c r="A167" s="44" t="s">
        <v>943</v>
      </c>
      <c r="B167" s="48" t="s">
        <v>944</v>
      </c>
      <c r="C167" s="44" t="s">
        <v>808</v>
      </c>
      <c r="D167" s="47">
        <v>231</v>
      </c>
      <c r="E167" s="47">
        <v>6580</v>
      </c>
      <c r="F167" s="47">
        <v>15</v>
      </c>
      <c r="G167" s="47">
        <v>93</v>
      </c>
      <c r="H167" s="47">
        <v>8</v>
      </c>
      <c r="I167" s="47">
        <v>249</v>
      </c>
      <c r="J167" s="47">
        <v>0</v>
      </c>
      <c r="K167" s="47">
        <v>0</v>
      </c>
      <c r="L167" s="47">
        <v>185</v>
      </c>
      <c r="M167" s="47">
        <v>0</v>
      </c>
      <c r="N167" s="47">
        <v>185</v>
      </c>
      <c r="O167" s="47">
        <v>239</v>
      </c>
      <c r="P167" s="47">
        <v>6829</v>
      </c>
      <c r="Q167" s="44" t="s">
        <v>1643</v>
      </c>
      <c r="R167" s="47">
        <v>52</v>
      </c>
      <c r="S167" s="47">
        <v>1084</v>
      </c>
      <c r="T167" s="47">
        <v>15</v>
      </c>
      <c r="U167" s="47">
        <v>93</v>
      </c>
      <c r="V167" s="47">
        <v>206</v>
      </c>
      <c r="W167" s="47">
        <v>4011</v>
      </c>
      <c r="X167" s="47">
        <v>0</v>
      </c>
      <c r="Y167" s="47">
        <v>0</v>
      </c>
      <c r="Z167" s="47">
        <v>460</v>
      </c>
      <c r="AA167" s="47">
        <v>10933</v>
      </c>
      <c r="AB167" s="76">
        <f t="shared" si="4"/>
        <v>23.767391304347825</v>
      </c>
      <c r="AC167" s="76">
        <f t="shared" si="5"/>
        <v>1.1144750254841997</v>
      </c>
      <c r="AD167" s="47">
        <v>9810</v>
      </c>
    </row>
    <row r="168" spans="1:30" ht="15.75" thickBot="1" x14ac:dyDescent="0.3">
      <c r="A168" s="44" t="s">
        <v>979</v>
      </c>
      <c r="B168" s="48" t="s">
        <v>980</v>
      </c>
      <c r="C168" s="44" t="s">
        <v>808</v>
      </c>
      <c r="D168" s="47">
        <v>164</v>
      </c>
      <c r="E168" s="47">
        <v>6930</v>
      </c>
      <c r="F168" s="47">
        <v>45</v>
      </c>
      <c r="G168" s="47">
        <v>287</v>
      </c>
      <c r="H168" s="47">
        <v>21</v>
      </c>
      <c r="I168" s="47">
        <v>968</v>
      </c>
      <c r="J168" s="47">
        <v>0</v>
      </c>
      <c r="K168" s="47">
        <v>0</v>
      </c>
      <c r="L168" s="47">
        <v>768</v>
      </c>
      <c r="M168" s="47">
        <v>129</v>
      </c>
      <c r="N168" s="47">
        <v>897</v>
      </c>
      <c r="O168" s="47">
        <v>185</v>
      </c>
      <c r="P168" s="47">
        <v>7898</v>
      </c>
      <c r="Q168" s="44" t="s">
        <v>1643</v>
      </c>
      <c r="R168" s="47">
        <v>76</v>
      </c>
      <c r="S168" s="47">
        <v>1910</v>
      </c>
      <c r="T168" s="47">
        <v>45</v>
      </c>
      <c r="U168" s="47">
        <v>287</v>
      </c>
      <c r="V168" s="47">
        <v>123</v>
      </c>
      <c r="W168" s="47">
        <v>1643</v>
      </c>
      <c r="X168" s="47">
        <v>11</v>
      </c>
      <c r="Y168" s="47">
        <v>654</v>
      </c>
      <c r="Z168" s="47">
        <v>364</v>
      </c>
      <c r="AA168" s="47">
        <v>10482</v>
      </c>
      <c r="AB168" s="76">
        <f t="shared" si="4"/>
        <v>28.796703296703296</v>
      </c>
      <c r="AC168" s="76">
        <f t="shared" si="5"/>
        <v>0.88366211431461816</v>
      </c>
      <c r="AD168" s="47">
        <v>11862</v>
      </c>
    </row>
    <row r="169" spans="1:30" ht="15.75" thickBot="1" x14ac:dyDescent="0.3">
      <c r="A169" s="44" t="s">
        <v>1003</v>
      </c>
      <c r="B169" s="48" t="s">
        <v>1004</v>
      </c>
      <c r="C169" s="44" t="s">
        <v>808</v>
      </c>
      <c r="D169" s="47">
        <v>26</v>
      </c>
      <c r="E169" s="47">
        <v>581</v>
      </c>
      <c r="F169" s="47">
        <v>4</v>
      </c>
      <c r="G169" s="47">
        <v>188</v>
      </c>
      <c r="H169" s="47">
        <v>4</v>
      </c>
      <c r="I169" s="47">
        <v>192</v>
      </c>
      <c r="J169" s="47">
        <v>3</v>
      </c>
      <c r="K169" s="47">
        <v>45</v>
      </c>
      <c r="L169" s="47">
        <v>225</v>
      </c>
      <c r="M169" s="47">
        <v>35</v>
      </c>
      <c r="N169" s="47">
        <v>260</v>
      </c>
      <c r="O169" s="47">
        <v>30</v>
      </c>
      <c r="P169" s="47">
        <v>773</v>
      </c>
      <c r="Q169" s="44" t="s">
        <v>1643</v>
      </c>
      <c r="R169" s="47">
        <v>1</v>
      </c>
      <c r="S169" s="47">
        <v>260</v>
      </c>
      <c r="T169" s="47">
        <v>7</v>
      </c>
      <c r="U169" s="47">
        <v>233</v>
      </c>
      <c r="V169" s="47">
        <v>27</v>
      </c>
      <c r="W169" s="47">
        <v>715</v>
      </c>
      <c r="X169" s="47">
        <v>4</v>
      </c>
      <c r="Y169" s="47">
        <v>775</v>
      </c>
      <c r="Z169" s="47">
        <v>68</v>
      </c>
      <c r="AA169" s="47">
        <v>2496</v>
      </c>
      <c r="AB169" s="76">
        <f t="shared" si="4"/>
        <v>36.705882352941174</v>
      </c>
      <c r="AC169" s="76">
        <f t="shared" si="5"/>
        <v>0.24907693842929848</v>
      </c>
      <c r="AD169" s="47">
        <v>10021</v>
      </c>
    </row>
    <row r="170" spans="1:30" ht="15.75" thickBot="1" x14ac:dyDescent="0.3">
      <c r="A170" s="44" t="s">
        <v>1015</v>
      </c>
      <c r="B170" s="48" t="s">
        <v>1016</v>
      </c>
      <c r="C170" s="44" t="s">
        <v>808</v>
      </c>
      <c r="D170" s="47">
        <v>144</v>
      </c>
      <c r="E170" s="47">
        <v>4298</v>
      </c>
      <c r="F170" s="47">
        <v>21</v>
      </c>
      <c r="G170" s="47">
        <v>477</v>
      </c>
      <c r="H170" s="47">
        <v>39</v>
      </c>
      <c r="I170" s="47">
        <v>897</v>
      </c>
      <c r="J170" s="47">
        <v>12</v>
      </c>
      <c r="K170" s="47">
        <v>351</v>
      </c>
      <c r="L170" s="47">
        <v>403</v>
      </c>
      <c r="M170" s="47">
        <v>46</v>
      </c>
      <c r="N170" s="47">
        <v>449</v>
      </c>
      <c r="O170" s="47">
        <v>183</v>
      </c>
      <c r="P170" s="47">
        <v>5195</v>
      </c>
      <c r="Q170" s="44" t="s">
        <v>1643</v>
      </c>
      <c r="R170" s="47">
        <v>29</v>
      </c>
      <c r="S170" s="47">
        <v>3826</v>
      </c>
      <c r="T170" s="47">
        <v>33</v>
      </c>
      <c r="U170" s="47">
        <v>828</v>
      </c>
      <c r="V170" s="47">
        <v>142</v>
      </c>
      <c r="W170" s="47">
        <v>3030</v>
      </c>
      <c r="X170" s="47">
        <v>10</v>
      </c>
      <c r="Y170" s="47">
        <v>1089</v>
      </c>
      <c r="Z170" s="47">
        <v>368</v>
      </c>
      <c r="AA170" s="47">
        <v>10142</v>
      </c>
      <c r="AB170" s="76">
        <f t="shared" si="4"/>
        <v>27.559782608695652</v>
      </c>
      <c r="AC170" s="76">
        <f t="shared" si="5"/>
        <v>1.3633552896894743</v>
      </c>
      <c r="AD170" s="47">
        <v>7439</v>
      </c>
    </row>
    <row r="171" spans="1:30" ht="15.75" thickBot="1" x14ac:dyDescent="0.3">
      <c r="A171" s="44" t="s">
        <v>1029</v>
      </c>
      <c r="B171" s="48" t="s">
        <v>1030</v>
      </c>
      <c r="C171" s="44" t="s">
        <v>808</v>
      </c>
      <c r="D171" s="47">
        <v>3</v>
      </c>
      <c r="E171" s="47">
        <v>85</v>
      </c>
      <c r="F171" s="47">
        <v>0</v>
      </c>
      <c r="G171" s="47">
        <v>0</v>
      </c>
      <c r="H171" s="47">
        <v>6</v>
      </c>
      <c r="I171" s="47">
        <v>130</v>
      </c>
      <c r="J171" s="47">
        <v>0</v>
      </c>
      <c r="K171" s="47">
        <v>0</v>
      </c>
      <c r="L171" s="47">
        <v>68</v>
      </c>
      <c r="M171" s="47">
        <v>12</v>
      </c>
      <c r="N171" s="47">
        <v>80</v>
      </c>
      <c r="O171" s="47">
        <v>9</v>
      </c>
      <c r="P171" s="47">
        <v>215</v>
      </c>
      <c r="Q171" s="44" t="s">
        <v>1644</v>
      </c>
      <c r="R171" s="47">
        <v>0</v>
      </c>
      <c r="S171" s="47">
        <v>0</v>
      </c>
      <c r="T171" s="47">
        <v>0</v>
      </c>
      <c r="U171" s="47">
        <v>0</v>
      </c>
      <c r="V171" s="47">
        <v>73</v>
      </c>
      <c r="W171" s="47">
        <v>332</v>
      </c>
      <c r="X171" s="47">
        <v>0</v>
      </c>
      <c r="Y171" s="47">
        <v>0</v>
      </c>
      <c r="Z171" s="47">
        <v>82</v>
      </c>
      <c r="AA171" s="47">
        <v>547</v>
      </c>
      <c r="AB171" s="76">
        <f t="shared" si="4"/>
        <v>6.6707317073170733</v>
      </c>
      <c r="AC171" s="76">
        <f t="shared" si="5"/>
        <v>7.3998917748917745E-2</v>
      </c>
      <c r="AD171" s="47">
        <v>7392</v>
      </c>
    </row>
    <row r="172" spans="1:30" ht="15.75" thickBot="1" x14ac:dyDescent="0.3">
      <c r="A172" s="44" t="s">
        <v>1033</v>
      </c>
      <c r="B172" s="48" t="s">
        <v>1034</v>
      </c>
      <c r="C172" s="44" t="s">
        <v>808</v>
      </c>
      <c r="D172" s="47">
        <v>2</v>
      </c>
      <c r="E172" s="47">
        <v>18</v>
      </c>
      <c r="F172" s="47">
        <v>0</v>
      </c>
      <c r="G172" s="47">
        <v>0</v>
      </c>
      <c r="H172" s="47">
        <v>6</v>
      </c>
      <c r="I172" s="47">
        <v>20</v>
      </c>
      <c r="J172" s="47">
        <v>0</v>
      </c>
      <c r="K172" s="47">
        <v>0</v>
      </c>
      <c r="L172" s="47">
        <v>31</v>
      </c>
      <c r="M172" s="47">
        <v>0</v>
      </c>
      <c r="N172" s="47">
        <v>31</v>
      </c>
      <c r="O172" s="47">
        <v>8</v>
      </c>
      <c r="P172" s="47">
        <v>38</v>
      </c>
      <c r="Q172" s="44" t="s">
        <v>1643</v>
      </c>
      <c r="R172" s="47">
        <v>1</v>
      </c>
      <c r="S172" s="47">
        <v>3</v>
      </c>
      <c r="T172" s="47">
        <v>0</v>
      </c>
      <c r="U172" s="47">
        <v>0</v>
      </c>
      <c r="V172" s="47">
        <v>2</v>
      </c>
      <c r="W172" s="47">
        <v>10</v>
      </c>
      <c r="X172" s="47">
        <v>1</v>
      </c>
      <c r="Y172" s="47">
        <v>14</v>
      </c>
      <c r="Z172" s="47">
        <v>11</v>
      </c>
      <c r="AA172" s="47">
        <v>62</v>
      </c>
      <c r="AB172" s="76">
        <f t="shared" si="4"/>
        <v>5.6363636363636367</v>
      </c>
      <c r="AC172" s="76">
        <f t="shared" si="5"/>
        <v>6.5180824222035322E-3</v>
      </c>
      <c r="AD172" s="47">
        <v>9512</v>
      </c>
    </row>
    <row r="173" spans="1:30" ht="15.75" thickBot="1" x14ac:dyDescent="0.3">
      <c r="A173" s="44" t="s">
        <v>1045</v>
      </c>
      <c r="B173" s="48" t="s">
        <v>1046</v>
      </c>
      <c r="C173" s="44" t="s">
        <v>808</v>
      </c>
      <c r="D173" s="47">
        <v>45</v>
      </c>
      <c r="E173" s="47">
        <v>260</v>
      </c>
      <c r="F173" s="47">
        <v>0</v>
      </c>
      <c r="G173" s="47">
        <v>0</v>
      </c>
      <c r="H173" s="47">
        <v>1</v>
      </c>
      <c r="I173" s="47">
        <v>46</v>
      </c>
      <c r="J173" s="47">
        <v>0</v>
      </c>
      <c r="K173" s="47">
        <v>0</v>
      </c>
      <c r="L173" s="47">
        <v>74</v>
      </c>
      <c r="M173" s="44">
        <v>0</v>
      </c>
      <c r="N173" s="47">
        <v>74</v>
      </c>
      <c r="O173" s="47">
        <v>46</v>
      </c>
      <c r="P173" s="47">
        <v>306</v>
      </c>
      <c r="Q173" s="44" t="s">
        <v>1643</v>
      </c>
      <c r="R173" s="47">
        <v>21</v>
      </c>
      <c r="S173" s="47">
        <v>12</v>
      </c>
      <c r="T173" s="47">
        <v>0</v>
      </c>
      <c r="U173" s="47">
        <v>0</v>
      </c>
      <c r="V173" s="47">
        <v>0</v>
      </c>
      <c r="W173" s="47">
        <v>0</v>
      </c>
      <c r="X173" s="47">
        <v>0</v>
      </c>
      <c r="Y173" s="47">
        <v>0</v>
      </c>
      <c r="Z173" s="47">
        <v>46</v>
      </c>
      <c r="AA173" s="47">
        <v>306</v>
      </c>
      <c r="AB173" s="76">
        <f t="shared" si="4"/>
        <v>6.6521739130434785</v>
      </c>
      <c r="AC173" s="76">
        <f t="shared" si="5"/>
        <v>3.9652714785538425E-2</v>
      </c>
      <c r="AD173" s="47">
        <v>7717</v>
      </c>
    </row>
    <row r="174" spans="1:30" ht="15.75" thickBot="1" x14ac:dyDescent="0.3">
      <c r="A174" s="44" t="s">
        <v>1069</v>
      </c>
      <c r="B174" s="48" t="s">
        <v>1070</v>
      </c>
      <c r="C174" s="44" t="s">
        <v>808</v>
      </c>
      <c r="D174" s="47">
        <v>125</v>
      </c>
      <c r="E174" s="47">
        <v>3370</v>
      </c>
      <c r="F174" s="47">
        <v>28</v>
      </c>
      <c r="G174" s="47">
        <v>539</v>
      </c>
      <c r="H174" s="47">
        <v>35</v>
      </c>
      <c r="I174" s="47">
        <v>1819</v>
      </c>
      <c r="J174" s="47">
        <v>3</v>
      </c>
      <c r="K174" s="47">
        <v>79</v>
      </c>
      <c r="L174" s="47">
        <v>900</v>
      </c>
      <c r="M174" s="47">
        <v>259</v>
      </c>
      <c r="N174" s="47">
        <v>1159</v>
      </c>
      <c r="O174" s="47">
        <v>160</v>
      </c>
      <c r="P174" s="47">
        <v>5189</v>
      </c>
      <c r="Q174" s="44" t="s">
        <v>1643</v>
      </c>
      <c r="R174" s="47">
        <v>88</v>
      </c>
      <c r="S174" s="47">
        <v>2600</v>
      </c>
      <c r="T174" s="47">
        <v>31</v>
      </c>
      <c r="U174" s="47">
        <v>618</v>
      </c>
      <c r="V174" s="47">
        <v>89</v>
      </c>
      <c r="W174" s="47">
        <v>1651</v>
      </c>
      <c r="X174" s="47">
        <v>37</v>
      </c>
      <c r="Y174" s="47">
        <v>2366</v>
      </c>
      <c r="Z174" s="47">
        <v>317</v>
      </c>
      <c r="AA174" s="47">
        <v>9824</v>
      </c>
      <c r="AB174" s="76">
        <f t="shared" si="4"/>
        <v>30.990536277602523</v>
      </c>
      <c r="AC174" s="76">
        <f t="shared" si="5"/>
        <v>1.2556237218813906</v>
      </c>
      <c r="AD174" s="47">
        <v>7824</v>
      </c>
    </row>
    <row r="175" spans="1:30" ht="15.75" thickBot="1" x14ac:dyDescent="0.3">
      <c r="A175" s="44" t="s">
        <v>1081</v>
      </c>
      <c r="B175" s="48" t="s">
        <v>1082</v>
      </c>
      <c r="C175" s="44" t="s">
        <v>808</v>
      </c>
      <c r="D175" s="47">
        <v>12</v>
      </c>
      <c r="E175" s="47">
        <v>656</v>
      </c>
      <c r="F175" s="47">
        <v>5</v>
      </c>
      <c r="G175" s="47">
        <v>55</v>
      </c>
      <c r="H175" s="47">
        <v>15</v>
      </c>
      <c r="I175" s="47">
        <v>508</v>
      </c>
      <c r="J175" s="47">
        <v>1</v>
      </c>
      <c r="K175" s="47">
        <v>15</v>
      </c>
      <c r="L175" s="47">
        <v>114</v>
      </c>
      <c r="M175" s="47">
        <v>13</v>
      </c>
      <c r="N175" s="47">
        <v>127</v>
      </c>
      <c r="O175" s="47">
        <v>27</v>
      </c>
      <c r="P175" s="47">
        <v>1164</v>
      </c>
      <c r="Q175" s="44" t="s">
        <v>1643</v>
      </c>
      <c r="R175" s="47">
        <v>5</v>
      </c>
      <c r="S175" s="47">
        <v>49</v>
      </c>
      <c r="T175" s="47">
        <v>6</v>
      </c>
      <c r="U175" s="47">
        <v>70</v>
      </c>
      <c r="V175" s="47">
        <v>76</v>
      </c>
      <c r="W175" s="47">
        <v>643</v>
      </c>
      <c r="X175" s="47">
        <v>7</v>
      </c>
      <c r="Y175" s="47">
        <v>382</v>
      </c>
      <c r="Z175" s="47">
        <v>116</v>
      </c>
      <c r="AA175" s="47">
        <v>2259</v>
      </c>
      <c r="AB175" s="76">
        <f t="shared" si="4"/>
        <v>19.474137931034484</v>
      </c>
      <c r="AC175" s="76">
        <f t="shared" si="5"/>
        <v>0.23839172646686366</v>
      </c>
      <c r="AD175" s="47">
        <v>9476</v>
      </c>
    </row>
    <row r="176" spans="1:30" ht="15.75" thickBot="1" x14ac:dyDescent="0.3">
      <c r="A176" s="44" t="s">
        <v>1087</v>
      </c>
      <c r="B176" s="48" t="s">
        <v>1088</v>
      </c>
      <c r="C176" s="44" t="s">
        <v>808</v>
      </c>
      <c r="D176" s="47">
        <v>118</v>
      </c>
      <c r="E176" s="47">
        <v>3436</v>
      </c>
      <c r="F176" s="47">
        <v>22</v>
      </c>
      <c r="G176" s="47">
        <v>252</v>
      </c>
      <c r="H176" s="47">
        <v>34</v>
      </c>
      <c r="I176" s="47">
        <v>1878</v>
      </c>
      <c r="J176" s="47">
        <v>13</v>
      </c>
      <c r="K176" s="47">
        <v>287</v>
      </c>
      <c r="L176" s="47">
        <v>434</v>
      </c>
      <c r="M176" s="47">
        <v>166</v>
      </c>
      <c r="N176" s="47">
        <v>600</v>
      </c>
      <c r="O176" s="47">
        <v>152</v>
      </c>
      <c r="P176" s="47">
        <v>5314</v>
      </c>
      <c r="Q176" s="44" t="s">
        <v>1643</v>
      </c>
      <c r="R176" s="47">
        <v>130</v>
      </c>
      <c r="S176" s="47">
        <v>4014</v>
      </c>
      <c r="T176" s="47">
        <v>35</v>
      </c>
      <c r="U176" s="47">
        <v>539</v>
      </c>
      <c r="V176" s="47">
        <v>110</v>
      </c>
      <c r="W176" s="47">
        <v>1086</v>
      </c>
      <c r="X176" s="47">
        <v>0</v>
      </c>
      <c r="Y176" s="47">
        <v>0</v>
      </c>
      <c r="Z176" s="47">
        <v>297</v>
      </c>
      <c r="AA176" s="47">
        <v>6939</v>
      </c>
      <c r="AB176" s="76">
        <f t="shared" si="4"/>
        <v>23.363636363636363</v>
      </c>
      <c r="AC176" s="76">
        <f t="shared" si="5"/>
        <v>0.63179459164162799</v>
      </c>
      <c r="AD176" s="47">
        <v>10983</v>
      </c>
    </row>
    <row r="177" spans="1:30" ht="15.75" thickBot="1" x14ac:dyDescent="0.3">
      <c r="A177" s="44" t="s">
        <v>1095</v>
      </c>
      <c r="B177" s="48" t="s">
        <v>1096</v>
      </c>
      <c r="C177" s="44" t="s">
        <v>808</v>
      </c>
      <c r="D177" s="47">
        <v>11</v>
      </c>
      <c r="E177" s="47">
        <v>536</v>
      </c>
      <c r="F177" s="47">
        <v>0</v>
      </c>
      <c r="G177" s="47">
        <v>0</v>
      </c>
      <c r="H177" s="47">
        <v>2</v>
      </c>
      <c r="I177" s="47">
        <v>82</v>
      </c>
      <c r="J177" s="47">
        <v>0</v>
      </c>
      <c r="K177" s="47">
        <v>0</v>
      </c>
      <c r="L177" s="47">
        <v>232</v>
      </c>
      <c r="M177" s="47">
        <v>81</v>
      </c>
      <c r="N177" s="47">
        <v>313</v>
      </c>
      <c r="O177" s="47">
        <v>13</v>
      </c>
      <c r="P177" s="47">
        <v>618</v>
      </c>
      <c r="Q177" s="44" t="s">
        <v>1643</v>
      </c>
      <c r="R177" s="47">
        <v>3</v>
      </c>
      <c r="S177" s="47">
        <v>36</v>
      </c>
      <c r="T177" s="47">
        <v>0</v>
      </c>
      <c r="U177" s="47">
        <v>0</v>
      </c>
      <c r="V177" s="47">
        <v>7</v>
      </c>
      <c r="W177" s="47">
        <v>226</v>
      </c>
      <c r="X177" s="47">
        <v>0</v>
      </c>
      <c r="Y177" s="47">
        <v>0</v>
      </c>
      <c r="Z177" s="47">
        <v>20</v>
      </c>
      <c r="AA177" s="47">
        <v>844</v>
      </c>
      <c r="AB177" s="76">
        <f t="shared" si="4"/>
        <v>42.2</v>
      </c>
      <c r="AC177" s="76">
        <f t="shared" si="5"/>
        <v>7.5095649079099561E-2</v>
      </c>
      <c r="AD177" s="47">
        <v>11239</v>
      </c>
    </row>
    <row r="178" spans="1:30" ht="15.75" thickBot="1" x14ac:dyDescent="0.3">
      <c r="A178" s="44" t="s">
        <v>1109</v>
      </c>
      <c r="B178" s="48" t="s">
        <v>1110</v>
      </c>
      <c r="C178" s="44" t="s">
        <v>808</v>
      </c>
      <c r="D178" s="47">
        <v>155</v>
      </c>
      <c r="E178" s="47">
        <v>3751</v>
      </c>
      <c r="F178" s="47">
        <v>20</v>
      </c>
      <c r="G178" s="47">
        <v>484</v>
      </c>
      <c r="H178" s="47">
        <v>26</v>
      </c>
      <c r="I178" s="47">
        <v>1961</v>
      </c>
      <c r="J178" s="47">
        <v>4</v>
      </c>
      <c r="K178" s="47">
        <v>75</v>
      </c>
      <c r="L178" s="47">
        <v>308</v>
      </c>
      <c r="M178" s="47">
        <v>112</v>
      </c>
      <c r="N178" s="47">
        <v>420</v>
      </c>
      <c r="O178" s="47">
        <v>181</v>
      </c>
      <c r="P178" s="47">
        <v>5712</v>
      </c>
      <c r="Q178" s="44" t="s">
        <v>1643</v>
      </c>
      <c r="R178" s="47">
        <v>47</v>
      </c>
      <c r="S178" s="47">
        <v>981</v>
      </c>
      <c r="T178" s="47">
        <v>24</v>
      </c>
      <c r="U178" s="47">
        <v>559</v>
      </c>
      <c r="V178" s="47">
        <v>47</v>
      </c>
      <c r="W178" s="47">
        <v>559</v>
      </c>
      <c r="X178" s="44">
        <v>0</v>
      </c>
      <c r="Y178" s="44">
        <v>0</v>
      </c>
      <c r="Z178" s="47">
        <v>252</v>
      </c>
      <c r="AA178" s="47">
        <v>6830</v>
      </c>
      <c r="AB178" s="76">
        <f t="shared" si="4"/>
        <v>27.103174603174605</v>
      </c>
      <c r="AC178" s="76">
        <f t="shared" si="5"/>
        <v>0.76957746478873235</v>
      </c>
      <c r="AD178" s="47">
        <v>8875</v>
      </c>
    </row>
    <row r="179" spans="1:30" ht="15.75" thickBot="1" x14ac:dyDescent="0.3">
      <c r="A179" s="44" t="s">
        <v>1127</v>
      </c>
      <c r="B179" s="48" t="s">
        <v>1128</v>
      </c>
      <c r="C179" s="44" t="s">
        <v>808</v>
      </c>
      <c r="D179" s="47">
        <v>93</v>
      </c>
      <c r="E179" s="47">
        <v>1660</v>
      </c>
      <c r="F179" s="47">
        <v>19</v>
      </c>
      <c r="G179" s="47">
        <v>486</v>
      </c>
      <c r="H179" s="47">
        <v>34</v>
      </c>
      <c r="I179" s="47">
        <v>922</v>
      </c>
      <c r="J179" s="47">
        <v>3</v>
      </c>
      <c r="K179" s="47">
        <v>107</v>
      </c>
      <c r="L179" s="47">
        <v>185</v>
      </c>
      <c r="M179" s="47">
        <v>51</v>
      </c>
      <c r="N179" s="47">
        <v>236</v>
      </c>
      <c r="O179" s="47">
        <v>127</v>
      </c>
      <c r="P179" s="47">
        <v>2582</v>
      </c>
      <c r="Q179" s="44" t="s">
        <v>1643</v>
      </c>
      <c r="R179" s="47">
        <v>63</v>
      </c>
      <c r="S179" s="47">
        <v>1189</v>
      </c>
      <c r="T179" s="47">
        <v>22</v>
      </c>
      <c r="U179" s="47">
        <v>593</v>
      </c>
      <c r="V179" s="47">
        <v>65</v>
      </c>
      <c r="W179" s="47">
        <v>720</v>
      </c>
      <c r="X179" s="47">
        <v>11</v>
      </c>
      <c r="Y179" s="47">
        <v>399</v>
      </c>
      <c r="Z179" s="47">
        <v>225</v>
      </c>
      <c r="AA179" s="47">
        <v>4294</v>
      </c>
      <c r="AB179" s="76">
        <f t="shared" si="4"/>
        <v>19.084444444444443</v>
      </c>
      <c r="AC179" s="76">
        <f t="shared" si="5"/>
        <v>0.52797245788761837</v>
      </c>
      <c r="AD179" s="47">
        <v>8133</v>
      </c>
    </row>
    <row r="180" spans="1:30" ht="15.75" thickBot="1" x14ac:dyDescent="0.3">
      <c r="A180" s="44" t="s">
        <v>1135</v>
      </c>
      <c r="B180" s="48" t="s">
        <v>1136</v>
      </c>
      <c r="C180" s="44" t="s">
        <v>808</v>
      </c>
      <c r="D180" s="47">
        <v>174</v>
      </c>
      <c r="E180" s="47">
        <v>5400</v>
      </c>
      <c r="F180" s="47">
        <v>17</v>
      </c>
      <c r="G180" s="47">
        <v>174</v>
      </c>
      <c r="H180" s="47">
        <v>12</v>
      </c>
      <c r="I180" s="47">
        <v>756</v>
      </c>
      <c r="J180" s="47">
        <v>6</v>
      </c>
      <c r="K180" s="47">
        <v>89</v>
      </c>
      <c r="L180" s="47">
        <v>399</v>
      </c>
      <c r="M180" s="47">
        <v>74</v>
      </c>
      <c r="N180" s="47">
        <v>473</v>
      </c>
      <c r="O180" s="47">
        <v>186</v>
      </c>
      <c r="P180" s="47">
        <v>6156</v>
      </c>
      <c r="Q180" s="44" t="s">
        <v>1643</v>
      </c>
      <c r="R180" s="47">
        <v>131</v>
      </c>
      <c r="S180" s="47">
        <v>4502</v>
      </c>
      <c r="T180" s="47">
        <v>23</v>
      </c>
      <c r="U180" s="47">
        <v>263</v>
      </c>
      <c r="V180" s="47">
        <v>34</v>
      </c>
      <c r="W180" s="47">
        <v>225</v>
      </c>
      <c r="X180" s="47">
        <v>30</v>
      </c>
      <c r="Y180" s="47">
        <v>1503</v>
      </c>
      <c r="Z180" s="47">
        <v>273</v>
      </c>
      <c r="AA180" s="47">
        <v>8147</v>
      </c>
      <c r="AB180" s="76">
        <f t="shared" si="4"/>
        <v>29.842490842490843</v>
      </c>
      <c r="AC180" s="76">
        <f t="shared" si="5"/>
        <v>1.1418360196215838</v>
      </c>
      <c r="AD180" s="47">
        <v>7135</v>
      </c>
    </row>
    <row r="181" spans="1:30" ht="15.75" thickBot="1" x14ac:dyDescent="0.3">
      <c r="A181" s="44" t="s">
        <v>1143</v>
      </c>
      <c r="B181" s="48" t="s">
        <v>1144</v>
      </c>
      <c r="C181" s="44" t="s">
        <v>808</v>
      </c>
      <c r="D181" s="47">
        <v>84</v>
      </c>
      <c r="E181" s="47">
        <v>671</v>
      </c>
      <c r="F181" s="47">
        <v>41</v>
      </c>
      <c r="G181" s="47">
        <v>560</v>
      </c>
      <c r="H181" s="47">
        <v>19</v>
      </c>
      <c r="I181" s="47">
        <v>671</v>
      </c>
      <c r="J181" s="47">
        <v>8</v>
      </c>
      <c r="K181" s="47">
        <v>36</v>
      </c>
      <c r="L181" s="47">
        <v>302</v>
      </c>
      <c r="M181" s="47">
        <v>58</v>
      </c>
      <c r="N181" s="47">
        <v>360</v>
      </c>
      <c r="O181" s="47">
        <v>103</v>
      </c>
      <c r="P181" s="47">
        <v>1342</v>
      </c>
      <c r="Q181" s="44" t="s">
        <v>1643</v>
      </c>
      <c r="R181" s="47">
        <v>36</v>
      </c>
      <c r="S181" s="47">
        <v>550</v>
      </c>
      <c r="T181" s="47">
        <v>49</v>
      </c>
      <c r="U181" s="47">
        <v>596</v>
      </c>
      <c r="V181" s="47">
        <v>26</v>
      </c>
      <c r="W181" s="47">
        <v>178</v>
      </c>
      <c r="X181" s="47">
        <v>0</v>
      </c>
      <c r="Y181" s="47">
        <v>0</v>
      </c>
      <c r="Z181" s="47">
        <v>178</v>
      </c>
      <c r="AA181" s="47">
        <v>2116</v>
      </c>
      <c r="AB181" s="76">
        <f t="shared" si="4"/>
        <v>11.887640449438202</v>
      </c>
      <c r="AC181" s="76">
        <f t="shared" si="5"/>
        <v>0.17826453243470936</v>
      </c>
      <c r="AD181" s="47">
        <v>11870</v>
      </c>
    </row>
    <row r="182" spans="1:30" ht="15.75" thickBot="1" x14ac:dyDescent="0.3">
      <c r="A182" s="44" t="s">
        <v>1163</v>
      </c>
      <c r="B182" s="48" t="s">
        <v>1164</v>
      </c>
      <c r="C182" s="44" t="s">
        <v>808</v>
      </c>
      <c r="D182" s="47">
        <v>40</v>
      </c>
      <c r="E182" s="47">
        <v>850</v>
      </c>
      <c r="F182" s="47">
        <v>5</v>
      </c>
      <c r="G182" s="47">
        <v>31</v>
      </c>
      <c r="H182" s="47">
        <v>9</v>
      </c>
      <c r="I182" s="47">
        <v>375</v>
      </c>
      <c r="J182" s="47">
        <v>5</v>
      </c>
      <c r="K182" s="47">
        <v>5</v>
      </c>
      <c r="L182" s="47">
        <v>276</v>
      </c>
      <c r="M182" s="47">
        <v>26</v>
      </c>
      <c r="N182" s="47">
        <v>302</v>
      </c>
      <c r="O182" s="47">
        <v>49</v>
      </c>
      <c r="P182" s="47">
        <v>1225</v>
      </c>
      <c r="Q182" s="44" t="s">
        <v>1643</v>
      </c>
      <c r="R182" s="47">
        <v>42</v>
      </c>
      <c r="S182" s="47">
        <v>900</v>
      </c>
      <c r="T182" s="47">
        <v>10</v>
      </c>
      <c r="U182" s="47">
        <v>36</v>
      </c>
      <c r="V182" s="47">
        <v>79</v>
      </c>
      <c r="W182" s="47">
        <v>950</v>
      </c>
      <c r="X182" s="47">
        <v>15</v>
      </c>
      <c r="Y182" s="47">
        <v>300</v>
      </c>
      <c r="Z182" s="47">
        <v>153</v>
      </c>
      <c r="AA182" s="47">
        <v>2511</v>
      </c>
      <c r="AB182" s="76">
        <f t="shared" si="4"/>
        <v>16.411764705882351</v>
      </c>
      <c r="AC182" s="76">
        <f t="shared" si="5"/>
        <v>0.28651300775901417</v>
      </c>
      <c r="AD182" s="47">
        <v>8764</v>
      </c>
    </row>
    <row r="183" spans="1:30" ht="15.75" thickBot="1" x14ac:dyDescent="0.3">
      <c r="A183" s="44" t="s">
        <v>1193</v>
      </c>
      <c r="B183" s="48" t="s">
        <v>1194</v>
      </c>
      <c r="C183" s="44" t="s">
        <v>808</v>
      </c>
      <c r="D183" s="47">
        <v>48</v>
      </c>
      <c r="E183" s="47">
        <v>384</v>
      </c>
      <c r="F183" s="47">
        <v>0</v>
      </c>
      <c r="G183" s="47">
        <v>0</v>
      </c>
      <c r="H183" s="47">
        <v>1</v>
      </c>
      <c r="I183" s="47">
        <v>38</v>
      </c>
      <c r="J183" s="47">
        <v>0</v>
      </c>
      <c r="K183" s="47">
        <v>0</v>
      </c>
      <c r="L183" s="47">
        <v>84</v>
      </c>
      <c r="M183" s="44">
        <v>0</v>
      </c>
      <c r="N183" s="47">
        <v>84</v>
      </c>
      <c r="O183" s="47">
        <v>49</v>
      </c>
      <c r="P183" s="47">
        <v>422</v>
      </c>
      <c r="Q183" s="44" t="s">
        <v>1643</v>
      </c>
      <c r="R183" s="47">
        <v>49</v>
      </c>
      <c r="S183" s="47">
        <v>422</v>
      </c>
      <c r="T183" s="47">
        <v>0</v>
      </c>
      <c r="U183" s="47">
        <v>0</v>
      </c>
      <c r="V183" s="47">
        <v>14</v>
      </c>
      <c r="W183" s="47">
        <v>180</v>
      </c>
      <c r="X183" s="47">
        <v>0</v>
      </c>
      <c r="Y183" s="47">
        <v>0</v>
      </c>
      <c r="Z183" s="47">
        <v>63</v>
      </c>
      <c r="AA183" s="47">
        <v>602</v>
      </c>
      <c r="AB183" s="76">
        <f t="shared" si="4"/>
        <v>9.5555555555555554</v>
      </c>
      <c r="AC183" s="76">
        <f t="shared" si="5"/>
        <v>6.3003663003663002E-2</v>
      </c>
      <c r="AD183" s="47">
        <v>9555</v>
      </c>
    </row>
    <row r="184" spans="1:30" ht="15.75" thickBot="1" x14ac:dyDescent="0.3">
      <c r="A184" s="44" t="s">
        <v>1199</v>
      </c>
      <c r="B184" s="48" t="s">
        <v>1200</v>
      </c>
      <c r="C184" s="44" t="s">
        <v>808</v>
      </c>
      <c r="D184" s="47">
        <v>8</v>
      </c>
      <c r="E184" s="47">
        <v>150</v>
      </c>
      <c r="F184" s="47">
        <v>0</v>
      </c>
      <c r="G184" s="47">
        <v>0</v>
      </c>
      <c r="H184" s="47">
        <v>3</v>
      </c>
      <c r="I184" s="47">
        <v>126</v>
      </c>
      <c r="J184" s="47">
        <v>0</v>
      </c>
      <c r="K184" s="47">
        <v>0</v>
      </c>
      <c r="L184" s="44">
        <v>0</v>
      </c>
      <c r="M184" s="44">
        <v>0</v>
      </c>
      <c r="N184" s="44">
        <v>0</v>
      </c>
      <c r="O184" s="47">
        <v>11</v>
      </c>
      <c r="P184" s="47">
        <v>276</v>
      </c>
      <c r="Q184" s="44" t="s">
        <v>1644</v>
      </c>
      <c r="R184" s="47">
        <v>0</v>
      </c>
      <c r="S184" s="47">
        <v>0</v>
      </c>
      <c r="T184" s="47">
        <v>0</v>
      </c>
      <c r="U184" s="47">
        <v>0</v>
      </c>
      <c r="V184" s="47">
        <v>16</v>
      </c>
      <c r="W184" s="47">
        <v>105</v>
      </c>
      <c r="X184" s="47">
        <v>3</v>
      </c>
      <c r="Y184" s="47">
        <v>136</v>
      </c>
      <c r="Z184" s="47">
        <v>30</v>
      </c>
      <c r="AA184" s="47">
        <v>517</v>
      </c>
      <c r="AB184" s="76">
        <f t="shared" si="4"/>
        <v>17.233333333333334</v>
      </c>
      <c r="AC184" s="76">
        <f t="shared" si="5"/>
        <v>5.4232665477813913E-2</v>
      </c>
      <c r="AD184" s="47">
        <v>9533</v>
      </c>
    </row>
    <row r="185" spans="1:30" ht="15.75" thickBot="1" x14ac:dyDescent="0.3">
      <c r="A185" s="44" t="s">
        <v>1217</v>
      </c>
      <c r="B185" s="48" t="s">
        <v>1218</v>
      </c>
      <c r="C185" s="44" t="s">
        <v>808</v>
      </c>
      <c r="D185" s="47">
        <v>132</v>
      </c>
      <c r="E185" s="47">
        <v>1984</v>
      </c>
      <c r="F185" s="47">
        <v>12</v>
      </c>
      <c r="G185" s="47">
        <v>35</v>
      </c>
      <c r="H185" s="47">
        <v>28</v>
      </c>
      <c r="I185" s="47">
        <v>485</v>
      </c>
      <c r="J185" s="47">
        <v>10</v>
      </c>
      <c r="K185" s="47">
        <v>75</v>
      </c>
      <c r="L185" s="47">
        <v>61</v>
      </c>
      <c r="M185" s="47">
        <v>16</v>
      </c>
      <c r="N185" s="47">
        <v>77</v>
      </c>
      <c r="O185" s="47">
        <v>160</v>
      </c>
      <c r="P185" s="47">
        <v>2469</v>
      </c>
      <c r="Q185" s="44" t="s">
        <v>1643</v>
      </c>
      <c r="R185" s="47">
        <v>52</v>
      </c>
      <c r="S185" s="47">
        <v>680</v>
      </c>
      <c r="T185" s="47">
        <v>22</v>
      </c>
      <c r="U185" s="47">
        <v>110</v>
      </c>
      <c r="V185" s="47">
        <v>79</v>
      </c>
      <c r="W185" s="47">
        <v>409</v>
      </c>
      <c r="X185" s="47">
        <v>10</v>
      </c>
      <c r="Y185" s="47">
        <v>85</v>
      </c>
      <c r="Z185" s="47">
        <v>271</v>
      </c>
      <c r="AA185" s="47">
        <v>3073</v>
      </c>
      <c r="AB185" s="76">
        <f t="shared" si="4"/>
        <v>11.339483394833948</v>
      </c>
      <c r="AC185" s="76">
        <f t="shared" si="5"/>
        <v>0.29350525310410697</v>
      </c>
      <c r="AD185" s="47">
        <v>10470</v>
      </c>
    </row>
    <row r="186" spans="1:30" ht="15.75" thickBot="1" x14ac:dyDescent="0.3">
      <c r="A186" s="44" t="s">
        <v>1229</v>
      </c>
      <c r="B186" s="48" t="s">
        <v>1230</v>
      </c>
      <c r="C186" s="44" t="s">
        <v>808</v>
      </c>
      <c r="D186" s="47">
        <v>53</v>
      </c>
      <c r="E186" s="47">
        <v>743</v>
      </c>
      <c r="F186" s="47">
        <v>0</v>
      </c>
      <c r="G186" s="47">
        <v>0</v>
      </c>
      <c r="H186" s="47">
        <v>7</v>
      </c>
      <c r="I186" s="47">
        <v>400</v>
      </c>
      <c r="J186" s="47">
        <v>0</v>
      </c>
      <c r="K186" s="47">
        <v>0</v>
      </c>
      <c r="L186" s="47">
        <v>119</v>
      </c>
      <c r="M186" s="47">
        <v>0</v>
      </c>
      <c r="N186" s="47">
        <v>119</v>
      </c>
      <c r="O186" s="47">
        <v>60</v>
      </c>
      <c r="P186" s="47">
        <v>1143</v>
      </c>
      <c r="Q186" s="44" t="s">
        <v>1643</v>
      </c>
      <c r="R186" s="47">
        <v>51</v>
      </c>
      <c r="S186" s="47">
        <v>713</v>
      </c>
      <c r="T186" s="47">
        <v>0</v>
      </c>
      <c r="U186" s="47">
        <v>0</v>
      </c>
      <c r="V186" s="47">
        <v>77</v>
      </c>
      <c r="W186" s="47">
        <v>1284</v>
      </c>
      <c r="X186" s="47">
        <v>4</v>
      </c>
      <c r="Y186" s="47">
        <v>750</v>
      </c>
      <c r="Z186" s="47">
        <v>141</v>
      </c>
      <c r="AA186" s="47">
        <v>3177</v>
      </c>
      <c r="AB186" s="76">
        <f t="shared" si="4"/>
        <v>22.531914893617021</v>
      </c>
      <c r="AC186" s="76">
        <f t="shared" si="5"/>
        <v>0.27432864174078231</v>
      </c>
      <c r="AD186" s="47">
        <v>11581</v>
      </c>
    </row>
    <row r="187" spans="1:30" ht="15.75" thickBot="1" x14ac:dyDescent="0.3">
      <c r="A187" s="44" t="s">
        <v>1251</v>
      </c>
      <c r="B187" s="48" t="s">
        <v>1252</v>
      </c>
      <c r="C187" s="44" t="s">
        <v>808</v>
      </c>
      <c r="D187" s="47">
        <v>84</v>
      </c>
      <c r="E187" s="47">
        <v>1162</v>
      </c>
      <c r="F187" s="47">
        <v>6</v>
      </c>
      <c r="G187" s="47">
        <v>22</v>
      </c>
      <c r="H187" s="47">
        <v>8</v>
      </c>
      <c r="I187" s="47">
        <v>97</v>
      </c>
      <c r="J187" s="47">
        <v>6</v>
      </c>
      <c r="K187" s="47">
        <v>7</v>
      </c>
      <c r="L187" s="47">
        <v>135</v>
      </c>
      <c r="M187" s="47">
        <v>15</v>
      </c>
      <c r="N187" s="47">
        <v>150</v>
      </c>
      <c r="O187" s="47">
        <v>92</v>
      </c>
      <c r="P187" s="47">
        <v>1259</v>
      </c>
      <c r="Q187" s="44" t="s">
        <v>1643</v>
      </c>
      <c r="R187" s="47">
        <v>48</v>
      </c>
      <c r="S187" s="47">
        <v>9</v>
      </c>
      <c r="T187" s="47">
        <v>12</v>
      </c>
      <c r="U187" s="47">
        <v>29</v>
      </c>
      <c r="V187" s="47">
        <v>112</v>
      </c>
      <c r="W187" s="47">
        <v>1150</v>
      </c>
      <c r="X187" s="47">
        <v>34</v>
      </c>
      <c r="Y187" s="47">
        <v>534</v>
      </c>
      <c r="Z187" s="47">
        <v>250</v>
      </c>
      <c r="AA187" s="47">
        <v>2972</v>
      </c>
      <c r="AB187" s="76">
        <f t="shared" si="4"/>
        <v>11.888</v>
      </c>
      <c r="AC187" s="76">
        <f t="shared" si="5"/>
        <v>0.40645514223194751</v>
      </c>
      <c r="AD187" s="47">
        <v>7312</v>
      </c>
    </row>
    <row r="188" spans="1:30" ht="15.75" thickBot="1" x14ac:dyDescent="0.3">
      <c r="A188" s="44" t="s">
        <v>1257</v>
      </c>
      <c r="B188" s="48" t="s">
        <v>1258</v>
      </c>
      <c r="C188" s="44" t="s">
        <v>808</v>
      </c>
      <c r="D188" s="47">
        <v>30</v>
      </c>
      <c r="E188" s="47">
        <v>660</v>
      </c>
      <c r="F188" s="47">
        <v>5</v>
      </c>
      <c r="G188" s="47">
        <v>134</v>
      </c>
      <c r="H188" s="47">
        <v>6</v>
      </c>
      <c r="I188" s="47">
        <v>454</v>
      </c>
      <c r="J188" s="47">
        <v>4</v>
      </c>
      <c r="K188" s="47">
        <v>116</v>
      </c>
      <c r="L188" s="47">
        <v>25</v>
      </c>
      <c r="M188" s="47">
        <v>0</v>
      </c>
      <c r="N188" s="47">
        <v>25</v>
      </c>
      <c r="O188" s="47">
        <v>36</v>
      </c>
      <c r="P188" s="47">
        <v>1114</v>
      </c>
      <c r="Q188" s="44" t="s">
        <v>1643</v>
      </c>
      <c r="R188" s="47">
        <v>14</v>
      </c>
      <c r="S188" s="47">
        <v>78</v>
      </c>
      <c r="T188" s="47">
        <v>9</v>
      </c>
      <c r="U188" s="47">
        <v>250</v>
      </c>
      <c r="V188" s="47">
        <v>17</v>
      </c>
      <c r="W188" s="47">
        <v>236</v>
      </c>
      <c r="X188" s="47">
        <v>5</v>
      </c>
      <c r="Y188" s="47">
        <v>105</v>
      </c>
      <c r="Z188" s="47">
        <v>67</v>
      </c>
      <c r="AA188" s="47">
        <v>1705</v>
      </c>
      <c r="AB188" s="76">
        <f t="shared" si="4"/>
        <v>25.447761194029852</v>
      </c>
      <c r="AC188" s="76">
        <f t="shared" si="5"/>
        <v>0.20433844678811122</v>
      </c>
      <c r="AD188" s="47">
        <v>8344</v>
      </c>
    </row>
    <row r="189" spans="1:30" ht="15.75" thickBot="1" x14ac:dyDescent="0.3">
      <c r="A189" s="44" t="s">
        <v>1277</v>
      </c>
      <c r="B189" s="48" t="s">
        <v>1278</v>
      </c>
      <c r="C189" s="44" t="s">
        <v>808</v>
      </c>
      <c r="D189" s="47">
        <v>20</v>
      </c>
      <c r="E189" s="47">
        <v>212</v>
      </c>
      <c r="F189" s="47">
        <v>0</v>
      </c>
      <c r="G189" s="47">
        <v>0</v>
      </c>
      <c r="H189" s="47">
        <v>11</v>
      </c>
      <c r="I189" s="47">
        <v>214</v>
      </c>
      <c r="J189" s="47">
        <v>7</v>
      </c>
      <c r="K189" s="47">
        <v>70</v>
      </c>
      <c r="L189" s="47">
        <v>93</v>
      </c>
      <c r="M189" s="47">
        <v>11</v>
      </c>
      <c r="N189" s="47">
        <v>104</v>
      </c>
      <c r="O189" s="47">
        <v>31</v>
      </c>
      <c r="P189" s="47">
        <v>426</v>
      </c>
      <c r="Q189" s="44" t="s">
        <v>1643</v>
      </c>
      <c r="R189" s="47">
        <v>7</v>
      </c>
      <c r="S189" s="47">
        <v>155</v>
      </c>
      <c r="T189" s="47">
        <v>7</v>
      </c>
      <c r="U189" s="47">
        <v>70</v>
      </c>
      <c r="V189" s="47">
        <v>5</v>
      </c>
      <c r="W189" s="47">
        <v>79</v>
      </c>
      <c r="X189" s="47">
        <v>0</v>
      </c>
      <c r="Y189" s="47">
        <v>0</v>
      </c>
      <c r="Z189" s="47">
        <v>43</v>
      </c>
      <c r="AA189" s="47">
        <v>575</v>
      </c>
      <c r="AB189" s="76">
        <f t="shared" si="4"/>
        <v>13.372093023255815</v>
      </c>
      <c r="AC189" s="76">
        <f t="shared" si="5"/>
        <v>5.3663089127391504E-2</v>
      </c>
      <c r="AD189" s="47">
        <v>10715</v>
      </c>
    </row>
    <row r="190" spans="1:30" ht="15.75" thickBot="1" x14ac:dyDescent="0.3">
      <c r="A190" s="44" t="s">
        <v>1289</v>
      </c>
      <c r="B190" s="48" t="s">
        <v>1290</v>
      </c>
      <c r="C190" s="44" t="s">
        <v>808</v>
      </c>
      <c r="D190" s="47">
        <v>45</v>
      </c>
      <c r="E190" s="47">
        <v>476</v>
      </c>
      <c r="F190" s="47">
        <v>2</v>
      </c>
      <c r="G190" s="47">
        <v>19</v>
      </c>
      <c r="H190" s="47">
        <v>9</v>
      </c>
      <c r="I190" s="47">
        <v>170</v>
      </c>
      <c r="J190" s="47">
        <v>1</v>
      </c>
      <c r="K190" s="47">
        <v>8</v>
      </c>
      <c r="L190" s="47">
        <v>60</v>
      </c>
      <c r="M190" s="44">
        <v>0</v>
      </c>
      <c r="N190" s="47">
        <v>60</v>
      </c>
      <c r="O190" s="47">
        <v>54</v>
      </c>
      <c r="P190" s="47">
        <v>646</v>
      </c>
      <c r="Q190" s="44" t="s">
        <v>1643</v>
      </c>
      <c r="R190" s="47">
        <v>20</v>
      </c>
      <c r="S190" s="47">
        <v>172</v>
      </c>
      <c r="T190" s="47">
        <v>3</v>
      </c>
      <c r="U190" s="47">
        <v>27</v>
      </c>
      <c r="V190" s="47">
        <v>30</v>
      </c>
      <c r="W190" s="47">
        <v>187</v>
      </c>
      <c r="X190" s="47">
        <v>10</v>
      </c>
      <c r="Y190" s="47">
        <v>274</v>
      </c>
      <c r="Z190" s="47">
        <v>97</v>
      </c>
      <c r="AA190" s="47">
        <v>1134</v>
      </c>
      <c r="AB190" s="76">
        <f t="shared" si="4"/>
        <v>11.690721649484535</v>
      </c>
      <c r="AC190" s="76">
        <f t="shared" si="5"/>
        <v>0.15274784482758622</v>
      </c>
      <c r="AD190" s="47">
        <v>7424</v>
      </c>
    </row>
    <row r="191" spans="1:30" ht="15.75" thickBot="1" x14ac:dyDescent="0.3">
      <c r="A191" s="44" t="s">
        <v>1295</v>
      </c>
      <c r="B191" s="48" t="s">
        <v>1296</v>
      </c>
      <c r="C191" s="44" t="s">
        <v>808</v>
      </c>
      <c r="D191" s="47">
        <v>256</v>
      </c>
      <c r="E191" s="47">
        <v>5120</v>
      </c>
      <c r="F191" s="47">
        <v>42</v>
      </c>
      <c r="G191" s="47">
        <v>1050</v>
      </c>
      <c r="H191" s="47">
        <v>8</v>
      </c>
      <c r="I191" s="47">
        <v>298</v>
      </c>
      <c r="J191" s="47">
        <v>6</v>
      </c>
      <c r="K191" s="47">
        <v>43</v>
      </c>
      <c r="L191" s="47">
        <v>188</v>
      </c>
      <c r="M191" s="47">
        <v>21</v>
      </c>
      <c r="N191" s="47">
        <v>209</v>
      </c>
      <c r="O191" s="47">
        <v>264</v>
      </c>
      <c r="P191" s="47">
        <v>5418</v>
      </c>
      <c r="Q191" s="44" t="s">
        <v>1643</v>
      </c>
      <c r="R191" s="47">
        <v>57</v>
      </c>
      <c r="S191" s="47">
        <v>684</v>
      </c>
      <c r="T191" s="47">
        <v>48</v>
      </c>
      <c r="U191" s="47">
        <v>1093</v>
      </c>
      <c r="V191" s="47">
        <v>57</v>
      </c>
      <c r="W191" s="47">
        <v>1140</v>
      </c>
      <c r="X191" s="47">
        <v>17</v>
      </c>
      <c r="Y191" s="47">
        <v>425</v>
      </c>
      <c r="Z191" s="47">
        <v>386</v>
      </c>
      <c r="AA191" s="47">
        <v>8076</v>
      </c>
      <c r="AB191" s="76">
        <f t="shared" si="4"/>
        <v>20.922279792746114</v>
      </c>
      <c r="AC191" s="76">
        <f t="shared" si="5"/>
        <v>0.82703533026113674</v>
      </c>
      <c r="AD191" s="47">
        <v>9765</v>
      </c>
    </row>
    <row r="192" spans="1:30" ht="15.75" thickBot="1" x14ac:dyDescent="0.3">
      <c r="A192" s="44" t="s">
        <v>1305</v>
      </c>
      <c r="B192" s="48" t="s">
        <v>1306</v>
      </c>
      <c r="C192" s="44" t="s">
        <v>808</v>
      </c>
      <c r="D192" s="47">
        <v>26</v>
      </c>
      <c r="E192" s="47">
        <v>253</v>
      </c>
      <c r="F192" s="47">
        <v>4</v>
      </c>
      <c r="G192" s="47">
        <v>62</v>
      </c>
      <c r="H192" s="47">
        <v>7</v>
      </c>
      <c r="I192" s="47">
        <v>571</v>
      </c>
      <c r="J192" s="47">
        <v>0</v>
      </c>
      <c r="K192" s="47">
        <v>0</v>
      </c>
      <c r="L192" s="47">
        <v>124</v>
      </c>
      <c r="M192" s="47">
        <v>2</v>
      </c>
      <c r="N192" s="47">
        <v>126</v>
      </c>
      <c r="O192" s="47">
        <v>33</v>
      </c>
      <c r="P192" s="47">
        <v>824</v>
      </c>
      <c r="Q192" s="44" t="s">
        <v>1643</v>
      </c>
      <c r="R192" s="47">
        <v>33</v>
      </c>
      <c r="S192" s="47">
        <v>454</v>
      </c>
      <c r="T192" s="47">
        <v>4</v>
      </c>
      <c r="U192" s="47">
        <v>62</v>
      </c>
      <c r="V192" s="47">
        <v>52</v>
      </c>
      <c r="W192" s="47">
        <v>475</v>
      </c>
      <c r="X192" s="47">
        <v>10</v>
      </c>
      <c r="Y192" s="47">
        <v>487</v>
      </c>
      <c r="Z192" s="47">
        <v>99</v>
      </c>
      <c r="AA192" s="47">
        <v>1848</v>
      </c>
      <c r="AB192" s="76">
        <f t="shared" si="4"/>
        <v>18.666666666666668</v>
      </c>
      <c r="AC192" s="76">
        <f t="shared" si="5"/>
        <v>0.19203990439571858</v>
      </c>
      <c r="AD192" s="47">
        <v>9623</v>
      </c>
    </row>
    <row r="193" spans="1:30" ht="15.75" thickBot="1" x14ac:dyDescent="0.3">
      <c r="A193" s="44" t="s">
        <v>1309</v>
      </c>
      <c r="B193" s="48" t="s">
        <v>1310</v>
      </c>
      <c r="C193" s="44" t="s">
        <v>808</v>
      </c>
      <c r="D193" s="47">
        <v>60</v>
      </c>
      <c r="E193" s="47">
        <v>441</v>
      </c>
      <c r="F193" s="47">
        <v>2</v>
      </c>
      <c r="G193" s="47">
        <v>126</v>
      </c>
      <c r="H193" s="47">
        <v>11</v>
      </c>
      <c r="I193" s="47">
        <v>157</v>
      </c>
      <c r="J193" s="47">
        <v>3</v>
      </c>
      <c r="K193" s="47">
        <v>37</v>
      </c>
      <c r="L193" s="47">
        <v>107</v>
      </c>
      <c r="M193" s="47">
        <v>3</v>
      </c>
      <c r="N193" s="47">
        <v>110</v>
      </c>
      <c r="O193" s="47">
        <v>71</v>
      </c>
      <c r="P193" s="47">
        <v>598</v>
      </c>
      <c r="Q193" s="44" t="s">
        <v>1643</v>
      </c>
      <c r="R193" s="47">
        <v>6</v>
      </c>
      <c r="S193" s="47">
        <v>23</v>
      </c>
      <c r="T193" s="47">
        <v>5</v>
      </c>
      <c r="U193" s="47">
        <v>163</v>
      </c>
      <c r="V193" s="47">
        <v>79</v>
      </c>
      <c r="W193" s="47">
        <v>441</v>
      </c>
      <c r="X193" s="47">
        <v>11</v>
      </c>
      <c r="Y193" s="47">
        <v>225</v>
      </c>
      <c r="Z193" s="47">
        <v>166</v>
      </c>
      <c r="AA193" s="47">
        <v>1427</v>
      </c>
      <c r="AB193" s="76">
        <f t="shared" si="4"/>
        <v>8.5963855421686741</v>
      </c>
      <c r="AC193" s="76">
        <f t="shared" si="5"/>
        <v>0.18638975966562174</v>
      </c>
      <c r="AD193" s="47">
        <v>7656</v>
      </c>
    </row>
    <row r="194" spans="1:30" ht="15.75" thickBot="1" x14ac:dyDescent="0.3">
      <c r="A194" s="44" t="s">
        <v>1321</v>
      </c>
      <c r="B194" s="48" t="s">
        <v>1322</v>
      </c>
      <c r="C194" s="44" t="s">
        <v>808</v>
      </c>
      <c r="D194" s="47">
        <v>32</v>
      </c>
      <c r="E194" s="47">
        <v>1444</v>
      </c>
      <c r="F194" s="47">
        <v>10</v>
      </c>
      <c r="G194" s="47">
        <v>33</v>
      </c>
      <c r="H194" s="47">
        <v>26</v>
      </c>
      <c r="I194" s="47">
        <v>625</v>
      </c>
      <c r="J194" s="47">
        <v>17</v>
      </c>
      <c r="K194" s="47">
        <v>148</v>
      </c>
      <c r="L194" s="47">
        <v>260</v>
      </c>
      <c r="M194" s="47">
        <v>27</v>
      </c>
      <c r="N194" s="47">
        <v>287</v>
      </c>
      <c r="O194" s="47">
        <v>58</v>
      </c>
      <c r="P194" s="47">
        <v>2069</v>
      </c>
      <c r="Q194" s="44" t="s">
        <v>1643</v>
      </c>
      <c r="R194" s="47">
        <v>71</v>
      </c>
      <c r="S194" s="47">
        <v>851</v>
      </c>
      <c r="T194" s="47">
        <v>27</v>
      </c>
      <c r="U194" s="47">
        <v>181</v>
      </c>
      <c r="V194" s="47">
        <v>75</v>
      </c>
      <c r="W194" s="47">
        <v>560</v>
      </c>
      <c r="X194" s="47">
        <v>33</v>
      </c>
      <c r="Y194" s="47">
        <v>1265</v>
      </c>
      <c r="Z194" s="47">
        <v>193</v>
      </c>
      <c r="AA194" s="47">
        <v>4075</v>
      </c>
      <c r="AB194" s="76">
        <f t="shared" si="4"/>
        <v>21.1139896373057</v>
      </c>
      <c r="AC194" s="76">
        <f t="shared" si="5"/>
        <v>0.48779028010533876</v>
      </c>
      <c r="AD194" s="47">
        <v>8354</v>
      </c>
    </row>
    <row r="195" spans="1:30" ht="15.75" thickBot="1" x14ac:dyDescent="0.3">
      <c r="A195" s="44" t="s">
        <v>1339</v>
      </c>
      <c r="B195" s="48" t="s">
        <v>1340</v>
      </c>
      <c r="C195" s="44" t="s">
        <v>808</v>
      </c>
      <c r="D195" s="47">
        <v>31</v>
      </c>
      <c r="E195" s="47">
        <v>223</v>
      </c>
      <c r="F195" s="47">
        <v>0</v>
      </c>
      <c r="G195" s="47">
        <v>0</v>
      </c>
      <c r="H195" s="47">
        <v>8</v>
      </c>
      <c r="I195" s="47">
        <v>178</v>
      </c>
      <c r="J195" s="47">
        <v>0</v>
      </c>
      <c r="K195" s="47">
        <v>0</v>
      </c>
      <c r="L195" s="47">
        <v>28</v>
      </c>
      <c r="M195" s="47">
        <v>0</v>
      </c>
      <c r="N195" s="47">
        <v>28</v>
      </c>
      <c r="O195" s="47">
        <v>39</v>
      </c>
      <c r="P195" s="47">
        <v>401</v>
      </c>
      <c r="Q195" s="44" t="s">
        <v>1644</v>
      </c>
      <c r="R195" s="44">
        <v>0</v>
      </c>
      <c r="S195" s="44">
        <v>0</v>
      </c>
      <c r="T195" s="47">
        <v>0</v>
      </c>
      <c r="U195" s="47">
        <v>0</v>
      </c>
      <c r="V195" s="47">
        <v>38</v>
      </c>
      <c r="W195" s="47">
        <v>228</v>
      </c>
      <c r="X195" s="47">
        <v>5</v>
      </c>
      <c r="Y195" s="47">
        <v>60</v>
      </c>
      <c r="Z195" s="47">
        <v>82</v>
      </c>
      <c r="AA195" s="47">
        <v>689</v>
      </c>
      <c r="AB195" s="76">
        <f t="shared" si="4"/>
        <v>8.4024390243902438</v>
      </c>
      <c r="AC195" s="76">
        <f t="shared" si="5"/>
        <v>7.9745370370370369E-2</v>
      </c>
      <c r="AD195" s="47">
        <v>8640</v>
      </c>
    </row>
    <row r="196" spans="1:30" ht="15.75" thickBot="1" x14ac:dyDescent="0.3">
      <c r="A196" s="44" t="s">
        <v>1349</v>
      </c>
      <c r="B196" s="48" t="s">
        <v>1350</v>
      </c>
      <c r="C196" s="44" t="s">
        <v>808</v>
      </c>
      <c r="D196" s="47">
        <v>97</v>
      </c>
      <c r="E196" s="47">
        <v>964</v>
      </c>
      <c r="F196" s="47">
        <v>0</v>
      </c>
      <c r="G196" s="47">
        <v>0</v>
      </c>
      <c r="H196" s="47">
        <v>20</v>
      </c>
      <c r="I196" s="47">
        <v>364</v>
      </c>
      <c r="J196" s="47">
        <v>0</v>
      </c>
      <c r="K196" s="47">
        <v>0</v>
      </c>
      <c r="L196" s="47">
        <v>122</v>
      </c>
      <c r="M196" s="47">
        <v>27</v>
      </c>
      <c r="N196" s="47">
        <v>149</v>
      </c>
      <c r="O196" s="47">
        <v>117</v>
      </c>
      <c r="P196" s="47">
        <v>1328</v>
      </c>
      <c r="Q196" s="44" t="s">
        <v>1644</v>
      </c>
      <c r="R196" s="47">
        <v>0</v>
      </c>
      <c r="S196" s="47">
        <v>0</v>
      </c>
      <c r="T196" s="47">
        <v>0</v>
      </c>
      <c r="U196" s="47">
        <v>0</v>
      </c>
      <c r="V196" s="47">
        <v>112</v>
      </c>
      <c r="W196" s="47">
        <v>2189</v>
      </c>
      <c r="X196" s="47">
        <v>0</v>
      </c>
      <c r="Y196" s="47">
        <v>0</v>
      </c>
      <c r="Z196" s="47">
        <v>229</v>
      </c>
      <c r="AA196" s="47">
        <v>3517</v>
      </c>
      <c r="AB196" s="76">
        <f t="shared" si="4"/>
        <v>15.358078602620088</v>
      </c>
      <c r="AC196" s="76">
        <f t="shared" si="5"/>
        <v>0.35279366034707593</v>
      </c>
      <c r="AD196" s="47">
        <v>9969</v>
      </c>
    </row>
    <row r="197" spans="1:30" ht="15.75" thickBot="1" x14ac:dyDescent="0.3">
      <c r="A197" s="44" t="s">
        <v>1353</v>
      </c>
      <c r="B197" s="48" t="s">
        <v>1354</v>
      </c>
      <c r="C197" s="44" t="s">
        <v>808</v>
      </c>
      <c r="D197" s="47">
        <v>100</v>
      </c>
      <c r="E197" s="47">
        <v>1171</v>
      </c>
      <c r="F197" s="47">
        <v>6</v>
      </c>
      <c r="G197" s="47">
        <v>26</v>
      </c>
      <c r="H197" s="47">
        <v>14</v>
      </c>
      <c r="I197" s="47">
        <v>696</v>
      </c>
      <c r="J197" s="47">
        <v>6</v>
      </c>
      <c r="K197" s="47">
        <v>220</v>
      </c>
      <c r="L197" s="47">
        <v>667</v>
      </c>
      <c r="M197" s="47">
        <v>135</v>
      </c>
      <c r="N197" s="47">
        <v>802</v>
      </c>
      <c r="O197" s="47">
        <v>114</v>
      </c>
      <c r="P197" s="47">
        <v>1867</v>
      </c>
      <c r="Q197" s="44" t="s">
        <v>1643</v>
      </c>
      <c r="R197" s="47">
        <v>89</v>
      </c>
      <c r="S197" s="47">
        <v>1107</v>
      </c>
      <c r="T197" s="47">
        <v>12</v>
      </c>
      <c r="U197" s="47">
        <v>246</v>
      </c>
      <c r="V197" s="47">
        <v>0</v>
      </c>
      <c r="W197" s="47">
        <v>0</v>
      </c>
      <c r="X197" s="47">
        <v>0</v>
      </c>
      <c r="Y197" s="47">
        <v>0</v>
      </c>
      <c r="Z197" s="47">
        <v>126</v>
      </c>
      <c r="AA197" s="47">
        <v>2113</v>
      </c>
      <c r="AB197" s="76">
        <f t="shared" ref="AB197:AB260" si="6">AA197/Z197</f>
        <v>16.769841269841269</v>
      </c>
      <c r="AC197" s="76">
        <f t="shared" ref="AC197:AC260" si="7">AA197/AD197</f>
        <v>0.30039806653397783</v>
      </c>
      <c r="AD197" s="47">
        <v>7034</v>
      </c>
    </row>
    <row r="198" spans="1:30" ht="15.75" thickBot="1" x14ac:dyDescent="0.3">
      <c r="A198" s="44" t="s">
        <v>1361</v>
      </c>
      <c r="B198" s="48" t="s">
        <v>1362</v>
      </c>
      <c r="C198" s="44" t="s">
        <v>808</v>
      </c>
      <c r="D198" s="47">
        <v>121</v>
      </c>
      <c r="E198" s="47">
        <v>2822</v>
      </c>
      <c r="F198" s="47">
        <v>43</v>
      </c>
      <c r="G198" s="47">
        <v>264</v>
      </c>
      <c r="H198" s="47">
        <v>31</v>
      </c>
      <c r="I198" s="47">
        <v>1716</v>
      </c>
      <c r="J198" s="47">
        <v>9</v>
      </c>
      <c r="K198" s="47">
        <v>65</v>
      </c>
      <c r="L198" s="47">
        <v>188</v>
      </c>
      <c r="M198" s="47">
        <v>55</v>
      </c>
      <c r="N198" s="47">
        <v>243</v>
      </c>
      <c r="O198" s="47">
        <v>152</v>
      </c>
      <c r="P198" s="47">
        <v>4538</v>
      </c>
      <c r="Q198" s="44" t="s">
        <v>1643</v>
      </c>
      <c r="R198" s="47">
        <v>48</v>
      </c>
      <c r="S198" s="47">
        <v>1652</v>
      </c>
      <c r="T198" s="47">
        <v>52</v>
      </c>
      <c r="U198" s="47">
        <v>329</v>
      </c>
      <c r="V198" s="47">
        <v>325</v>
      </c>
      <c r="W198" s="47">
        <v>1696</v>
      </c>
      <c r="X198" s="47">
        <v>0</v>
      </c>
      <c r="Y198" s="47">
        <v>0</v>
      </c>
      <c r="Z198" s="47">
        <v>529</v>
      </c>
      <c r="AA198" s="47">
        <v>6563</v>
      </c>
      <c r="AB198" s="76">
        <f t="shared" si="6"/>
        <v>12.406427221172022</v>
      </c>
      <c r="AC198" s="76">
        <f t="shared" si="7"/>
        <v>0.74300917015736445</v>
      </c>
      <c r="AD198" s="47">
        <v>8833</v>
      </c>
    </row>
    <row r="199" spans="1:30" ht="15.75" thickBot="1" x14ac:dyDescent="0.3">
      <c r="A199" s="44" t="s">
        <v>1369</v>
      </c>
      <c r="B199" s="48" t="s">
        <v>1370</v>
      </c>
      <c r="C199" s="44" t="s">
        <v>808</v>
      </c>
      <c r="D199" s="47">
        <v>302</v>
      </c>
      <c r="E199" s="47">
        <v>4807</v>
      </c>
      <c r="F199" s="47">
        <v>42</v>
      </c>
      <c r="G199" s="47">
        <v>407</v>
      </c>
      <c r="H199" s="47">
        <v>63</v>
      </c>
      <c r="I199" s="47">
        <v>1047</v>
      </c>
      <c r="J199" s="47">
        <v>7</v>
      </c>
      <c r="K199" s="47">
        <v>168</v>
      </c>
      <c r="L199" s="47">
        <v>1218</v>
      </c>
      <c r="M199" s="47">
        <v>128</v>
      </c>
      <c r="N199" s="47">
        <v>1346</v>
      </c>
      <c r="O199" s="47">
        <v>365</v>
      </c>
      <c r="P199" s="47">
        <v>5854</v>
      </c>
      <c r="Q199" s="44" t="s">
        <v>1643</v>
      </c>
      <c r="R199" s="47">
        <v>179</v>
      </c>
      <c r="S199" s="47">
        <v>3802</v>
      </c>
      <c r="T199" s="47">
        <v>49</v>
      </c>
      <c r="U199" s="47">
        <v>575</v>
      </c>
      <c r="V199" s="47">
        <v>265</v>
      </c>
      <c r="W199" s="47">
        <v>3490</v>
      </c>
      <c r="X199" s="47">
        <v>226</v>
      </c>
      <c r="Y199" s="47">
        <v>4784</v>
      </c>
      <c r="Z199" s="47">
        <v>905</v>
      </c>
      <c r="AA199" s="47">
        <v>14703</v>
      </c>
      <c r="AB199" s="76">
        <f t="shared" si="6"/>
        <v>16.246408839779004</v>
      </c>
      <c r="AC199" s="76">
        <f t="shared" si="7"/>
        <v>1.2781882987046858</v>
      </c>
      <c r="AD199" s="47">
        <v>11503</v>
      </c>
    </row>
    <row r="200" spans="1:30" ht="15.75" thickBot="1" x14ac:dyDescent="0.3">
      <c r="A200" s="44" t="s">
        <v>1395</v>
      </c>
      <c r="B200" s="48" t="s">
        <v>1396</v>
      </c>
      <c r="C200" s="44" t="s">
        <v>808</v>
      </c>
      <c r="D200" s="47">
        <v>80</v>
      </c>
      <c r="E200" s="47">
        <v>1199</v>
      </c>
      <c r="F200" s="47">
        <v>8</v>
      </c>
      <c r="G200" s="47">
        <v>130</v>
      </c>
      <c r="H200" s="47">
        <v>14</v>
      </c>
      <c r="I200" s="47">
        <v>343</v>
      </c>
      <c r="J200" s="47">
        <v>5</v>
      </c>
      <c r="K200" s="47">
        <v>16</v>
      </c>
      <c r="L200" s="47">
        <v>85</v>
      </c>
      <c r="M200" s="47">
        <v>8</v>
      </c>
      <c r="N200" s="47">
        <v>93</v>
      </c>
      <c r="O200" s="47">
        <v>94</v>
      </c>
      <c r="P200" s="47">
        <v>1542</v>
      </c>
      <c r="Q200" s="44" t="s">
        <v>1643</v>
      </c>
      <c r="R200" s="47">
        <v>23</v>
      </c>
      <c r="S200" s="47">
        <v>810</v>
      </c>
      <c r="T200" s="47">
        <v>13</v>
      </c>
      <c r="U200" s="47">
        <v>146</v>
      </c>
      <c r="V200" s="47">
        <v>71</v>
      </c>
      <c r="W200" s="47">
        <v>719</v>
      </c>
      <c r="X200" s="47">
        <v>91</v>
      </c>
      <c r="Y200" s="47">
        <v>1602</v>
      </c>
      <c r="Z200" s="47">
        <v>269</v>
      </c>
      <c r="AA200" s="47">
        <v>4009</v>
      </c>
      <c r="AB200" s="76">
        <f t="shared" si="6"/>
        <v>14.903345724907064</v>
      </c>
      <c r="AC200" s="76">
        <f t="shared" si="7"/>
        <v>0.45090540996513329</v>
      </c>
      <c r="AD200" s="47">
        <v>8891</v>
      </c>
    </row>
    <row r="201" spans="1:30" ht="15.75" thickBot="1" x14ac:dyDescent="0.3">
      <c r="A201" s="44" t="s">
        <v>1403</v>
      </c>
      <c r="B201" s="48" t="s">
        <v>1404</v>
      </c>
      <c r="C201" s="44" t="s">
        <v>808</v>
      </c>
      <c r="D201" s="47">
        <v>18</v>
      </c>
      <c r="E201" s="47">
        <v>262</v>
      </c>
      <c r="F201" s="47">
        <v>14</v>
      </c>
      <c r="G201" s="47">
        <v>81</v>
      </c>
      <c r="H201" s="47">
        <v>11</v>
      </c>
      <c r="I201" s="47">
        <v>369</v>
      </c>
      <c r="J201" s="47">
        <v>0</v>
      </c>
      <c r="K201" s="47">
        <v>38</v>
      </c>
      <c r="L201" s="47">
        <v>153</v>
      </c>
      <c r="M201" s="47">
        <v>30</v>
      </c>
      <c r="N201" s="47">
        <v>183</v>
      </c>
      <c r="O201" s="47">
        <v>29</v>
      </c>
      <c r="P201" s="47">
        <v>631</v>
      </c>
      <c r="Q201" s="44" t="s">
        <v>1643</v>
      </c>
      <c r="R201" s="47">
        <v>2</v>
      </c>
      <c r="S201" s="47">
        <v>8</v>
      </c>
      <c r="T201" s="47">
        <v>14</v>
      </c>
      <c r="U201" s="47">
        <v>119</v>
      </c>
      <c r="V201" s="47">
        <v>48</v>
      </c>
      <c r="W201" s="47">
        <v>412</v>
      </c>
      <c r="X201" s="47">
        <v>18</v>
      </c>
      <c r="Y201" s="47">
        <v>81</v>
      </c>
      <c r="Z201" s="47">
        <v>109</v>
      </c>
      <c r="AA201" s="47">
        <v>1243</v>
      </c>
      <c r="AB201" s="76">
        <f t="shared" si="6"/>
        <v>11.403669724770642</v>
      </c>
      <c r="AC201" s="76">
        <f t="shared" si="7"/>
        <v>0.14549923914315815</v>
      </c>
      <c r="AD201" s="47">
        <v>8543</v>
      </c>
    </row>
    <row r="202" spans="1:30" ht="15.75" thickBot="1" x14ac:dyDescent="0.3">
      <c r="A202" s="44" t="s">
        <v>1411</v>
      </c>
      <c r="B202" s="48" t="s">
        <v>1412</v>
      </c>
      <c r="C202" s="44" t="s">
        <v>808</v>
      </c>
      <c r="D202" s="47">
        <v>168</v>
      </c>
      <c r="E202" s="47">
        <v>2323</v>
      </c>
      <c r="F202" s="47">
        <v>31</v>
      </c>
      <c r="G202" s="47">
        <v>268</v>
      </c>
      <c r="H202" s="47">
        <v>24</v>
      </c>
      <c r="I202" s="47">
        <v>840</v>
      </c>
      <c r="J202" s="47">
        <v>6</v>
      </c>
      <c r="K202" s="47">
        <v>96</v>
      </c>
      <c r="L202" s="47">
        <v>331</v>
      </c>
      <c r="M202" s="47">
        <v>60</v>
      </c>
      <c r="N202" s="47">
        <v>391</v>
      </c>
      <c r="O202" s="47">
        <v>192</v>
      </c>
      <c r="P202" s="47">
        <v>3163</v>
      </c>
      <c r="Q202" s="44" t="s">
        <v>1644</v>
      </c>
      <c r="R202" s="47">
        <v>0</v>
      </c>
      <c r="S202" s="47">
        <v>0</v>
      </c>
      <c r="T202" s="47">
        <v>37</v>
      </c>
      <c r="U202" s="47">
        <v>364</v>
      </c>
      <c r="V202" s="47">
        <v>56</v>
      </c>
      <c r="W202" s="47">
        <v>1065</v>
      </c>
      <c r="X202" s="47">
        <v>32</v>
      </c>
      <c r="Y202" s="47">
        <v>2550</v>
      </c>
      <c r="Z202" s="47">
        <v>317</v>
      </c>
      <c r="AA202" s="47">
        <v>7142</v>
      </c>
      <c r="AB202" s="76">
        <f t="shared" si="6"/>
        <v>22.529968454258675</v>
      </c>
      <c r="AC202" s="76">
        <f t="shared" si="7"/>
        <v>0.94221635883905008</v>
      </c>
      <c r="AD202" s="47">
        <v>7580</v>
      </c>
    </row>
    <row r="203" spans="1:30" ht="15.75" thickBot="1" x14ac:dyDescent="0.3">
      <c r="A203" s="44" t="s">
        <v>1419</v>
      </c>
      <c r="B203" s="48" t="s">
        <v>1420</v>
      </c>
      <c r="C203" s="44" t="s">
        <v>808</v>
      </c>
      <c r="D203" s="47">
        <v>55</v>
      </c>
      <c r="E203" s="47">
        <v>968</v>
      </c>
      <c r="F203" s="47">
        <v>0</v>
      </c>
      <c r="G203" s="47">
        <v>0</v>
      </c>
      <c r="H203" s="47">
        <v>13</v>
      </c>
      <c r="I203" s="47">
        <v>263</v>
      </c>
      <c r="J203" s="47">
        <v>3</v>
      </c>
      <c r="K203" s="47">
        <v>35</v>
      </c>
      <c r="L203" s="47">
        <v>54</v>
      </c>
      <c r="M203" s="47">
        <v>7</v>
      </c>
      <c r="N203" s="47">
        <v>61</v>
      </c>
      <c r="O203" s="47">
        <v>68</v>
      </c>
      <c r="P203" s="47">
        <v>1231</v>
      </c>
      <c r="Q203" s="44" t="s">
        <v>1643</v>
      </c>
      <c r="R203" s="47">
        <v>15</v>
      </c>
      <c r="S203" s="47">
        <v>130</v>
      </c>
      <c r="T203" s="47">
        <v>3</v>
      </c>
      <c r="U203" s="47">
        <v>35</v>
      </c>
      <c r="V203" s="47">
        <v>16</v>
      </c>
      <c r="W203" s="47">
        <v>63</v>
      </c>
      <c r="X203" s="44">
        <v>0</v>
      </c>
      <c r="Y203" s="44">
        <v>0</v>
      </c>
      <c r="Z203" s="47">
        <v>87</v>
      </c>
      <c r="AA203" s="47">
        <v>1329</v>
      </c>
      <c r="AB203" s="76">
        <f t="shared" si="6"/>
        <v>15.275862068965518</v>
      </c>
      <c r="AC203" s="76">
        <f t="shared" si="7"/>
        <v>0.16816398835885107</v>
      </c>
      <c r="AD203" s="47">
        <v>7903</v>
      </c>
    </row>
    <row r="204" spans="1:30" ht="15.75" thickBot="1" x14ac:dyDescent="0.3">
      <c r="A204" s="44" t="s">
        <v>1435</v>
      </c>
      <c r="B204" s="48" t="s">
        <v>1436</v>
      </c>
      <c r="C204" s="44" t="s">
        <v>808</v>
      </c>
      <c r="D204" s="47">
        <v>116</v>
      </c>
      <c r="E204" s="47">
        <v>3082</v>
      </c>
      <c r="F204" s="47">
        <v>7</v>
      </c>
      <c r="G204" s="47">
        <v>105</v>
      </c>
      <c r="H204" s="47">
        <v>24</v>
      </c>
      <c r="I204" s="47">
        <v>927</v>
      </c>
      <c r="J204" s="47">
        <v>3</v>
      </c>
      <c r="K204" s="47">
        <v>26</v>
      </c>
      <c r="L204" s="47">
        <v>109</v>
      </c>
      <c r="M204" s="47">
        <v>20</v>
      </c>
      <c r="N204" s="47">
        <v>129</v>
      </c>
      <c r="O204" s="47">
        <v>140</v>
      </c>
      <c r="P204" s="47">
        <v>4009</v>
      </c>
      <c r="Q204" s="44" t="s">
        <v>1643</v>
      </c>
      <c r="R204" s="47">
        <v>66</v>
      </c>
      <c r="S204" s="47">
        <v>532</v>
      </c>
      <c r="T204" s="47">
        <v>10</v>
      </c>
      <c r="U204" s="47">
        <v>131</v>
      </c>
      <c r="V204" s="47">
        <v>40</v>
      </c>
      <c r="W204" s="47">
        <v>304</v>
      </c>
      <c r="X204" s="47">
        <v>0</v>
      </c>
      <c r="Y204" s="47">
        <v>0</v>
      </c>
      <c r="Z204" s="47">
        <v>190</v>
      </c>
      <c r="AA204" s="47">
        <v>4444</v>
      </c>
      <c r="AB204" s="76">
        <f t="shared" si="6"/>
        <v>23.389473684210525</v>
      </c>
      <c r="AC204" s="76">
        <f t="shared" si="7"/>
        <v>0.38710801393728222</v>
      </c>
      <c r="AD204" s="47">
        <v>11480</v>
      </c>
    </row>
    <row r="205" spans="1:30" ht="15.75" thickBot="1" x14ac:dyDescent="0.3">
      <c r="A205" s="44" t="s">
        <v>1437</v>
      </c>
      <c r="B205" s="48" t="s">
        <v>1438</v>
      </c>
      <c r="C205" s="44" t="s">
        <v>808</v>
      </c>
      <c r="D205" s="47">
        <v>40</v>
      </c>
      <c r="E205" s="47">
        <v>958</v>
      </c>
      <c r="F205" s="47">
        <v>0</v>
      </c>
      <c r="G205" s="47">
        <v>0</v>
      </c>
      <c r="H205" s="47">
        <v>5</v>
      </c>
      <c r="I205" s="47">
        <v>184</v>
      </c>
      <c r="J205" s="47">
        <v>0</v>
      </c>
      <c r="K205" s="47">
        <v>0</v>
      </c>
      <c r="L205" s="47">
        <v>125</v>
      </c>
      <c r="M205" s="47">
        <v>60</v>
      </c>
      <c r="N205" s="47">
        <v>185</v>
      </c>
      <c r="O205" s="47">
        <v>45</v>
      </c>
      <c r="P205" s="47">
        <v>1142</v>
      </c>
      <c r="Q205" s="44" t="s">
        <v>1643</v>
      </c>
      <c r="R205" s="47">
        <v>15</v>
      </c>
      <c r="S205" s="47">
        <v>145</v>
      </c>
      <c r="T205" s="47">
        <v>0</v>
      </c>
      <c r="U205" s="47">
        <v>0</v>
      </c>
      <c r="V205" s="47">
        <v>53</v>
      </c>
      <c r="W205" s="47">
        <v>454</v>
      </c>
      <c r="X205" s="47">
        <v>0</v>
      </c>
      <c r="Y205" s="47">
        <v>0</v>
      </c>
      <c r="Z205" s="47">
        <v>98</v>
      </c>
      <c r="AA205" s="47">
        <v>1596</v>
      </c>
      <c r="AB205" s="76">
        <f t="shared" si="6"/>
        <v>16.285714285714285</v>
      </c>
      <c r="AC205" s="76">
        <f t="shared" si="7"/>
        <v>0.20466786355475763</v>
      </c>
      <c r="AD205" s="47">
        <v>7798</v>
      </c>
    </row>
    <row r="206" spans="1:30" ht="15.75" thickBot="1" x14ac:dyDescent="0.3">
      <c r="A206" s="44" t="s">
        <v>1445</v>
      </c>
      <c r="B206" s="48" t="s">
        <v>1446</v>
      </c>
      <c r="C206" s="44" t="s">
        <v>808</v>
      </c>
      <c r="D206" s="47">
        <v>58</v>
      </c>
      <c r="E206" s="47">
        <v>1040</v>
      </c>
      <c r="F206" s="47">
        <v>6</v>
      </c>
      <c r="G206" s="47">
        <v>18</v>
      </c>
      <c r="H206" s="47">
        <v>13</v>
      </c>
      <c r="I206" s="47">
        <v>715</v>
      </c>
      <c r="J206" s="47">
        <v>3</v>
      </c>
      <c r="K206" s="47">
        <v>32</v>
      </c>
      <c r="L206" s="47">
        <v>354</v>
      </c>
      <c r="M206" s="47">
        <v>115</v>
      </c>
      <c r="N206" s="47">
        <v>469</v>
      </c>
      <c r="O206" s="47">
        <v>71</v>
      </c>
      <c r="P206" s="47">
        <v>1755</v>
      </c>
      <c r="Q206" s="44" t="s">
        <v>1643</v>
      </c>
      <c r="R206" s="47">
        <v>37</v>
      </c>
      <c r="S206" s="47">
        <v>670</v>
      </c>
      <c r="T206" s="47">
        <v>9</v>
      </c>
      <c r="U206" s="47">
        <v>50</v>
      </c>
      <c r="V206" s="47">
        <v>39</v>
      </c>
      <c r="W206" s="47">
        <v>357</v>
      </c>
      <c r="X206" s="47">
        <v>7</v>
      </c>
      <c r="Y206" s="47">
        <v>611</v>
      </c>
      <c r="Z206" s="47">
        <v>126</v>
      </c>
      <c r="AA206" s="47">
        <v>2773</v>
      </c>
      <c r="AB206" s="76">
        <f t="shared" si="6"/>
        <v>22.00793650793651</v>
      </c>
      <c r="AC206" s="76">
        <f t="shared" si="7"/>
        <v>0.37691994019301345</v>
      </c>
      <c r="AD206" s="47">
        <v>7357</v>
      </c>
    </row>
    <row r="207" spans="1:30" ht="15.75" thickBot="1" x14ac:dyDescent="0.3">
      <c r="A207" s="44" t="s">
        <v>1451</v>
      </c>
      <c r="B207" s="48" t="s">
        <v>1452</v>
      </c>
      <c r="C207" s="44" t="s">
        <v>808</v>
      </c>
      <c r="D207" s="47">
        <v>10</v>
      </c>
      <c r="E207" s="47">
        <v>600</v>
      </c>
      <c r="F207" s="47">
        <v>2</v>
      </c>
      <c r="G207" s="47">
        <v>75</v>
      </c>
      <c r="H207" s="47">
        <v>8</v>
      </c>
      <c r="I207" s="47">
        <v>500</v>
      </c>
      <c r="J207" s="47">
        <v>2</v>
      </c>
      <c r="K207" s="47">
        <v>75</v>
      </c>
      <c r="L207" s="47">
        <v>200</v>
      </c>
      <c r="M207" s="47">
        <v>50</v>
      </c>
      <c r="N207" s="47">
        <v>250</v>
      </c>
      <c r="O207" s="47">
        <v>18</v>
      </c>
      <c r="P207" s="47">
        <v>1100</v>
      </c>
      <c r="Q207" s="44" t="s">
        <v>1643</v>
      </c>
      <c r="R207" s="47">
        <v>10</v>
      </c>
      <c r="S207" s="47">
        <v>250</v>
      </c>
      <c r="T207" s="47">
        <v>4</v>
      </c>
      <c r="U207" s="47">
        <v>150</v>
      </c>
      <c r="V207" s="47">
        <v>12</v>
      </c>
      <c r="W207" s="47">
        <v>400</v>
      </c>
      <c r="X207" s="47">
        <v>0</v>
      </c>
      <c r="Y207" s="47">
        <v>0</v>
      </c>
      <c r="Z207" s="47">
        <v>34</v>
      </c>
      <c r="AA207" s="47">
        <v>1650</v>
      </c>
      <c r="AB207" s="76">
        <f t="shared" si="6"/>
        <v>48.529411764705884</v>
      </c>
      <c r="AC207" s="76">
        <f t="shared" si="7"/>
        <v>0.23229621286780233</v>
      </c>
      <c r="AD207" s="47">
        <v>7103</v>
      </c>
    </row>
    <row r="208" spans="1:30" ht="15.75" thickBot="1" x14ac:dyDescent="0.3">
      <c r="A208" s="44" t="s">
        <v>1455</v>
      </c>
      <c r="B208" s="48" t="s">
        <v>1456</v>
      </c>
      <c r="C208" s="44" t="s">
        <v>808</v>
      </c>
      <c r="D208" s="47">
        <v>55</v>
      </c>
      <c r="E208" s="47">
        <v>1350</v>
      </c>
      <c r="F208" s="47">
        <v>10</v>
      </c>
      <c r="G208" s="47">
        <v>50</v>
      </c>
      <c r="H208" s="47">
        <v>18</v>
      </c>
      <c r="I208" s="47">
        <v>796</v>
      </c>
      <c r="J208" s="47">
        <v>7</v>
      </c>
      <c r="K208" s="47">
        <v>50</v>
      </c>
      <c r="L208" s="47">
        <v>320</v>
      </c>
      <c r="M208" s="47">
        <v>100</v>
      </c>
      <c r="N208" s="47">
        <v>420</v>
      </c>
      <c r="O208" s="47">
        <v>73</v>
      </c>
      <c r="P208" s="47">
        <v>2146</v>
      </c>
      <c r="Q208" s="44" t="s">
        <v>1643</v>
      </c>
      <c r="R208" s="47">
        <v>40</v>
      </c>
      <c r="S208" s="47">
        <v>250</v>
      </c>
      <c r="T208" s="47">
        <v>17</v>
      </c>
      <c r="U208" s="47">
        <v>100</v>
      </c>
      <c r="V208" s="47">
        <v>40</v>
      </c>
      <c r="W208" s="47">
        <v>800</v>
      </c>
      <c r="X208" s="47">
        <v>6</v>
      </c>
      <c r="Y208" s="47">
        <v>250</v>
      </c>
      <c r="Z208" s="47">
        <v>136</v>
      </c>
      <c r="AA208" s="47">
        <v>3296</v>
      </c>
      <c r="AB208" s="76">
        <f t="shared" si="6"/>
        <v>24.235294117647058</v>
      </c>
      <c r="AC208" s="76">
        <f t="shared" si="7"/>
        <v>0.32904063092742336</v>
      </c>
      <c r="AD208" s="47">
        <v>10017</v>
      </c>
    </row>
    <row r="209" spans="1:30" ht="15.75" thickBot="1" x14ac:dyDescent="0.3">
      <c r="A209" s="44" t="s">
        <v>1461</v>
      </c>
      <c r="B209" s="48" t="s">
        <v>1462</v>
      </c>
      <c r="C209" s="44" t="s">
        <v>808</v>
      </c>
      <c r="D209" s="47">
        <v>67</v>
      </c>
      <c r="E209" s="47">
        <v>879</v>
      </c>
      <c r="F209" s="47">
        <v>0</v>
      </c>
      <c r="G209" s="47">
        <v>0</v>
      </c>
      <c r="H209" s="47">
        <v>43</v>
      </c>
      <c r="I209" s="47">
        <v>951</v>
      </c>
      <c r="J209" s="47">
        <v>6</v>
      </c>
      <c r="K209" s="47">
        <v>27</v>
      </c>
      <c r="L209" s="47">
        <v>64</v>
      </c>
      <c r="M209" s="47">
        <v>16</v>
      </c>
      <c r="N209" s="47">
        <v>80</v>
      </c>
      <c r="O209" s="47">
        <v>110</v>
      </c>
      <c r="P209" s="47">
        <v>1830</v>
      </c>
      <c r="Q209" s="44" t="s">
        <v>1643</v>
      </c>
      <c r="R209" s="47">
        <v>46</v>
      </c>
      <c r="S209" s="47">
        <v>649</v>
      </c>
      <c r="T209" s="47">
        <v>6</v>
      </c>
      <c r="U209" s="47">
        <v>27</v>
      </c>
      <c r="V209" s="47">
        <v>15</v>
      </c>
      <c r="W209" s="47">
        <v>228</v>
      </c>
      <c r="X209" s="47">
        <v>10</v>
      </c>
      <c r="Y209" s="47">
        <v>735</v>
      </c>
      <c r="Z209" s="47">
        <v>141</v>
      </c>
      <c r="AA209" s="47">
        <v>2820</v>
      </c>
      <c r="AB209" s="76">
        <f t="shared" si="6"/>
        <v>20</v>
      </c>
      <c r="AC209" s="76">
        <f t="shared" si="7"/>
        <v>0.38778877887788776</v>
      </c>
      <c r="AD209" s="47">
        <v>7272</v>
      </c>
    </row>
    <row r="210" spans="1:30" ht="15.75" thickBot="1" x14ac:dyDescent="0.3">
      <c r="A210" s="44" t="s">
        <v>1467</v>
      </c>
      <c r="B210" s="48" t="s">
        <v>1468</v>
      </c>
      <c r="C210" s="44" t="s">
        <v>808</v>
      </c>
      <c r="D210" s="47">
        <v>25</v>
      </c>
      <c r="E210" s="47">
        <v>301</v>
      </c>
      <c r="F210" s="47">
        <v>1</v>
      </c>
      <c r="G210" s="47">
        <v>10</v>
      </c>
      <c r="H210" s="47">
        <v>7</v>
      </c>
      <c r="I210" s="47">
        <v>323</v>
      </c>
      <c r="J210" s="47">
        <v>3</v>
      </c>
      <c r="K210" s="47">
        <v>18</v>
      </c>
      <c r="L210" s="47">
        <v>108</v>
      </c>
      <c r="M210" s="47">
        <v>28</v>
      </c>
      <c r="N210" s="47">
        <v>136</v>
      </c>
      <c r="O210" s="47">
        <v>32</v>
      </c>
      <c r="P210" s="47">
        <v>624</v>
      </c>
      <c r="Q210" s="44" t="s">
        <v>1643</v>
      </c>
      <c r="R210" s="47">
        <v>23</v>
      </c>
      <c r="S210" s="47">
        <v>253</v>
      </c>
      <c r="T210" s="47">
        <v>4</v>
      </c>
      <c r="U210" s="47">
        <v>28</v>
      </c>
      <c r="V210" s="47">
        <v>3</v>
      </c>
      <c r="W210" s="47">
        <v>54</v>
      </c>
      <c r="X210" s="47">
        <v>0</v>
      </c>
      <c r="Y210" s="47">
        <v>0</v>
      </c>
      <c r="Z210" s="47">
        <v>39</v>
      </c>
      <c r="AA210" s="47">
        <v>706</v>
      </c>
      <c r="AB210" s="76">
        <f t="shared" si="6"/>
        <v>18.102564102564102</v>
      </c>
      <c r="AC210" s="76">
        <f t="shared" si="7"/>
        <v>6.205502329260789E-2</v>
      </c>
      <c r="AD210" s="47">
        <v>11377</v>
      </c>
    </row>
    <row r="211" spans="1:30" ht="15.75" thickBot="1" x14ac:dyDescent="0.3">
      <c r="A211" s="44" t="s">
        <v>1480</v>
      </c>
      <c r="B211" s="48" t="s">
        <v>1481</v>
      </c>
      <c r="C211" s="44" t="s">
        <v>808</v>
      </c>
      <c r="D211" s="47">
        <v>47</v>
      </c>
      <c r="E211" s="47">
        <v>1579</v>
      </c>
      <c r="F211" s="47">
        <v>8</v>
      </c>
      <c r="G211" s="47">
        <v>112</v>
      </c>
      <c r="H211" s="47">
        <v>5</v>
      </c>
      <c r="I211" s="47">
        <v>228</v>
      </c>
      <c r="J211" s="47">
        <v>4</v>
      </c>
      <c r="K211" s="47">
        <v>22</v>
      </c>
      <c r="L211" s="47">
        <v>143</v>
      </c>
      <c r="M211" s="47">
        <v>12</v>
      </c>
      <c r="N211" s="47">
        <v>155</v>
      </c>
      <c r="O211" s="47">
        <v>52</v>
      </c>
      <c r="P211" s="47">
        <v>1807</v>
      </c>
      <c r="Q211" s="44" t="s">
        <v>1643</v>
      </c>
      <c r="R211" s="47">
        <v>29</v>
      </c>
      <c r="S211" s="47">
        <v>823</v>
      </c>
      <c r="T211" s="47">
        <v>12</v>
      </c>
      <c r="U211" s="47">
        <v>134</v>
      </c>
      <c r="V211" s="47">
        <v>9</v>
      </c>
      <c r="W211" s="47">
        <v>66</v>
      </c>
      <c r="X211" s="47">
        <v>24</v>
      </c>
      <c r="Y211" s="47">
        <v>474</v>
      </c>
      <c r="Z211" s="47">
        <v>97</v>
      </c>
      <c r="AA211" s="47">
        <v>2481</v>
      </c>
      <c r="AB211" s="76">
        <f t="shared" si="6"/>
        <v>25.577319587628867</v>
      </c>
      <c r="AC211" s="76">
        <f t="shared" si="7"/>
        <v>0.29585022656808968</v>
      </c>
      <c r="AD211" s="47">
        <v>8386</v>
      </c>
    </row>
    <row r="212" spans="1:30" ht="15.75" thickBot="1" x14ac:dyDescent="0.3">
      <c r="A212" s="44" t="s">
        <v>1486</v>
      </c>
      <c r="B212" s="48" t="s">
        <v>1487</v>
      </c>
      <c r="C212" s="44" t="s">
        <v>808</v>
      </c>
      <c r="D212" s="47">
        <v>55</v>
      </c>
      <c r="E212" s="47">
        <v>1242</v>
      </c>
      <c r="F212" s="47">
        <v>0</v>
      </c>
      <c r="G212" s="47">
        <v>0</v>
      </c>
      <c r="H212" s="47">
        <v>13</v>
      </c>
      <c r="I212" s="47">
        <v>194</v>
      </c>
      <c r="J212" s="47">
        <v>2</v>
      </c>
      <c r="K212" s="47">
        <v>15</v>
      </c>
      <c r="L212" s="47">
        <v>241</v>
      </c>
      <c r="M212" s="47">
        <v>27</v>
      </c>
      <c r="N212" s="47">
        <v>268</v>
      </c>
      <c r="O212" s="47">
        <v>68</v>
      </c>
      <c r="P212" s="47">
        <v>1436</v>
      </c>
      <c r="Q212" s="44" t="s">
        <v>1643</v>
      </c>
      <c r="R212" s="47">
        <v>56</v>
      </c>
      <c r="S212" s="47">
        <v>1184</v>
      </c>
      <c r="T212" s="47">
        <v>2</v>
      </c>
      <c r="U212" s="47">
        <v>15</v>
      </c>
      <c r="V212" s="47">
        <v>5</v>
      </c>
      <c r="W212" s="47">
        <v>305</v>
      </c>
      <c r="X212" s="47">
        <v>0</v>
      </c>
      <c r="Y212" s="47">
        <v>0</v>
      </c>
      <c r="Z212" s="47">
        <v>75</v>
      </c>
      <c r="AA212" s="47">
        <v>1756</v>
      </c>
      <c r="AB212" s="76">
        <f t="shared" si="6"/>
        <v>23.413333333333334</v>
      </c>
      <c r="AC212" s="76">
        <f t="shared" si="7"/>
        <v>0.19275521405049395</v>
      </c>
      <c r="AD212" s="47">
        <v>9110</v>
      </c>
    </row>
    <row r="213" spans="1:30" ht="15.75" thickBot="1" x14ac:dyDescent="0.3">
      <c r="A213" s="44" t="s">
        <v>1488</v>
      </c>
      <c r="B213" s="48" t="s">
        <v>1489</v>
      </c>
      <c r="C213" s="44" t="s">
        <v>808</v>
      </c>
      <c r="D213" s="47">
        <v>71</v>
      </c>
      <c r="E213" s="47">
        <v>3257</v>
      </c>
      <c r="F213" s="47">
        <v>8</v>
      </c>
      <c r="G213" s="47">
        <v>62</v>
      </c>
      <c r="H213" s="47">
        <v>7</v>
      </c>
      <c r="I213" s="47">
        <v>460</v>
      </c>
      <c r="J213" s="47">
        <v>2</v>
      </c>
      <c r="K213" s="47">
        <v>25</v>
      </c>
      <c r="L213" s="47">
        <v>119</v>
      </c>
      <c r="M213" s="47">
        <v>16</v>
      </c>
      <c r="N213" s="47">
        <v>135</v>
      </c>
      <c r="O213" s="47">
        <v>78</v>
      </c>
      <c r="P213" s="47">
        <v>3717</v>
      </c>
      <c r="Q213" s="44" t="s">
        <v>1643</v>
      </c>
      <c r="R213" s="47">
        <v>57</v>
      </c>
      <c r="S213" s="47">
        <v>1665</v>
      </c>
      <c r="T213" s="47">
        <v>10</v>
      </c>
      <c r="U213" s="47">
        <v>87</v>
      </c>
      <c r="V213" s="47">
        <v>17</v>
      </c>
      <c r="W213" s="47">
        <v>670</v>
      </c>
      <c r="X213" s="47">
        <v>2</v>
      </c>
      <c r="Y213" s="47">
        <v>66</v>
      </c>
      <c r="Z213" s="47">
        <v>107</v>
      </c>
      <c r="AA213" s="47">
        <v>4540</v>
      </c>
      <c r="AB213" s="76">
        <f t="shared" si="6"/>
        <v>42.429906542056074</v>
      </c>
      <c r="AC213" s="76">
        <f t="shared" si="7"/>
        <v>0.47071021254536027</v>
      </c>
      <c r="AD213" s="47">
        <v>9645</v>
      </c>
    </row>
    <row r="214" spans="1:30" ht="15.75" thickBot="1" x14ac:dyDescent="0.3">
      <c r="A214" s="44" t="s">
        <v>1504</v>
      </c>
      <c r="B214" s="48" t="s">
        <v>1505</v>
      </c>
      <c r="C214" s="44" t="s">
        <v>808</v>
      </c>
      <c r="D214" s="47">
        <v>24</v>
      </c>
      <c r="E214" s="47">
        <v>1388</v>
      </c>
      <c r="F214" s="47">
        <v>0</v>
      </c>
      <c r="G214" s="47">
        <v>0</v>
      </c>
      <c r="H214" s="47">
        <v>12</v>
      </c>
      <c r="I214" s="47">
        <v>638</v>
      </c>
      <c r="J214" s="47">
        <v>0</v>
      </c>
      <c r="K214" s="47">
        <v>0</v>
      </c>
      <c r="L214" s="47">
        <v>39</v>
      </c>
      <c r="M214" s="47">
        <v>0</v>
      </c>
      <c r="N214" s="47">
        <v>39</v>
      </c>
      <c r="O214" s="47">
        <v>36</v>
      </c>
      <c r="P214" s="47">
        <v>2026</v>
      </c>
      <c r="Q214" s="44" t="s">
        <v>1644</v>
      </c>
      <c r="R214" s="47">
        <v>2</v>
      </c>
      <c r="S214" s="47">
        <v>17</v>
      </c>
      <c r="T214" s="47">
        <v>0</v>
      </c>
      <c r="U214" s="47">
        <v>0</v>
      </c>
      <c r="V214" s="47">
        <v>13</v>
      </c>
      <c r="W214" s="47">
        <v>427</v>
      </c>
      <c r="X214" s="47">
        <v>11</v>
      </c>
      <c r="Y214" s="47">
        <v>2775</v>
      </c>
      <c r="Z214" s="47">
        <v>60</v>
      </c>
      <c r="AA214" s="47">
        <v>5228</v>
      </c>
      <c r="AB214" s="76">
        <f t="shared" si="6"/>
        <v>87.13333333333334</v>
      </c>
      <c r="AC214" s="76">
        <f t="shared" si="7"/>
        <v>0.56209009783894204</v>
      </c>
      <c r="AD214" s="47">
        <v>9301</v>
      </c>
    </row>
    <row r="215" spans="1:30" ht="15.75" thickBot="1" x14ac:dyDescent="0.3">
      <c r="A215" s="44" t="s">
        <v>1508</v>
      </c>
      <c r="B215" s="48" t="s">
        <v>1509</v>
      </c>
      <c r="C215" s="44" t="s">
        <v>808</v>
      </c>
      <c r="D215" s="47">
        <v>64</v>
      </c>
      <c r="E215" s="47">
        <v>690</v>
      </c>
      <c r="F215" s="47">
        <v>28</v>
      </c>
      <c r="G215" s="47">
        <v>323</v>
      </c>
      <c r="H215" s="47">
        <v>17</v>
      </c>
      <c r="I215" s="47">
        <v>130</v>
      </c>
      <c r="J215" s="47">
        <v>10</v>
      </c>
      <c r="K215" s="47">
        <v>76</v>
      </c>
      <c r="L215" s="47">
        <v>35</v>
      </c>
      <c r="M215" s="47">
        <v>40</v>
      </c>
      <c r="N215" s="47">
        <v>75</v>
      </c>
      <c r="O215" s="47">
        <v>81</v>
      </c>
      <c r="P215" s="47">
        <v>820</v>
      </c>
      <c r="Q215" s="44" t="s">
        <v>1643</v>
      </c>
      <c r="R215" s="47">
        <v>58</v>
      </c>
      <c r="S215" s="47">
        <v>616</v>
      </c>
      <c r="T215" s="47">
        <v>38</v>
      </c>
      <c r="U215" s="47">
        <v>399</v>
      </c>
      <c r="V215" s="47">
        <v>11</v>
      </c>
      <c r="W215" s="47">
        <v>116</v>
      </c>
      <c r="X215" s="47">
        <v>6</v>
      </c>
      <c r="Y215" s="47">
        <v>165</v>
      </c>
      <c r="Z215" s="47">
        <v>136</v>
      </c>
      <c r="AA215" s="47">
        <v>1500</v>
      </c>
      <c r="AB215" s="76">
        <f t="shared" si="6"/>
        <v>11.029411764705882</v>
      </c>
      <c r="AC215" s="76">
        <f t="shared" si="7"/>
        <v>0.19105846388995032</v>
      </c>
      <c r="AD215" s="47">
        <v>7851</v>
      </c>
    </row>
    <row r="216" spans="1:30" ht="15.75" thickBot="1" x14ac:dyDescent="0.3">
      <c r="A216" s="44" t="s">
        <v>1510</v>
      </c>
      <c r="B216" s="48" t="s">
        <v>1511</v>
      </c>
      <c r="C216" s="44" t="s">
        <v>808</v>
      </c>
      <c r="D216" s="47">
        <v>135</v>
      </c>
      <c r="E216" s="47">
        <v>1408</v>
      </c>
      <c r="F216" s="47">
        <v>8</v>
      </c>
      <c r="G216" s="47">
        <v>75</v>
      </c>
      <c r="H216" s="47">
        <v>26</v>
      </c>
      <c r="I216" s="47">
        <v>294</v>
      </c>
      <c r="J216" s="47">
        <v>3</v>
      </c>
      <c r="K216" s="47">
        <v>75</v>
      </c>
      <c r="L216" s="47">
        <v>153</v>
      </c>
      <c r="M216" s="47">
        <v>27</v>
      </c>
      <c r="N216" s="47">
        <v>180</v>
      </c>
      <c r="O216" s="47">
        <v>161</v>
      </c>
      <c r="P216" s="47">
        <v>1702</v>
      </c>
      <c r="Q216" s="44" t="s">
        <v>1643</v>
      </c>
      <c r="R216" s="47">
        <v>105</v>
      </c>
      <c r="S216" s="47">
        <v>727</v>
      </c>
      <c r="T216" s="47">
        <v>11</v>
      </c>
      <c r="U216" s="47">
        <v>150</v>
      </c>
      <c r="V216" s="47">
        <v>102</v>
      </c>
      <c r="W216" s="47">
        <v>2667</v>
      </c>
      <c r="X216" s="47">
        <v>10</v>
      </c>
      <c r="Y216" s="47">
        <v>205</v>
      </c>
      <c r="Z216" s="47">
        <v>284</v>
      </c>
      <c r="AA216" s="47">
        <v>4724</v>
      </c>
      <c r="AB216" s="76">
        <f t="shared" si="6"/>
        <v>16.633802816901408</v>
      </c>
      <c r="AC216" s="76">
        <f t="shared" si="7"/>
        <v>0.46087804878048783</v>
      </c>
      <c r="AD216" s="47">
        <v>10250</v>
      </c>
    </row>
    <row r="217" spans="1:30" ht="15.75" thickBot="1" x14ac:dyDescent="0.3">
      <c r="A217" s="44" t="s">
        <v>1520</v>
      </c>
      <c r="B217" s="48" t="s">
        <v>1521</v>
      </c>
      <c r="C217" s="44" t="s">
        <v>808</v>
      </c>
      <c r="D217" s="47">
        <v>125</v>
      </c>
      <c r="E217" s="47">
        <v>2523</v>
      </c>
      <c r="F217" s="47">
        <v>25</v>
      </c>
      <c r="G217" s="47">
        <v>136</v>
      </c>
      <c r="H217" s="47">
        <v>10</v>
      </c>
      <c r="I217" s="47">
        <v>125</v>
      </c>
      <c r="J217" s="47">
        <v>3</v>
      </c>
      <c r="K217" s="47">
        <v>13</v>
      </c>
      <c r="L217" s="47">
        <v>71</v>
      </c>
      <c r="M217" s="47">
        <v>13</v>
      </c>
      <c r="N217" s="47">
        <v>84</v>
      </c>
      <c r="O217" s="47">
        <v>135</v>
      </c>
      <c r="P217" s="47">
        <v>2648</v>
      </c>
      <c r="Q217" s="44" t="s">
        <v>1643</v>
      </c>
      <c r="R217" s="47">
        <v>37</v>
      </c>
      <c r="S217" s="47">
        <v>437</v>
      </c>
      <c r="T217" s="47">
        <v>28</v>
      </c>
      <c r="U217" s="47">
        <v>149</v>
      </c>
      <c r="V217" s="47">
        <v>43</v>
      </c>
      <c r="W217" s="47">
        <v>138</v>
      </c>
      <c r="X217" s="47">
        <v>2</v>
      </c>
      <c r="Y217" s="47">
        <v>249</v>
      </c>
      <c r="Z217" s="47">
        <v>208</v>
      </c>
      <c r="AA217" s="47">
        <v>3184</v>
      </c>
      <c r="AB217" s="76">
        <f t="shared" si="6"/>
        <v>15.307692307692308</v>
      </c>
      <c r="AC217" s="76">
        <f t="shared" si="7"/>
        <v>0.29863065090977303</v>
      </c>
      <c r="AD217" s="47">
        <v>10662</v>
      </c>
    </row>
    <row r="218" spans="1:30" ht="15.75" thickBot="1" x14ac:dyDescent="0.3">
      <c r="A218" s="44" t="s">
        <v>1524</v>
      </c>
      <c r="B218" s="48" t="s">
        <v>1525</v>
      </c>
      <c r="C218" s="44" t="s">
        <v>808</v>
      </c>
      <c r="D218" s="47">
        <v>36</v>
      </c>
      <c r="E218" s="47">
        <v>709</v>
      </c>
      <c r="F218" s="47">
        <v>0</v>
      </c>
      <c r="G218" s="47">
        <v>0</v>
      </c>
      <c r="H218" s="47">
        <v>16</v>
      </c>
      <c r="I218" s="47">
        <v>706</v>
      </c>
      <c r="J218" s="47">
        <v>0</v>
      </c>
      <c r="K218" s="47">
        <v>0</v>
      </c>
      <c r="L218" s="47">
        <v>336</v>
      </c>
      <c r="M218" s="47">
        <v>79</v>
      </c>
      <c r="N218" s="47">
        <v>415</v>
      </c>
      <c r="O218" s="47">
        <v>52</v>
      </c>
      <c r="P218" s="47">
        <v>1415</v>
      </c>
      <c r="Q218" s="44" t="s">
        <v>1643</v>
      </c>
      <c r="R218" s="47">
        <v>41</v>
      </c>
      <c r="S218" s="47">
        <v>820</v>
      </c>
      <c r="T218" s="47">
        <v>0</v>
      </c>
      <c r="U218" s="47">
        <v>0</v>
      </c>
      <c r="V218" s="47">
        <v>22</v>
      </c>
      <c r="W218" s="47">
        <v>184</v>
      </c>
      <c r="X218" s="47">
        <v>0</v>
      </c>
      <c r="Y218" s="47">
        <v>0</v>
      </c>
      <c r="Z218" s="47">
        <v>74</v>
      </c>
      <c r="AA218" s="47">
        <v>1599</v>
      </c>
      <c r="AB218" s="76">
        <f t="shared" si="6"/>
        <v>21.608108108108109</v>
      </c>
      <c r="AC218" s="76">
        <f t="shared" si="7"/>
        <v>0.13341677096370463</v>
      </c>
      <c r="AD218" s="47">
        <v>11985</v>
      </c>
    </row>
    <row r="219" spans="1:30" ht="15.75" thickBot="1" x14ac:dyDescent="0.3">
      <c r="A219" s="44" t="s">
        <v>1526</v>
      </c>
      <c r="B219" s="48" t="s">
        <v>1527</v>
      </c>
      <c r="C219" s="44" t="s">
        <v>808</v>
      </c>
      <c r="D219" s="47">
        <v>79</v>
      </c>
      <c r="E219" s="47">
        <v>2391</v>
      </c>
      <c r="F219" s="47">
        <v>0</v>
      </c>
      <c r="G219" s="47">
        <v>0</v>
      </c>
      <c r="H219" s="47">
        <v>6</v>
      </c>
      <c r="I219" s="47">
        <v>501</v>
      </c>
      <c r="J219" s="44">
        <v>0</v>
      </c>
      <c r="K219" s="44">
        <v>0</v>
      </c>
      <c r="L219" s="47">
        <v>100</v>
      </c>
      <c r="M219" s="44">
        <v>0</v>
      </c>
      <c r="N219" s="47">
        <v>100</v>
      </c>
      <c r="O219" s="47">
        <v>85</v>
      </c>
      <c r="P219" s="47">
        <v>2892</v>
      </c>
      <c r="Q219" s="44" t="s">
        <v>1643</v>
      </c>
      <c r="R219" s="47">
        <v>78</v>
      </c>
      <c r="S219" s="47">
        <v>2324</v>
      </c>
      <c r="T219" s="47">
        <v>0</v>
      </c>
      <c r="U219" s="47">
        <v>0</v>
      </c>
      <c r="V219" s="47">
        <v>17</v>
      </c>
      <c r="W219" s="47">
        <v>71</v>
      </c>
      <c r="X219" s="47">
        <v>0</v>
      </c>
      <c r="Y219" s="47">
        <v>0</v>
      </c>
      <c r="Z219" s="47">
        <v>102</v>
      </c>
      <c r="AA219" s="47">
        <v>2963</v>
      </c>
      <c r="AB219" s="76">
        <f t="shared" si="6"/>
        <v>29.049019607843139</v>
      </c>
      <c r="AC219" s="76">
        <f t="shared" si="7"/>
        <v>0.3636921566220695</v>
      </c>
      <c r="AD219" s="47">
        <v>8147</v>
      </c>
    </row>
    <row r="220" spans="1:30" ht="15.75" thickBot="1" x14ac:dyDescent="0.3">
      <c r="A220" s="44" t="s">
        <v>1534</v>
      </c>
      <c r="B220" s="48" t="s">
        <v>1535</v>
      </c>
      <c r="C220" s="44" t="s">
        <v>808</v>
      </c>
      <c r="D220" s="47">
        <v>90</v>
      </c>
      <c r="E220" s="47">
        <v>1303</v>
      </c>
      <c r="F220" s="47">
        <v>27</v>
      </c>
      <c r="G220" s="47">
        <v>139</v>
      </c>
      <c r="H220" s="47">
        <v>43</v>
      </c>
      <c r="I220" s="47">
        <v>4468</v>
      </c>
      <c r="J220" s="47">
        <v>7</v>
      </c>
      <c r="K220" s="47">
        <v>159</v>
      </c>
      <c r="L220" s="47">
        <v>401</v>
      </c>
      <c r="M220" s="47">
        <v>29</v>
      </c>
      <c r="N220" s="47">
        <v>430</v>
      </c>
      <c r="O220" s="47">
        <v>133</v>
      </c>
      <c r="P220" s="47">
        <v>5771</v>
      </c>
      <c r="Q220" s="44" t="s">
        <v>1643</v>
      </c>
      <c r="R220" s="47">
        <v>72</v>
      </c>
      <c r="S220" s="47">
        <v>645</v>
      </c>
      <c r="T220" s="47">
        <v>34</v>
      </c>
      <c r="U220" s="47">
        <v>298</v>
      </c>
      <c r="V220" s="47">
        <v>49</v>
      </c>
      <c r="W220" s="47">
        <v>791</v>
      </c>
      <c r="X220" s="47">
        <v>6</v>
      </c>
      <c r="Y220" s="47">
        <v>360</v>
      </c>
      <c r="Z220" s="47">
        <v>222</v>
      </c>
      <c r="AA220" s="47">
        <v>7220</v>
      </c>
      <c r="AB220" s="76">
        <f t="shared" si="6"/>
        <v>32.522522522522522</v>
      </c>
      <c r="AC220" s="76">
        <f t="shared" si="7"/>
        <v>0.74325715462219477</v>
      </c>
      <c r="AD220" s="47">
        <v>9714</v>
      </c>
    </row>
    <row r="221" spans="1:30" ht="15.75" thickBot="1" x14ac:dyDescent="0.3">
      <c r="A221" s="44" t="s">
        <v>1562</v>
      </c>
      <c r="B221" s="48" t="s">
        <v>1563</v>
      </c>
      <c r="C221" s="44" t="s">
        <v>808</v>
      </c>
      <c r="D221" s="47">
        <v>10</v>
      </c>
      <c r="E221" s="47">
        <v>140</v>
      </c>
      <c r="F221" s="47">
        <v>5</v>
      </c>
      <c r="G221" s="47">
        <v>32</v>
      </c>
      <c r="H221" s="47">
        <v>5</v>
      </c>
      <c r="I221" s="47">
        <v>140</v>
      </c>
      <c r="J221" s="47">
        <v>5</v>
      </c>
      <c r="K221" s="47">
        <v>70</v>
      </c>
      <c r="L221" s="47">
        <v>32</v>
      </c>
      <c r="M221" s="47">
        <v>14</v>
      </c>
      <c r="N221" s="47">
        <v>46</v>
      </c>
      <c r="O221" s="47">
        <v>15</v>
      </c>
      <c r="P221" s="47">
        <v>280</v>
      </c>
      <c r="Q221" s="44" t="s">
        <v>1643</v>
      </c>
      <c r="R221" s="47">
        <v>5</v>
      </c>
      <c r="S221" s="47">
        <v>100</v>
      </c>
      <c r="T221" s="47">
        <v>10</v>
      </c>
      <c r="U221" s="47">
        <v>102</v>
      </c>
      <c r="V221" s="47">
        <v>12</v>
      </c>
      <c r="W221" s="47">
        <v>252</v>
      </c>
      <c r="X221" s="47">
        <v>1</v>
      </c>
      <c r="Y221" s="47">
        <v>26</v>
      </c>
      <c r="Z221" s="47">
        <v>38</v>
      </c>
      <c r="AA221" s="47">
        <v>660</v>
      </c>
      <c r="AB221" s="76">
        <f t="shared" si="6"/>
        <v>17.368421052631579</v>
      </c>
      <c r="AC221" s="76">
        <f t="shared" si="7"/>
        <v>6.9371452596174055E-2</v>
      </c>
      <c r="AD221" s="47">
        <v>9514</v>
      </c>
    </row>
    <row r="222" spans="1:30" ht="15.75" thickBot="1" x14ac:dyDescent="0.3">
      <c r="A222" s="44" t="s">
        <v>1576</v>
      </c>
      <c r="B222" s="48" t="s">
        <v>1577</v>
      </c>
      <c r="C222" s="44" t="s">
        <v>808</v>
      </c>
      <c r="D222" s="47">
        <v>42</v>
      </c>
      <c r="E222" s="47">
        <v>882</v>
      </c>
      <c r="F222" s="47">
        <v>22</v>
      </c>
      <c r="G222" s="47">
        <v>330</v>
      </c>
      <c r="H222" s="47">
        <v>10</v>
      </c>
      <c r="I222" s="47">
        <v>547</v>
      </c>
      <c r="J222" s="47">
        <v>1</v>
      </c>
      <c r="K222" s="47">
        <v>11</v>
      </c>
      <c r="L222" s="47">
        <v>182</v>
      </c>
      <c r="M222" s="47">
        <v>34</v>
      </c>
      <c r="N222" s="47">
        <v>216</v>
      </c>
      <c r="O222" s="47">
        <v>52</v>
      </c>
      <c r="P222" s="47">
        <v>1429</v>
      </c>
      <c r="Q222" s="44" t="s">
        <v>1643</v>
      </c>
      <c r="R222" s="47">
        <v>38</v>
      </c>
      <c r="S222" s="47">
        <v>532</v>
      </c>
      <c r="T222" s="47">
        <v>23</v>
      </c>
      <c r="U222" s="47">
        <v>341</v>
      </c>
      <c r="V222" s="47">
        <v>83</v>
      </c>
      <c r="W222" s="47">
        <v>1826</v>
      </c>
      <c r="X222" s="47">
        <v>17</v>
      </c>
      <c r="Y222" s="47">
        <v>561</v>
      </c>
      <c r="Z222" s="47">
        <v>175</v>
      </c>
      <c r="AA222" s="47">
        <v>4157</v>
      </c>
      <c r="AB222" s="76">
        <f t="shared" si="6"/>
        <v>23.754285714285714</v>
      </c>
      <c r="AC222" s="76">
        <f t="shared" si="7"/>
        <v>0.45491354782228061</v>
      </c>
      <c r="AD222" s="47">
        <v>9138</v>
      </c>
    </row>
    <row r="223" spans="1:30" ht="15.75" thickBot="1" x14ac:dyDescent="0.3">
      <c r="A223" s="44" t="s">
        <v>1578</v>
      </c>
      <c r="B223" s="48" t="s">
        <v>1579</v>
      </c>
      <c r="C223" s="44" t="s">
        <v>808</v>
      </c>
      <c r="D223" s="47">
        <v>152</v>
      </c>
      <c r="E223" s="47">
        <v>4266</v>
      </c>
      <c r="F223" s="47">
        <v>5</v>
      </c>
      <c r="G223" s="47">
        <v>70</v>
      </c>
      <c r="H223" s="47">
        <v>7</v>
      </c>
      <c r="I223" s="47">
        <v>595</v>
      </c>
      <c r="J223" s="47">
        <v>0</v>
      </c>
      <c r="K223" s="47">
        <v>0</v>
      </c>
      <c r="L223" s="47">
        <v>112</v>
      </c>
      <c r="M223" s="47">
        <v>0</v>
      </c>
      <c r="N223" s="47">
        <v>112</v>
      </c>
      <c r="O223" s="47">
        <v>159</v>
      </c>
      <c r="P223" s="47">
        <v>4861</v>
      </c>
      <c r="Q223" s="44" t="s">
        <v>1643</v>
      </c>
      <c r="R223" s="47">
        <v>88</v>
      </c>
      <c r="S223" s="47">
        <v>2553</v>
      </c>
      <c r="T223" s="47">
        <v>5</v>
      </c>
      <c r="U223" s="47">
        <v>70</v>
      </c>
      <c r="V223" s="47">
        <v>83</v>
      </c>
      <c r="W223" s="47">
        <v>421</v>
      </c>
      <c r="X223" s="47">
        <v>59</v>
      </c>
      <c r="Y223" s="47">
        <v>2610</v>
      </c>
      <c r="Z223" s="47">
        <v>306</v>
      </c>
      <c r="AA223" s="47">
        <v>7962</v>
      </c>
      <c r="AB223" s="76">
        <f t="shared" si="6"/>
        <v>26.019607843137255</v>
      </c>
      <c r="AC223" s="76">
        <f t="shared" si="7"/>
        <v>1.0803256445047489</v>
      </c>
      <c r="AD223" s="47">
        <v>7370</v>
      </c>
    </row>
    <row r="224" spans="1:30" ht="15.75" thickBot="1" x14ac:dyDescent="0.3">
      <c r="A224" s="44" t="s">
        <v>1582</v>
      </c>
      <c r="B224" s="48" t="s">
        <v>1583</v>
      </c>
      <c r="C224" s="44" t="s">
        <v>808</v>
      </c>
      <c r="D224" s="47">
        <v>77</v>
      </c>
      <c r="E224" s="47">
        <v>297</v>
      </c>
      <c r="F224" s="47">
        <v>22</v>
      </c>
      <c r="G224" s="47">
        <v>307</v>
      </c>
      <c r="H224" s="47">
        <v>22</v>
      </c>
      <c r="I224" s="47">
        <v>734</v>
      </c>
      <c r="J224" s="47">
        <v>9</v>
      </c>
      <c r="K224" s="47">
        <v>133</v>
      </c>
      <c r="L224" s="47">
        <v>115</v>
      </c>
      <c r="M224" s="47">
        <v>50</v>
      </c>
      <c r="N224" s="47">
        <v>165</v>
      </c>
      <c r="O224" s="47">
        <v>99</v>
      </c>
      <c r="P224" s="47">
        <v>1031</v>
      </c>
      <c r="Q224" s="44" t="s">
        <v>1643</v>
      </c>
      <c r="R224" s="47">
        <v>12</v>
      </c>
      <c r="S224" s="47">
        <v>31</v>
      </c>
      <c r="T224" s="47">
        <v>31</v>
      </c>
      <c r="U224" s="47">
        <v>440</v>
      </c>
      <c r="V224" s="47">
        <v>25</v>
      </c>
      <c r="W224" s="47">
        <v>621</v>
      </c>
      <c r="X224" s="47">
        <v>1</v>
      </c>
      <c r="Y224" s="47">
        <v>10</v>
      </c>
      <c r="Z224" s="47">
        <v>156</v>
      </c>
      <c r="AA224" s="47">
        <v>2102</v>
      </c>
      <c r="AB224" s="76">
        <f t="shared" si="6"/>
        <v>13.474358974358974</v>
      </c>
      <c r="AC224" s="76">
        <f t="shared" si="7"/>
        <v>0.24633774756826438</v>
      </c>
      <c r="AD224" s="47">
        <v>8533</v>
      </c>
    </row>
    <row r="225" spans="1:30" ht="15.75" thickBot="1" x14ac:dyDescent="0.3">
      <c r="A225" s="44" t="s">
        <v>1584</v>
      </c>
      <c r="B225" s="48" t="s">
        <v>1585</v>
      </c>
      <c r="C225" s="44" t="s">
        <v>808</v>
      </c>
      <c r="D225" s="47">
        <v>124</v>
      </c>
      <c r="E225" s="47">
        <v>3319</v>
      </c>
      <c r="F225" s="47">
        <v>40</v>
      </c>
      <c r="G225" s="47">
        <v>214</v>
      </c>
      <c r="H225" s="47">
        <v>48</v>
      </c>
      <c r="I225" s="47">
        <v>2277</v>
      </c>
      <c r="J225" s="47">
        <v>17</v>
      </c>
      <c r="K225" s="47">
        <v>447</v>
      </c>
      <c r="L225" s="47">
        <v>179</v>
      </c>
      <c r="M225" s="47">
        <v>39</v>
      </c>
      <c r="N225" s="47">
        <v>218</v>
      </c>
      <c r="O225" s="47">
        <v>172</v>
      </c>
      <c r="P225" s="47">
        <v>5596</v>
      </c>
      <c r="Q225" s="44" t="s">
        <v>1643</v>
      </c>
      <c r="R225" s="47">
        <v>93</v>
      </c>
      <c r="S225" s="47">
        <v>1956</v>
      </c>
      <c r="T225" s="47">
        <v>57</v>
      </c>
      <c r="U225" s="47">
        <v>661</v>
      </c>
      <c r="V225" s="47">
        <v>77</v>
      </c>
      <c r="W225" s="47">
        <v>938</v>
      </c>
      <c r="X225" s="47">
        <v>0</v>
      </c>
      <c r="Y225" s="47">
        <v>0</v>
      </c>
      <c r="Z225" s="47">
        <v>306</v>
      </c>
      <c r="AA225" s="47">
        <v>7195</v>
      </c>
      <c r="AB225" s="76">
        <f t="shared" si="6"/>
        <v>23.513071895424837</v>
      </c>
      <c r="AC225" s="76">
        <f t="shared" si="7"/>
        <v>0.60917788502243675</v>
      </c>
      <c r="AD225" s="47">
        <v>11811</v>
      </c>
    </row>
    <row r="226" spans="1:30" ht="15.75" thickBot="1" x14ac:dyDescent="0.3">
      <c r="A226" s="44" t="s">
        <v>1590</v>
      </c>
      <c r="B226" s="48" t="s">
        <v>1591</v>
      </c>
      <c r="C226" s="44" t="s">
        <v>808</v>
      </c>
      <c r="D226" s="47">
        <v>18</v>
      </c>
      <c r="E226" s="47">
        <v>2772</v>
      </c>
      <c r="F226" s="47">
        <v>5</v>
      </c>
      <c r="G226" s="47">
        <v>879</v>
      </c>
      <c r="H226" s="47">
        <v>4</v>
      </c>
      <c r="I226" s="47">
        <v>305</v>
      </c>
      <c r="J226" s="47">
        <v>3</v>
      </c>
      <c r="K226" s="47">
        <v>42</v>
      </c>
      <c r="L226" s="47">
        <v>148</v>
      </c>
      <c r="M226" s="47">
        <v>68</v>
      </c>
      <c r="N226" s="47">
        <v>216</v>
      </c>
      <c r="O226" s="47">
        <v>22</v>
      </c>
      <c r="P226" s="47">
        <v>3077</v>
      </c>
      <c r="Q226" s="44" t="s">
        <v>1643</v>
      </c>
      <c r="R226" s="47">
        <v>17</v>
      </c>
      <c r="S226" s="47">
        <v>410</v>
      </c>
      <c r="T226" s="47">
        <v>8</v>
      </c>
      <c r="U226" s="47">
        <v>921</v>
      </c>
      <c r="V226" s="47">
        <v>30</v>
      </c>
      <c r="W226" s="47">
        <v>365</v>
      </c>
      <c r="X226" s="47">
        <v>18</v>
      </c>
      <c r="Y226" s="47">
        <v>514</v>
      </c>
      <c r="Z226" s="47">
        <v>78</v>
      </c>
      <c r="AA226" s="47">
        <v>4877</v>
      </c>
      <c r="AB226" s="76">
        <f t="shared" si="6"/>
        <v>62.525641025641029</v>
      </c>
      <c r="AC226" s="76">
        <f t="shared" si="7"/>
        <v>0.48701817455562213</v>
      </c>
      <c r="AD226" s="47">
        <v>10014</v>
      </c>
    </row>
    <row r="227" spans="1:30" ht="15.75" thickBot="1" x14ac:dyDescent="0.3">
      <c r="A227" s="44" t="s">
        <v>801</v>
      </c>
      <c r="B227" s="48" t="s">
        <v>802</v>
      </c>
      <c r="C227" s="44" t="s">
        <v>803</v>
      </c>
      <c r="D227" s="47">
        <v>129</v>
      </c>
      <c r="E227" s="47">
        <v>4113</v>
      </c>
      <c r="F227" s="47">
        <v>6</v>
      </c>
      <c r="G227" s="47">
        <v>166</v>
      </c>
      <c r="H227" s="47">
        <v>23</v>
      </c>
      <c r="I227" s="47">
        <v>1050</v>
      </c>
      <c r="J227" s="47">
        <v>7</v>
      </c>
      <c r="K227" s="47">
        <v>98</v>
      </c>
      <c r="L227" s="47">
        <v>285</v>
      </c>
      <c r="M227" s="47">
        <v>121</v>
      </c>
      <c r="N227" s="47">
        <v>406</v>
      </c>
      <c r="O227" s="47">
        <v>152</v>
      </c>
      <c r="P227" s="47">
        <v>5163</v>
      </c>
      <c r="Q227" s="44" t="s">
        <v>1643</v>
      </c>
      <c r="R227" s="47">
        <v>77</v>
      </c>
      <c r="S227" s="47">
        <v>2023</v>
      </c>
      <c r="T227" s="47">
        <v>13</v>
      </c>
      <c r="U227" s="47">
        <v>264</v>
      </c>
      <c r="V227" s="47">
        <v>90</v>
      </c>
      <c r="W227" s="47">
        <v>1208</v>
      </c>
      <c r="X227" s="47">
        <v>1</v>
      </c>
      <c r="Y227" s="47">
        <v>250</v>
      </c>
      <c r="Z227" s="47">
        <v>256</v>
      </c>
      <c r="AA227" s="47">
        <v>6885</v>
      </c>
      <c r="AB227" s="76">
        <f t="shared" si="6"/>
        <v>26.89453125</v>
      </c>
      <c r="AC227" s="76">
        <f t="shared" si="7"/>
        <v>0.32579378223631289</v>
      </c>
      <c r="AD227" s="47">
        <v>21133</v>
      </c>
    </row>
    <row r="228" spans="1:30" ht="15.75" thickBot="1" x14ac:dyDescent="0.3">
      <c r="A228" s="44" t="s">
        <v>818</v>
      </c>
      <c r="B228" s="48" t="s">
        <v>819</v>
      </c>
      <c r="C228" s="44" t="s">
        <v>803</v>
      </c>
      <c r="D228" s="47">
        <v>112</v>
      </c>
      <c r="E228" s="47">
        <v>3086</v>
      </c>
      <c r="F228" s="47">
        <v>29</v>
      </c>
      <c r="G228" s="47">
        <v>492</v>
      </c>
      <c r="H228" s="47">
        <v>34</v>
      </c>
      <c r="I228" s="47">
        <v>1433</v>
      </c>
      <c r="J228" s="47">
        <v>4</v>
      </c>
      <c r="K228" s="47">
        <v>161</v>
      </c>
      <c r="L228" s="47">
        <v>115</v>
      </c>
      <c r="M228" s="47">
        <v>43</v>
      </c>
      <c r="N228" s="47">
        <v>158</v>
      </c>
      <c r="O228" s="47">
        <v>146</v>
      </c>
      <c r="P228" s="47">
        <v>4519</v>
      </c>
      <c r="Q228" s="44" t="s">
        <v>1643</v>
      </c>
      <c r="R228" s="47">
        <v>35</v>
      </c>
      <c r="S228" s="47">
        <v>770</v>
      </c>
      <c r="T228" s="47">
        <v>33</v>
      </c>
      <c r="U228" s="47">
        <v>653</v>
      </c>
      <c r="V228" s="47">
        <v>68</v>
      </c>
      <c r="W228" s="47">
        <v>2642</v>
      </c>
      <c r="X228" s="44">
        <v>0</v>
      </c>
      <c r="Y228" s="44">
        <v>0</v>
      </c>
      <c r="Z228" s="47">
        <v>247</v>
      </c>
      <c r="AA228" s="47">
        <v>7814</v>
      </c>
      <c r="AB228" s="76">
        <f t="shared" si="6"/>
        <v>31.635627530364374</v>
      </c>
      <c r="AC228" s="76">
        <f t="shared" si="7"/>
        <v>0.44905465203149242</v>
      </c>
      <c r="AD228" s="47">
        <v>17401</v>
      </c>
    </row>
    <row r="229" spans="1:30" ht="15.75" thickBot="1" x14ac:dyDescent="0.3">
      <c r="A229" s="44" t="s">
        <v>846</v>
      </c>
      <c r="B229" s="48" t="s">
        <v>847</v>
      </c>
      <c r="C229" s="44" t="s">
        <v>803</v>
      </c>
      <c r="D229" s="47">
        <v>265</v>
      </c>
      <c r="E229" s="47">
        <v>5032</v>
      </c>
      <c r="F229" s="47">
        <v>63</v>
      </c>
      <c r="G229" s="47">
        <v>486</v>
      </c>
      <c r="H229" s="47">
        <v>84</v>
      </c>
      <c r="I229" s="47">
        <v>3316</v>
      </c>
      <c r="J229" s="47">
        <v>18</v>
      </c>
      <c r="K229" s="47">
        <v>176</v>
      </c>
      <c r="L229" s="47">
        <v>358</v>
      </c>
      <c r="M229" s="47">
        <v>90</v>
      </c>
      <c r="N229" s="47">
        <v>448</v>
      </c>
      <c r="O229" s="47">
        <v>349</v>
      </c>
      <c r="P229" s="47">
        <v>8348</v>
      </c>
      <c r="Q229" s="44" t="s">
        <v>1643</v>
      </c>
      <c r="R229" s="47">
        <v>108</v>
      </c>
      <c r="S229" s="47">
        <v>2512</v>
      </c>
      <c r="T229" s="47">
        <v>81</v>
      </c>
      <c r="U229" s="47">
        <v>662</v>
      </c>
      <c r="V229" s="47">
        <v>130</v>
      </c>
      <c r="W229" s="47">
        <v>989</v>
      </c>
      <c r="X229" s="47">
        <v>134</v>
      </c>
      <c r="Y229" s="47">
        <v>1005</v>
      </c>
      <c r="Z229" s="47">
        <v>694</v>
      </c>
      <c r="AA229" s="47">
        <v>11004</v>
      </c>
      <c r="AB229" s="76">
        <f t="shared" si="6"/>
        <v>15.855907780979827</v>
      </c>
      <c r="AC229" s="76">
        <f t="shared" si="7"/>
        <v>0.51391742947879693</v>
      </c>
      <c r="AD229" s="47">
        <v>21412</v>
      </c>
    </row>
    <row r="230" spans="1:30" ht="15.75" thickBot="1" x14ac:dyDescent="0.3">
      <c r="A230" s="44" t="s">
        <v>851</v>
      </c>
      <c r="B230" s="48" t="s">
        <v>852</v>
      </c>
      <c r="C230" s="44" t="s">
        <v>803</v>
      </c>
      <c r="D230" s="47">
        <v>141</v>
      </c>
      <c r="E230" s="47">
        <v>3507</v>
      </c>
      <c r="F230" s="47">
        <v>10</v>
      </c>
      <c r="G230" s="47">
        <v>169</v>
      </c>
      <c r="H230" s="47">
        <v>39</v>
      </c>
      <c r="I230" s="47">
        <v>1789</v>
      </c>
      <c r="J230" s="47">
        <v>4</v>
      </c>
      <c r="K230" s="47">
        <v>45</v>
      </c>
      <c r="L230" s="47">
        <v>184</v>
      </c>
      <c r="M230" s="47">
        <v>35</v>
      </c>
      <c r="N230" s="47">
        <v>219</v>
      </c>
      <c r="O230" s="47">
        <v>180</v>
      </c>
      <c r="P230" s="47">
        <v>5296</v>
      </c>
      <c r="Q230" s="44" t="s">
        <v>1643</v>
      </c>
      <c r="R230" s="47">
        <v>99</v>
      </c>
      <c r="S230" s="47">
        <v>2211</v>
      </c>
      <c r="T230" s="47">
        <v>14</v>
      </c>
      <c r="U230" s="47">
        <v>214</v>
      </c>
      <c r="V230" s="47">
        <v>74</v>
      </c>
      <c r="W230" s="47">
        <v>922</v>
      </c>
      <c r="X230" s="47">
        <v>0</v>
      </c>
      <c r="Y230" s="47">
        <v>0</v>
      </c>
      <c r="Z230" s="47">
        <v>268</v>
      </c>
      <c r="AA230" s="47">
        <v>6432</v>
      </c>
      <c r="AB230" s="76">
        <f t="shared" si="6"/>
        <v>24</v>
      </c>
      <c r="AC230" s="76">
        <f t="shared" si="7"/>
        <v>0.24850287833713247</v>
      </c>
      <c r="AD230" s="47">
        <v>25883</v>
      </c>
    </row>
    <row r="231" spans="1:30" ht="15.75" thickBot="1" x14ac:dyDescent="0.3">
      <c r="A231" s="44" t="s">
        <v>871</v>
      </c>
      <c r="B231" s="48" t="s">
        <v>872</v>
      </c>
      <c r="C231" s="44" t="s">
        <v>803</v>
      </c>
      <c r="D231" s="47">
        <v>111</v>
      </c>
      <c r="E231" s="47">
        <v>1332</v>
      </c>
      <c r="F231" s="47">
        <v>45</v>
      </c>
      <c r="G231" s="47">
        <v>405</v>
      </c>
      <c r="H231" s="47">
        <v>55</v>
      </c>
      <c r="I231" s="47">
        <v>1297</v>
      </c>
      <c r="J231" s="47">
        <v>21</v>
      </c>
      <c r="K231" s="47">
        <v>272</v>
      </c>
      <c r="L231" s="47">
        <v>147</v>
      </c>
      <c r="M231" s="47">
        <v>40</v>
      </c>
      <c r="N231" s="47">
        <v>187</v>
      </c>
      <c r="O231" s="47">
        <v>166</v>
      </c>
      <c r="P231" s="47">
        <v>2629</v>
      </c>
      <c r="Q231" s="44" t="s">
        <v>1643</v>
      </c>
      <c r="R231" s="47">
        <v>42</v>
      </c>
      <c r="S231" s="47">
        <v>336</v>
      </c>
      <c r="T231" s="47">
        <v>66</v>
      </c>
      <c r="U231" s="47">
        <v>677</v>
      </c>
      <c r="V231" s="47">
        <v>29</v>
      </c>
      <c r="W231" s="47">
        <v>928</v>
      </c>
      <c r="X231" s="47">
        <v>65</v>
      </c>
      <c r="Y231" s="47">
        <v>1404</v>
      </c>
      <c r="Z231" s="47">
        <v>326</v>
      </c>
      <c r="AA231" s="47">
        <v>5638</v>
      </c>
      <c r="AB231" s="76">
        <f t="shared" si="6"/>
        <v>17.29447852760736</v>
      </c>
      <c r="AC231" s="76">
        <f t="shared" si="7"/>
        <v>0.22745794166296848</v>
      </c>
      <c r="AD231" s="47">
        <v>24787</v>
      </c>
    </row>
    <row r="232" spans="1:30" ht="15.75" thickBot="1" x14ac:dyDescent="0.3">
      <c r="A232" s="44" t="s">
        <v>877</v>
      </c>
      <c r="B232" s="48" t="s">
        <v>878</v>
      </c>
      <c r="C232" s="44" t="s">
        <v>803</v>
      </c>
      <c r="D232" s="47">
        <v>104</v>
      </c>
      <c r="E232" s="47">
        <v>2081</v>
      </c>
      <c r="F232" s="47">
        <v>9</v>
      </c>
      <c r="G232" s="47">
        <v>95</v>
      </c>
      <c r="H232" s="47">
        <v>26</v>
      </c>
      <c r="I232" s="47">
        <v>966</v>
      </c>
      <c r="J232" s="47">
        <v>4</v>
      </c>
      <c r="K232" s="47">
        <v>44</v>
      </c>
      <c r="L232" s="47">
        <v>393</v>
      </c>
      <c r="M232" s="47">
        <v>31</v>
      </c>
      <c r="N232" s="47">
        <v>424</v>
      </c>
      <c r="O232" s="47">
        <v>130</v>
      </c>
      <c r="P232" s="47">
        <v>3047</v>
      </c>
      <c r="Q232" s="44" t="s">
        <v>1644</v>
      </c>
      <c r="R232" s="47">
        <v>0</v>
      </c>
      <c r="S232" s="47">
        <v>0</v>
      </c>
      <c r="T232" s="47">
        <v>13</v>
      </c>
      <c r="U232" s="47">
        <v>139</v>
      </c>
      <c r="V232" s="47">
        <v>80</v>
      </c>
      <c r="W232" s="47">
        <v>1777</v>
      </c>
      <c r="X232" s="47">
        <v>1</v>
      </c>
      <c r="Y232" s="47">
        <v>350</v>
      </c>
      <c r="Z232" s="47">
        <v>224</v>
      </c>
      <c r="AA232" s="47">
        <v>5313</v>
      </c>
      <c r="AB232" s="76">
        <f t="shared" si="6"/>
        <v>23.71875</v>
      </c>
      <c r="AC232" s="76">
        <f t="shared" si="7"/>
        <v>0.35490981963927853</v>
      </c>
      <c r="AD232" s="47">
        <v>14970</v>
      </c>
    </row>
    <row r="233" spans="1:30" ht="15.75" thickBot="1" x14ac:dyDescent="0.3">
      <c r="A233" s="44" t="s">
        <v>887</v>
      </c>
      <c r="B233" s="48" t="s">
        <v>888</v>
      </c>
      <c r="C233" s="44" t="s">
        <v>803</v>
      </c>
      <c r="D233" s="47">
        <v>105</v>
      </c>
      <c r="E233" s="47">
        <v>2742</v>
      </c>
      <c r="F233" s="47">
        <v>11</v>
      </c>
      <c r="G233" s="47">
        <v>64</v>
      </c>
      <c r="H233" s="47">
        <v>24</v>
      </c>
      <c r="I233" s="47">
        <v>888</v>
      </c>
      <c r="J233" s="47">
        <v>5</v>
      </c>
      <c r="K233" s="47">
        <v>2</v>
      </c>
      <c r="L233" s="47">
        <v>215</v>
      </c>
      <c r="M233" s="47">
        <v>10</v>
      </c>
      <c r="N233" s="47">
        <v>225</v>
      </c>
      <c r="O233" s="47">
        <v>129</v>
      </c>
      <c r="P233" s="47">
        <v>3630</v>
      </c>
      <c r="Q233" s="44" t="s">
        <v>1643</v>
      </c>
      <c r="R233" s="47">
        <v>63</v>
      </c>
      <c r="S233" s="47">
        <v>1719</v>
      </c>
      <c r="T233" s="47">
        <v>16</v>
      </c>
      <c r="U233" s="47">
        <v>66</v>
      </c>
      <c r="V233" s="47">
        <v>146</v>
      </c>
      <c r="W233" s="47">
        <v>1381</v>
      </c>
      <c r="X233" s="47">
        <v>0</v>
      </c>
      <c r="Y233" s="47">
        <v>0</v>
      </c>
      <c r="Z233" s="47">
        <v>291</v>
      </c>
      <c r="AA233" s="47">
        <v>5077</v>
      </c>
      <c r="AB233" s="76">
        <f t="shared" si="6"/>
        <v>17.446735395189002</v>
      </c>
      <c r="AC233" s="76">
        <f t="shared" si="7"/>
        <v>0.25353308364544319</v>
      </c>
      <c r="AD233" s="47">
        <v>20025</v>
      </c>
    </row>
    <row r="234" spans="1:30" ht="15.75" thickBot="1" x14ac:dyDescent="0.3">
      <c r="A234" s="44" t="s">
        <v>899</v>
      </c>
      <c r="B234" s="48" t="s">
        <v>900</v>
      </c>
      <c r="C234" s="44" t="s">
        <v>803</v>
      </c>
      <c r="D234" s="47">
        <v>404</v>
      </c>
      <c r="E234" s="47">
        <v>7949</v>
      </c>
      <c r="F234" s="47">
        <v>62</v>
      </c>
      <c r="G234" s="47">
        <v>249</v>
      </c>
      <c r="H234" s="47">
        <v>27</v>
      </c>
      <c r="I234" s="47">
        <v>876</v>
      </c>
      <c r="J234" s="47">
        <v>6</v>
      </c>
      <c r="K234" s="47">
        <v>57</v>
      </c>
      <c r="L234" s="47">
        <v>202</v>
      </c>
      <c r="M234" s="47">
        <v>85</v>
      </c>
      <c r="N234" s="47">
        <v>287</v>
      </c>
      <c r="O234" s="47">
        <v>431</v>
      </c>
      <c r="P234" s="47">
        <v>8825</v>
      </c>
      <c r="Q234" s="44" t="s">
        <v>1643</v>
      </c>
      <c r="R234" s="47">
        <v>194</v>
      </c>
      <c r="S234" s="47">
        <v>2329</v>
      </c>
      <c r="T234" s="47">
        <v>68</v>
      </c>
      <c r="U234" s="47">
        <v>306</v>
      </c>
      <c r="V234" s="47">
        <v>123</v>
      </c>
      <c r="W234" s="47">
        <v>2354</v>
      </c>
      <c r="X234" s="47">
        <v>19</v>
      </c>
      <c r="Y234" s="47">
        <v>1193</v>
      </c>
      <c r="Z234" s="47">
        <v>641</v>
      </c>
      <c r="AA234" s="47">
        <v>12678</v>
      </c>
      <c r="AB234" s="76">
        <f t="shared" si="6"/>
        <v>19.778471138845553</v>
      </c>
      <c r="AC234" s="76">
        <f t="shared" si="7"/>
        <v>0.83545304777594731</v>
      </c>
      <c r="AD234" s="47">
        <v>15175</v>
      </c>
    </row>
    <row r="235" spans="1:30" ht="15.75" thickBot="1" x14ac:dyDescent="0.3">
      <c r="A235" s="44" t="s">
        <v>901</v>
      </c>
      <c r="B235" s="48" t="s">
        <v>902</v>
      </c>
      <c r="C235" s="44" t="s">
        <v>803</v>
      </c>
      <c r="D235" s="47">
        <v>36</v>
      </c>
      <c r="E235" s="47">
        <v>616</v>
      </c>
      <c r="F235" s="47">
        <v>6</v>
      </c>
      <c r="G235" s="47">
        <v>48</v>
      </c>
      <c r="H235" s="47">
        <v>5</v>
      </c>
      <c r="I235" s="47">
        <v>70</v>
      </c>
      <c r="J235" s="47">
        <v>0</v>
      </c>
      <c r="K235" s="47">
        <v>5</v>
      </c>
      <c r="L235" s="47">
        <v>142</v>
      </c>
      <c r="M235" s="47">
        <v>44</v>
      </c>
      <c r="N235" s="47">
        <v>186</v>
      </c>
      <c r="O235" s="47">
        <v>41</v>
      </c>
      <c r="P235" s="47">
        <v>686</v>
      </c>
      <c r="Q235" s="44" t="s">
        <v>1643</v>
      </c>
      <c r="R235" s="47">
        <v>36</v>
      </c>
      <c r="S235" s="47">
        <v>439</v>
      </c>
      <c r="T235" s="47">
        <v>6</v>
      </c>
      <c r="U235" s="47">
        <v>53</v>
      </c>
      <c r="V235" s="47">
        <v>17</v>
      </c>
      <c r="W235" s="47">
        <v>178</v>
      </c>
      <c r="X235" s="47">
        <v>9</v>
      </c>
      <c r="Y235" s="47">
        <v>185</v>
      </c>
      <c r="Z235" s="47">
        <v>73</v>
      </c>
      <c r="AA235" s="47">
        <v>1102</v>
      </c>
      <c r="AB235" s="76">
        <f t="shared" si="6"/>
        <v>15.095890410958905</v>
      </c>
      <c r="AC235" s="76">
        <f t="shared" si="7"/>
        <v>8.6997710586563512E-2</v>
      </c>
      <c r="AD235" s="47">
        <v>12667</v>
      </c>
    </row>
    <row r="236" spans="1:30" ht="15.75" thickBot="1" x14ac:dyDescent="0.3">
      <c r="A236" s="44" t="s">
        <v>905</v>
      </c>
      <c r="B236" s="48" t="s">
        <v>906</v>
      </c>
      <c r="C236" s="44" t="s">
        <v>803</v>
      </c>
      <c r="D236" s="47">
        <v>233</v>
      </c>
      <c r="E236" s="47">
        <v>5595</v>
      </c>
      <c r="F236" s="47">
        <v>0</v>
      </c>
      <c r="G236" s="47">
        <v>0</v>
      </c>
      <c r="H236" s="47">
        <v>77</v>
      </c>
      <c r="I236" s="47">
        <v>1514</v>
      </c>
      <c r="J236" s="47">
        <v>0</v>
      </c>
      <c r="K236" s="47">
        <v>0</v>
      </c>
      <c r="L236" s="47">
        <v>231</v>
      </c>
      <c r="M236" s="47">
        <v>32</v>
      </c>
      <c r="N236" s="47">
        <v>263</v>
      </c>
      <c r="O236" s="47">
        <v>310</v>
      </c>
      <c r="P236" s="47">
        <v>7109</v>
      </c>
      <c r="Q236" s="44" t="s">
        <v>1643</v>
      </c>
      <c r="R236" s="47">
        <v>195</v>
      </c>
      <c r="S236" s="47">
        <v>4430</v>
      </c>
      <c r="T236" s="47">
        <v>0</v>
      </c>
      <c r="U236" s="47">
        <v>0</v>
      </c>
      <c r="V236" s="47">
        <v>53</v>
      </c>
      <c r="W236" s="47">
        <v>647</v>
      </c>
      <c r="X236" s="47">
        <v>13</v>
      </c>
      <c r="Y236" s="47">
        <v>1473</v>
      </c>
      <c r="Z236" s="47">
        <v>376</v>
      </c>
      <c r="AA236" s="47">
        <v>9229</v>
      </c>
      <c r="AB236" s="76">
        <f t="shared" si="6"/>
        <v>24.545212765957448</v>
      </c>
      <c r="AC236" s="76">
        <f t="shared" si="7"/>
        <v>0.47729623500206869</v>
      </c>
      <c r="AD236" s="47">
        <v>19336</v>
      </c>
    </row>
    <row r="237" spans="1:30" ht="15.75" thickBot="1" x14ac:dyDescent="0.3">
      <c r="A237" s="44" t="s">
        <v>941</v>
      </c>
      <c r="B237" s="48" t="s">
        <v>942</v>
      </c>
      <c r="C237" s="44" t="s">
        <v>803</v>
      </c>
      <c r="D237" s="47">
        <v>226</v>
      </c>
      <c r="E237" s="47">
        <v>3937</v>
      </c>
      <c r="F237" s="47">
        <v>143</v>
      </c>
      <c r="G237" s="47">
        <v>1188</v>
      </c>
      <c r="H237" s="47">
        <v>65</v>
      </c>
      <c r="I237" s="47">
        <v>1647</v>
      </c>
      <c r="J237" s="47">
        <v>22</v>
      </c>
      <c r="K237" s="47">
        <v>374</v>
      </c>
      <c r="L237" s="47">
        <v>445</v>
      </c>
      <c r="M237" s="47">
        <v>210</v>
      </c>
      <c r="N237" s="47">
        <v>655</v>
      </c>
      <c r="O237" s="47">
        <v>291</v>
      </c>
      <c r="P237" s="47">
        <v>5584</v>
      </c>
      <c r="Q237" s="44" t="s">
        <v>1643</v>
      </c>
      <c r="R237" s="47">
        <v>188</v>
      </c>
      <c r="S237" s="47">
        <v>3608</v>
      </c>
      <c r="T237" s="47">
        <v>165</v>
      </c>
      <c r="U237" s="47">
        <v>1562</v>
      </c>
      <c r="V237" s="47">
        <v>66</v>
      </c>
      <c r="W237" s="47">
        <v>589</v>
      </c>
      <c r="X237" s="47">
        <v>5</v>
      </c>
      <c r="Y237" s="47">
        <v>512</v>
      </c>
      <c r="Z237" s="47">
        <v>527</v>
      </c>
      <c r="AA237" s="47">
        <v>8247</v>
      </c>
      <c r="AB237" s="76">
        <f t="shared" si="6"/>
        <v>15.648956356736242</v>
      </c>
      <c r="AC237" s="76">
        <f t="shared" si="7"/>
        <v>0.54731882134324394</v>
      </c>
      <c r="AD237" s="47">
        <v>15068</v>
      </c>
    </row>
    <row r="238" spans="1:30" ht="15.75" thickBot="1" x14ac:dyDescent="0.3">
      <c r="A238" s="44" t="s">
        <v>945</v>
      </c>
      <c r="B238" s="48" t="s">
        <v>946</v>
      </c>
      <c r="C238" s="44" t="s">
        <v>803</v>
      </c>
      <c r="D238" s="47">
        <v>44</v>
      </c>
      <c r="E238" s="47">
        <v>786</v>
      </c>
      <c r="F238" s="47">
        <v>44</v>
      </c>
      <c r="G238" s="47">
        <v>220</v>
      </c>
      <c r="H238" s="47">
        <v>43</v>
      </c>
      <c r="I238" s="47">
        <v>2002</v>
      </c>
      <c r="J238" s="47">
        <v>9</v>
      </c>
      <c r="K238" s="47">
        <v>53</v>
      </c>
      <c r="L238" s="47">
        <v>433</v>
      </c>
      <c r="M238" s="47">
        <v>92</v>
      </c>
      <c r="N238" s="47">
        <v>525</v>
      </c>
      <c r="O238" s="47">
        <v>87</v>
      </c>
      <c r="P238" s="47">
        <v>2788</v>
      </c>
      <c r="Q238" s="44" t="s">
        <v>1643</v>
      </c>
      <c r="R238" s="47">
        <v>72</v>
      </c>
      <c r="S238" s="47">
        <v>1172</v>
      </c>
      <c r="T238" s="47">
        <v>53</v>
      </c>
      <c r="U238" s="47">
        <v>273</v>
      </c>
      <c r="V238" s="47">
        <v>45</v>
      </c>
      <c r="W238" s="47">
        <v>405</v>
      </c>
      <c r="X238" s="47">
        <v>13</v>
      </c>
      <c r="Y238" s="47">
        <v>169</v>
      </c>
      <c r="Z238" s="47">
        <v>198</v>
      </c>
      <c r="AA238" s="47">
        <v>3635</v>
      </c>
      <c r="AB238" s="76">
        <f t="shared" si="6"/>
        <v>18.358585858585858</v>
      </c>
      <c r="AC238" s="76">
        <f t="shared" si="7"/>
        <v>0.14915880180549856</v>
      </c>
      <c r="AD238" s="47">
        <v>24370</v>
      </c>
    </row>
    <row r="239" spans="1:30" ht="15.75" thickBot="1" x14ac:dyDescent="0.3">
      <c r="A239" s="44" t="s">
        <v>949</v>
      </c>
      <c r="B239" s="48" t="s">
        <v>950</v>
      </c>
      <c r="C239" s="44" t="s">
        <v>803</v>
      </c>
      <c r="D239" s="47">
        <v>187</v>
      </c>
      <c r="E239" s="47">
        <v>5965</v>
      </c>
      <c r="F239" s="47">
        <v>0</v>
      </c>
      <c r="G239" s="47">
        <v>0</v>
      </c>
      <c r="H239" s="47">
        <v>5</v>
      </c>
      <c r="I239" s="47">
        <v>261</v>
      </c>
      <c r="J239" s="47">
        <v>0</v>
      </c>
      <c r="K239" s="47">
        <v>0</v>
      </c>
      <c r="L239" s="47">
        <v>28</v>
      </c>
      <c r="M239" s="47">
        <v>3</v>
      </c>
      <c r="N239" s="47">
        <v>31</v>
      </c>
      <c r="O239" s="47">
        <v>192</v>
      </c>
      <c r="P239" s="47">
        <v>6226</v>
      </c>
      <c r="Q239" s="44" t="s">
        <v>1644</v>
      </c>
      <c r="R239" s="47">
        <v>0</v>
      </c>
      <c r="S239" s="47">
        <v>0</v>
      </c>
      <c r="T239" s="47">
        <v>0</v>
      </c>
      <c r="U239" s="47">
        <v>0</v>
      </c>
      <c r="V239" s="47">
        <v>941</v>
      </c>
      <c r="W239" s="47">
        <v>9799</v>
      </c>
      <c r="X239" s="47">
        <v>0</v>
      </c>
      <c r="Y239" s="47">
        <v>0</v>
      </c>
      <c r="Z239" s="47">
        <v>1133</v>
      </c>
      <c r="AA239" s="47">
        <v>16025</v>
      </c>
      <c r="AB239" s="76">
        <f t="shared" si="6"/>
        <v>14.14386584289497</v>
      </c>
      <c r="AC239" s="76">
        <f t="shared" si="7"/>
        <v>1.1533755577947316</v>
      </c>
      <c r="AD239" s="47">
        <v>13894</v>
      </c>
    </row>
    <row r="240" spans="1:30" ht="15.75" thickBot="1" x14ac:dyDescent="0.3">
      <c r="A240" s="44" t="s">
        <v>951</v>
      </c>
      <c r="B240" s="48" t="s">
        <v>952</v>
      </c>
      <c r="C240" s="44" t="s">
        <v>803</v>
      </c>
      <c r="D240" s="47">
        <v>219</v>
      </c>
      <c r="E240" s="47">
        <v>7739</v>
      </c>
      <c r="F240" s="47">
        <v>36</v>
      </c>
      <c r="G240" s="47">
        <v>1412</v>
      </c>
      <c r="H240" s="47">
        <v>63</v>
      </c>
      <c r="I240" s="47">
        <v>3956</v>
      </c>
      <c r="J240" s="47">
        <v>17</v>
      </c>
      <c r="K240" s="47">
        <v>1310</v>
      </c>
      <c r="L240" s="47">
        <v>771</v>
      </c>
      <c r="M240" s="47">
        <v>323</v>
      </c>
      <c r="N240" s="47">
        <v>1094</v>
      </c>
      <c r="O240" s="47">
        <v>282</v>
      </c>
      <c r="P240" s="47">
        <v>11695</v>
      </c>
      <c r="Q240" s="44" t="s">
        <v>1643</v>
      </c>
      <c r="R240" s="47">
        <v>73</v>
      </c>
      <c r="S240" s="47">
        <v>2580</v>
      </c>
      <c r="T240" s="47">
        <v>53</v>
      </c>
      <c r="U240" s="47">
        <v>2722</v>
      </c>
      <c r="V240" s="47">
        <v>198</v>
      </c>
      <c r="W240" s="47">
        <v>2949</v>
      </c>
      <c r="X240" s="47">
        <v>50</v>
      </c>
      <c r="Y240" s="47">
        <v>3066</v>
      </c>
      <c r="Z240" s="47">
        <v>583</v>
      </c>
      <c r="AA240" s="47">
        <v>20432</v>
      </c>
      <c r="AB240" s="76">
        <f t="shared" si="6"/>
        <v>35.046312178387652</v>
      </c>
      <c r="AC240" s="76">
        <f t="shared" si="7"/>
        <v>1.3612258494337108</v>
      </c>
      <c r="AD240" s="47">
        <v>15010</v>
      </c>
    </row>
    <row r="241" spans="1:30" ht="15.75" thickBot="1" x14ac:dyDescent="0.3">
      <c r="A241" s="44" t="s">
        <v>965</v>
      </c>
      <c r="B241" s="48" t="s">
        <v>966</v>
      </c>
      <c r="C241" s="44" t="s">
        <v>803</v>
      </c>
      <c r="D241" s="47">
        <v>50</v>
      </c>
      <c r="E241" s="47">
        <v>450</v>
      </c>
      <c r="F241" s="47">
        <v>0</v>
      </c>
      <c r="G241" s="47">
        <v>0</v>
      </c>
      <c r="H241" s="47">
        <v>15</v>
      </c>
      <c r="I241" s="47">
        <v>301</v>
      </c>
      <c r="J241" s="47">
        <v>4</v>
      </c>
      <c r="K241" s="47">
        <v>28</v>
      </c>
      <c r="L241" s="47">
        <v>271</v>
      </c>
      <c r="M241" s="47">
        <v>45</v>
      </c>
      <c r="N241" s="47">
        <v>316</v>
      </c>
      <c r="O241" s="47">
        <v>65</v>
      </c>
      <c r="P241" s="47">
        <v>751</v>
      </c>
      <c r="Q241" s="44" t="s">
        <v>1643</v>
      </c>
      <c r="R241" s="47">
        <v>48</v>
      </c>
      <c r="S241" s="47">
        <v>430</v>
      </c>
      <c r="T241" s="47">
        <v>4</v>
      </c>
      <c r="U241" s="47">
        <v>28</v>
      </c>
      <c r="V241" s="47">
        <v>3</v>
      </c>
      <c r="W241" s="47">
        <v>57</v>
      </c>
      <c r="X241" s="47">
        <v>1</v>
      </c>
      <c r="Y241" s="47">
        <v>693</v>
      </c>
      <c r="Z241" s="47">
        <v>73</v>
      </c>
      <c r="AA241" s="47">
        <v>1529</v>
      </c>
      <c r="AB241" s="76">
        <f t="shared" si="6"/>
        <v>20.945205479452056</v>
      </c>
      <c r="AC241" s="76">
        <f t="shared" si="7"/>
        <v>0.1177784624865198</v>
      </c>
      <c r="AD241" s="47">
        <v>12982</v>
      </c>
    </row>
    <row r="242" spans="1:30" ht="15.75" thickBot="1" x14ac:dyDescent="0.3">
      <c r="A242" s="44" t="s">
        <v>975</v>
      </c>
      <c r="B242" s="48" t="s">
        <v>976</v>
      </c>
      <c r="C242" s="44" t="s">
        <v>803</v>
      </c>
      <c r="D242" s="47">
        <v>265</v>
      </c>
      <c r="E242" s="47">
        <v>5895</v>
      </c>
      <c r="F242" s="47">
        <v>14</v>
      </c>
      <c r="G242" s="47">
        <v>65</v>
      </c>
      <c r="H242" s="47">
        <v>50</v>
      </c>
      <c r="I242" s="47">
        <v>1604</v>
      </c>
      <c r="J242" s="47">
        <v>8</v>
      </c>
      <c r="K242" s="47">
        <v>46</v>
      </c>
      <c r="L242" s="47">
        <v>404</v>
      </c>
      <c r="M242" s="47">
        <v>79</v>
      </c>
      <c r="N242" s="47">
        <v>483</v>
      </c>
      <c r="O242" s="47">
        <v>315</v>
      </c>
      <c r="P242" s="47">
        <v>7499</v>
      </c>
      <c r="Q242" s="44" t="s">
        <v>1643</v>
      </c>
      <c r="R242" s="47">
        <v>120</v>
      </c>
      <c r="S242" s="47">
        <v>1876</v>
      </c>
      <c r="T242" s="47">
        <v>22</v>
      </c>
      <c r="U242" s="47">
        <v>111</v>
      </c>
      <c r="V242" s="47">
        <v>93</v>
      </c>
      <c r="W242" s="47">
        <v>1101</v>
      </c>
      <c r="X242" s="47">
        <v>4</v>
      </c>
      <c r="Y242" s="47">
        <v>623</v>
      </c>
      <c r="Z242" s="47">
        <v>434</v>
      </c>
      <c r="AA242" s="47">
        <v>9334</v>
      </c>
      <c r="AB242" s="76">
        <f t="shared" si="6"/>
        <v>21.506912442396313</v>
      </c>
      <c r="AC242" s="76">
        <f t="shared" si="7"/>
        <v>0.62838292715766797</v>
      </c>
      <c r="AD242" s="47">
        <v>14854</v>
      </c>
    </row>
    <row r="243" spans="1:30" ht="15.75" thickBot="1" x14ac:dyDescent="0.3">
      <c r="A243" s="44" t="s">
        <v>981</v>
      </c>
      <c r="B243" s="48" t="s">
        <v>982</v>
      </c>
      <c r="C243" s="44" t="s">
        <v>803</v>
      </c>
      <c r="D243" s="47">
        <v>73</v>
      </c>
      <c r="E243" s="47">
        <v>603</v>
      </c>
      <c r="F243" s="47">
        <v>38</v>
      </c>
      <c r="G243" s="47">
        <v>759</v>
      </c>
      <c r="H243" s="47">
        <v>6</v>
      </c>
      <c r="I243" s="47">
        <v>210</v>
      </c>
      <c r="J243" s="47">
        <v>0</v>
      </c>
      <c r="K243" s="47">
        <v>0</v>
      </c>
      <c r="L243" s="47">
        <v>93</v>
      </c>
      <c r="M243" s="47">
        <v>17</v>
      </c>
      <c r="N243" s="47">
        <v>110</v>
      </c>
      <c r="O243" s="47">
        <v>79</v>
      </c>
      <c r="P243" s="47">
        <v>813</v>
      </c>
      <c r="Q243" s="44" t="s">
        <v>1643</v>
      </c>
      <c r="R243" s="47">
        <v>6</v>
      </c>
      <c r="S243" s="47">
        <v>210</v>
      </c>
      <c r="T243" s="47">
        <v>38</v>
      </c>
      <c r="U243" s="47">
        <v>759</v>
      </c>
      <c r="V243" s="47">
        <v>252</v>
      </c>
      <c r="W243" s="47">
        <v>1142</v>
      </c>
      <c r="X243" s="47">
        <v>45</v>
      </c>
      <c r="Y243" s="47">
        <v>549</v>
      </c>
      <c r="Z243" s="47">
        <v>414</v>
      </c>
      <c r="AA243" s="47">
        <v>3263</v>
      </c>
      <c r="AB243" s="76">
        <f t="shared" si="6"/>
        <v>7.8816425120772946</v>
      </c>
      <c r="AC243" s="76">
        <f t="shared" si="7"/>
        <v>0.23184595708398464</v>
      </c>
      <c r="AD243" s="47">
        <v>14074</v>
      </c>
    </row>
    <row r="244" spans="1:30" ht="15.75" thickBot="1" x14ac:dyDescent="0.3">
      <c r="A244" s="44" t="s">
        <v>1007</v>
      </c>
      <c r="B244" s="48" t="s">
        <v>1008</v>
      </c>
      <c r="C244" s="44" t="s">
        <v>803</v>
      </c>
      <c r="D244" s="47">
        <v>232</v>
      </c>
      <c r="E244" s="47">
        <v>7249</v>
      </c>
      <c r="F244" s="47">
        <v>100</v>
      </c>
      <c r="G244" s="47">
        <v>857</v>
      </c>
      <c r="H244" s="47">
        <v>56</v>
      </c>
      <c r="I244" s="47">
        <v>1892</v>
      </c>
      <c r="J244" s="47">
        <v>9</v>
      </c>
      <c r="K244" s="47">
        <v>55</v>
      </c>
      <c r="L244" s="47">
        <v>417</v>
      </c>
      <c r="M244" s="47">
        <v>77</v>
      </c>
      <c r="N244" s="47">
        <v>494</v>
      </c>
      <c r="O244" s="47">
        <v>288</v>
      </c>
      <c r="P244" s="47">
        <v>9141</v>
      </c>
      <c r="Q244" s="44" t="s">
        <v>1643</v>
      </c>
      <c r="R244" s="47">
        <v>122</v>
      </c>
      <c r="S244" s="47">
        <v>2344</v>
      </c>
      <c r="T244" s="47">
        <v>109</v>
      </c>
      <c r="U244" s="47">
        <v>912</v>
      </c>
      <c r="V244" s="47">
        <v>113</v>
      </c>
      <c r="W244" s="47">
        <v>725</v>
      </c>
      <c r="X244" s="47">
        <v>0</v>
      </c>
      <c r="Y244" s="47">
        <v>0</v>
      </c>
      <c r="Z244" s="47">
        <v>510</v>
      </c>
      <c r="AA244" s="47">
        <v>10778</v>
      </c>
      <c r="AB244" s="76">
        <f t="shared" si="6"/>
        <v>21.133333333333333</v>
      </c>
      <c r="AC244" s="76">
        <f t="shared" si="7"/>
        <v>0.52468114107681818</v>
      </c>
      <c r="AD244" s="47">
        <v>20542</v>
      </c>
    </row>
    <row r="245" spans="1:30" ht="15.75" thickBot="1" x14ac:dyDescent="0.3">
      <c r="A245" s="44" t="s">
        <v>1009</v>
      </c>
      <c r="B245" s="48" t="s">
        <v>1010</v>
      </c>
      <c r="C245" s="44" t="s">
        <v>803</v>
      </c>
      <c r="D245" s="47">
        <v>335</v>
      </c>
      <c r="E245" s="47">
        <v>21516</v>
      </c>
      <c r="F245" s="47">
        <v>64</v>
      </c>
      <c r="G245" s="47">
        <v>1708</v>
      </c>
      <c r="H245" s="47">
        <v>40</v>
      </c>
      <c r="I245" s="47">
        <v>5843</v>
      </c>
      <c r="J245" s="47">
        <v>14</v>
      </c>
      <c r="K245" s="47">
        <v>318</v>
      </c>
      <c r="L245" s="47">
        <v>944</v>
      </c>
      <c r="M245" s="47">
        <v>349</v>
      </c>
      <c r="N245" s="47">
        <v>1293</v>
      </c>
      <c r="O245" s="47">
        <v>375</v>
      </c>
      <c r="P245" s="47">
        <v>27359</v>
      </c>
      <c r="Q245" s="44" t="s">
        <v>1643</v>
      </c>
      <c r="R245" s="47">
        <v>208</v>
      </c>
      <c r="S245" s="47">
        <v>6743</v>
      </c>
      <c r="T245" s="47">
        <v>78</v>
      </c>
      <c r="U245" s="47">
        <v>2026</v>
      </c>
      <c r="V245" s="47">
        <v>162</v>
      </c>
      <c r="W245" s="47">
        <v>3146</v>
      </c>
      <c r="X245" s="47">
        <v>112</v>
      </c>
      <c r="Y245" s="47">
        <v>12579</v>
      </c>
      <c r="Z245" s="47">
        <v>727</v>
      </c>
      <c r="AA245" s="47">
        <v>45110</v>
      </c>
      <c r="AB245" s="76">
        <f t="shared" si="6"/>
        <v>62.049518569463551</v>
      </c>
      <c r="AC245" s="76">
        <f t="shared" si="7"/>
        <v>2.3025879230258792</v>
      </c>
      <c r="AD245" s="47">
        <v>19591</v>
      </c>
    </row>
    <row r="246" spans="1:30" ht="15.75" thickBot="1" x14ac:dyDescent="0.3">
      <c r="A246" s="44" t="s">
        <v>1017</v>
      </c>
      <c r="B246" s="48" t="s">
        <v>1018</v>
      </c>
      <c r="C246" s="44" t="s">
        <v>803</v>
      </c>
      <c r="D246" s="47">
        <v>114</v>
      </c>
      <c r="E246" s="47">
        <v>2340</v>
      </c>
      <c r="F246" s="47">
        <v>54</v>
      </c>
      <c r="G246" s="47">
        <v>511</v>
      </c>
      <c r="H246" s="47">
        <v>9</v>
      </c>
      <c r="I246" s="47">
        <v>229</v>
      </c>
      <c r="J246" s="47">
        <v>11</v>
      </c>
      <c r="K246" s="47">
        <v>79</v>
      </c>
      <c r="L246" s="47">
        <v>55</v>
      </c>
      <c r="M246" s="47">
        <v>29</v>
      </c>
      <c r="N246" s="47">
        <v>84</v>
      </c>
      <c r="O246" s="47">
        <v>123</v>
      </c>
      <c r="P246" s="47">
        <v>2569</v>
      </c>
      <c r="Q246" s="44" t="s">
        <v>1643</v>
      </c>
      <c r="R246" s="47">
        <v>80</v>
      </c>
      <c r="S246" s="47">
        <v>1057</v>
      </c>
      <c r="T246" s="47">
        <v>65</v>
      </c>
      <c r="U246" s="47">
        <v>590</v>
      </c>
      <c r="V246" s="47">
        <v>16</v>
      </c>
      <c r="W246" s="47">
        <v>233</v>
      </c>
      <c r="X246" s="47">
        <v>9</v>
      </c>
      <c r="Y246" s="47">
        <v>99</v>
      </c>
      <c r="Z246" s="47">
        <v>213</v>
      </c>
      <c r="AA246" s="47">
        <v>3491</v>
      </c>
      <c r="AB246" s="76">
        <f t="shared" si="6"/>
        <v>16.389671361502348</v>
      </c>
      <c r="AC246" s="76">
        <f t="shared" si="7"/>
        <v>0.2623628438298512</v>
      </c>
      <c r="AD246" s="47">
        <v>13306</v>
      </c>
    </row>
    <row r="247" spans="1:30" ht="15.75" thickBot="1" x14ac:dyDescent="0.3">
      <c r="A247" s="44" t="s">
        <v>1027</v>
      </c>
      <c r="B247" s="48" t="s">
        <v>1028</v>
      </c>
      <c r="C247" s="44" t="s">
        <v>803</v>
      </c>
      <c r="D247" s="47">
        <v>75</v>
      </c>
      <c r="E247" s="47">
        <v>1482</v>
      </c>
      <c r="F247" s="47">
        <v>23</v>
      </c>
      <c r="G247" s="47">
        <v>64</v>
      </c>
      <c r="H247" s="47">
        <v>21</v>
      </c>
      <c r="I247" s="47">
        <v>748</v>
      </c>
      <c r="J247" s="47">
        <v>5</v>
      </c>
      <c r="K247" s="47">
        <v>27</v>
      </c>
      <c r="L247" s="47">
        <v>274</v>
      </c>
      <c r="M247" s="47">
        <v>84</v>
      </c>
      <c r="N247" s="47">
        <v>358</v>
      </c>
      <c r="O247" s="47">
        <v>96</v>
      </c>
      <c r="P247" s="47">
        <v>2230</v>
      </c>
      <c r="Q247" s="44" t="s">
        <v>1643</v>
      </c>
      <c r="R247" s="47">
        <v>41</v>
      </c>
      <c r="S247" s="47">
        <v>1348</v>
      </c>
      <c r="T247" s="47">
        <v>28</v>
      </c>
      <c r="U247" s="47">
        <v>91</v>
      </c>
      <c r="V247" s="47">
        <v>138</v>
      </c>
      <c r="W247" s="47">
        <v>1405</v>
      </c>
      <c r="X247" s="47">
        <v>15</v>
      </c>
      <c r="Y247" s="47">
        <v>2263</v>
      </c>
      <c r="Z247" s="47">
        <v>277</v>
      </c>
      <c r="AA247" s="47">
        <v>5989</v>
      </c>
      <c r="AB247" s="76">
        <f t="shared" si="6"/>
        <v>21.620938628158846</v>
      </c>
      <c r="AC247" s="76">
        <f t="shared" si="7"/>
        <v>0.47269139700078927</v>
      </c>
      <c r="AD247" s="47">
        <v>12670</v>
      </c>
    </row>
    <row r="248" spans="1:30" ht="15.75" thickBot="1" x14ac:dyDescent="0.3">
      <c r="A248" s="44" t="s">
        <v>1043</v>
      </c>
      <c r="B248" s="48" t="s">
        <v>1044</v>
      </c>
      <c r="C248" s="44" t="s">
        <v>803</v>
      </c>
      <c r="D248" s="47">
        <v>86</v>
      </c>
      <c r="E248" s="47">
        <v>2208</v>
      </c>
      <c r="F248" s="47">
        <v>4</v>
      </c>
      <c r="G248" s="47">
        <v>48</v>
      </c>
      <c r="H248" s="47">
        <v>14</v>
      </c>
      <c r="I248" s="47">
        <v>403</v>
      </c>
      <c r="J248" s="47">
        <v>0</v>
      </c>
      <c r="K248" s="47">
        <v>0</v>
      </c>
      <c r="L248" s="47">
        <v>135</v>
      </c>
      <c r="M248" s="47">
        <v>0</v>
      </c>
      <c r="N248" s="47">
        <v>135</v>
      </c>
      <c r="O248" s="47">
        <v>100</v>
      </c>
      <c r="P248" s="47">
        <v>2611</v>
      </c>
      <c r="Q248" s="44" t="s">
        <v>1643</v>
      </c>
      <c r="R248" s="47">
        <v>5</v>
      </c>
      <c r="S248" s="47">
        <v>258</v>
      </c>
      <c r="T248" s="47">
        <v>4</v>
      </c>
      <c r="U248" s="47">
        <v>48</v>
      </c>
      <c r="V248" s="47">
        <v>82</v>
      </c>
      <c r="W248" s="47">
        <v>965</v>
      </c>
      <c r="X248" s="47">
        <v>0</v>
      </c>
      <c r="Y248" s="47">
        <v>0</v>
      </c>
      <c r="Z248" s="47">
        <v>186</v>
      </c>
      <c r="AA248" s="47">
        <v>3624</v>
      </c>
      <c r="AB248" s="76">
        <f t="shared" si="6"/>
        <v>19.483870967741936</v>
      </c>
      <c r="AC248" s="76">
        <f t="shared" si="7"/>
        <v>0.14030197444831591</v>
      </c>
      <c r="AD248" s="47">
        <v>25830</v>
      </c>
    </row>
    <row r="249" spans="1:30" ht="15.75" thickBot="1" x14ac:dyDescent="0.3">
      <c r="A249" s="44" t="s">
        <v>1053</v>
      </c>
      <c r="B249" s="48" t="s">
        <v>1054</v>
      </c>
      <c r="C249" s="44" t="s">
        <v>803</v>
      </c>
      <c r="D249" s="47">
        <v>140</v>
      </c>
      <c r="E249" s="47">
        <v>3157</v>
      </c>
      <c r="F249" s="47">
        <v>19</v>
      </c>
      <c r="G249" s="47">
        <v>176</v>
      </c>
      <c r="H249" s="47">
        <v>27</v>
      </c>
      <c r="I249" s="47">
        <v>1610</v>
      </c>
      <c r="J249" s="47">
        <v>10</v>
      </c>
      <c r="K249" s="47">
        <v>87</v>
      </c>
      <c r="L249" s="47">
        <v>237</v>
      </c>
      <c r="M249" s="47">
        <v>21</v>
      </c>
      <c r="N249" s="47">
        <v>258</v>
      </c>
      <c r="O249" s="47">
        <v>167</v>
      </c>
      <c r="P249" s="47">
        <v>4767</v>
      </c>
      <c r="Q249" s="44" t="s">
        <v>1643</v>
      </c>
      <c r="R249" s="47">
        <v>37</v>
      </c>
      <c r="S249" s="47">
        <v>478</v>
      </c>
      <c r="T249" s="47">
        <v>29</v>
      </c>
      <c r="U249" s="47">
        <v>263</v>
      </c>
      <c r="V249" s="47">
        <v>157</v>
      </c>
      <c r="W249" s="47">
        <v>426</v>
      </c>
      <c r="X249" s="47">
        <v>235</v>
      </c>
      <c r="Y249" s="47">
        <v>3110</v>
      </c>
      <c r="Z249" s="47">
        <v>588</v>
      </c>
      <c r="AA249" s="47">
        <v>8566</v>
      </c>
      <c r="AB249" s="76">
        <f t="shared" si="6"/>
        <v>14.568027210884354</v>
      </c>
      <c r="AC249" s="76">
        <f t="shared" si="7"/>
        <v>0.6019676739283204</v>
      </c>
      <c r="AD249" s="47">
        <v>14230</v>
      </c>
    </row>
    <row r="250" spans="1:30" ht="15.75" thickBot="1" x14ac:dyDescent="0.3">
      <c r="A250" s="44" t="s">
        <v>1055</v>
      </c>
      <c r="B250" s="48" t="s">
        <v>1056</v>
      </c>
      <c r="C250" s="44" t="s">
        <v>803</v>
      </c>
      <c r="D250" s="47">
        <v>307</v>
      </c>
      <c r="E250" s="47">
        <v>11673</v>
      </c>
      <c r="F250" s="47">
        <v>102</v>
      </c>
      <c r="G250" s="47">
        <v>1078</v>
      </c>
      <c r="H250" s="47">
        <v>15</v>
      </c>
      <c r="I250" s="47">
        <v>1523</v>
      </c>
      <c r="J250" s="47">
        <v>2</v>
      </c>
      <c r="K250" s="47">
        <v>435</v>
      </c>
      <c r="L250" s="47">
        <v>248</v>
      </c>
      <c r="M250" s="47">
        <v>33</v>
      </c>
      <c r="N250" s="47">
        <v>281</v>
      </c>
      <c r="O250" s="47">
        <v>322</v>
      </c>
      <c r="P250" s="47">
        <v>13196</v>
      </c>
      <c r="Q250" s="44" t="s">
        <v>1643</v>
      </c>
      <c r="R250" s="47">
        <v>240</v>
      </c>
      <c r="S250" s="47">
        <v>9596</v>
      </c>
      <c r="T250" s="47">
        <v>104</v>
      </c>
      <c r="U250" s="47">
        <v>1513</v>
      </c>
      <c r="V250" s="47">
        <v>128</v>
      </c>
      <c r="W250" s="47">
        <v>2453</v>
      </c>
      <c r="X250" s="47">
        <v>12</v>
      </c>
      <c r="Y250" s="47">
        <v>532</v>
      </c>
      <c r="Z250" s="47">
        <v>566</v>
      </c>
      <c r="AA250" s="47">
        <v>17694</v>
      </c>
      <c r="AB250" s="76">
        <f t="shared" si="6"/>
        <v>31.261484098939928</v>
      </c>
      <c r="AC250" s="76">
        <f t="shared" si="7"/>
        <v>0.88914572864321606</v>
      </c>
      <c r="AD250" s="47">
        <v>19900</v>
      </c>
    </row>
    <row r="251" spans="1:30" ht="15.75" thickBot="1" x14ac:dyDescent="0.3">
      <c r="A251" s="44" t="s">
        <v>1059</v>
      </c>
      <c r="B251" s="48" t="s">
        <v>1060</v>
      </c>
      <c r="C251" s="44" t="s">
        <v>803</v>
      </c>
      <c r="D251" s="47">
        <v>94</v>
      </c>
      <c r="E251" s="47">
        <v>3682</v>
      </c>
      <c r="F251" s="47">
        <v>21</v>
      </c>
      <c r="G251" s="47">
        <v>494</v>
      </c>
      <c r="H251" s="47">
        <v>62</v>
      </c>
      <c r="I251" s="47">
        <v>2351</v>
      </c>
      <c r="J251" s="47">
        <v>8</v>
      </c>
      <c r="K251" s="47">
        <v>315</v>
      </c>
      <c r="L251" s="47">
        <v>457</v>
      </c>
      <c r="M251" s="47">
        <v>209</v>
      </c>
      <c r="N251" s="47">
        <v>666</v>
      </c>
      <c r="O251" s="47">
        <v>156</v>
      </c>
      <c r="P251" s="47">
        <v>6033</v>
      </c>
      <c r="Q251" s="44" t="s">
        <v>1643</v>
      </c>
      <c r="R251" s="47">
        <v>85</v>
      </c>
      <c r="S251" s="47">
        <v>1967</v>
      </c>
      <c r="T251" s="47">
        <v>29</v>
      </c>
      <c r="U251" s="47">
        <v>809</v>
      </c>
      <c r="V251" s="47">
        <v>48</v>
      </c>
      <c r="W251" s="47">
        <v>474</v>
      </c>
      <c r="X251" s="47">
        <v>37</v>
      </c>
      <c r="Y251" s="47">
        <v>1820</v>
      </c>
      <c r="Z251" s="47">
        <v>270</v>
      </c>
      <c r="AA251" s="47">
        <v>9136</v>
      </c>
      <c r="AB251" s="76">
        <f t="shared" si="6"/>
        <v>33.837037037037035</v>
      </c>
      <c r="AC251" s="76">
        <f t="shared" si="7"/>
        <v>0.51832520140701233</v>
      </c>
      <c r="AD251" s="47">
        <v>17626</v>
      </c>
    </row>
    <row r="252" spans="1:30" ht="15.75" thickBot="1" x14ac:dyDescent="0.3">
      <c r="A252" s="44" t="s">
        <v>1061</v>
      </c>
      <c r="B252" s="48" t="s">
        <v>1062</v>
      </c>
      <c r="C252" s="44" t="s">
        <v>803</v>
      </c>
      <c r="D252" s="47">
        <v>147</v>
      </c>
      <c r="E252" s="47">
        <v>2003</v>
      </c>
      <c r="F252" s="47">
        <v>4</v>
      </c>
      <c r="G252" s="47">
        <v>11</v>
      </c>
      <c r="H252" s="47">
        <v>11</v>
      </c>
      <c r="I252" s="47">
        <v>129</v>
      </c>
      <c r="J252" s="47">
        <v>4</v>
      </c>
      <c r="K252" s="47">
        <v>9</v>
      </c>
      <c r="L252" s="47">
        <v>152</v>
      </c>
      <c r="M252" s="47">
        <v>35</v>
      </c>
      <c r="N252" s="47">
        <v>187</v>
      </c>
      <c r="O252" s="47">
        <v>158</v>
      </c>
      <c r="P252" s="47">
        <v>2132</v>
      </c>
      <c r="Q252" s="44" t="s">
        <v>1643</v>
      </c>
      <c r="R252" s="47">
        <v>121</v>
      </c>
      <c r="S252" s="47">
        <v>1770</v>
      </c>
      <c r="T252" s="47">
        <v>8</v>
      </c>
      <c r="U252" s="47">
        <v>20</v>
      </c>
      <c r="V252" s="47">
        <v>28</v>
      </c>
      <c r="W252" s="47">
        <v>246</v>
      </c>
      <c r="X252" s="47">
        <v>0</v>
      </c>
      <c r="Y252" s="47">
        <v>0</v>
      </c>
      <c r="Z252" s="47">
        <v>194</v>
      </c>
      <c r="AA252" s="47">
        <v>2398</v>
      </c>
      <c r="AB252" s="76">
        <f t="shared" si="6"/>
        <v>12.360824742268042</v>
      </c>
      <c r="AC252" s="76">
        <f t="shared" si="7"/>
        <v>0.13454525051899233</v>
      </c>
      <c r="AD252" s="47">
        <v>17823</v>
      </c>
    </row>
    <row r="253" spans="1:30" ht="15.75" thickBot="1" x14ac:dyDescent="0.3">
      <c r="A253" s="44" t="s">
        <v>1067</v>
      </c>
      <c r="B253" s="48" t="s">
        <v>1068</v>
      </c>
      <c r="C253" s="44" t="s">
        <v>803</v>
      </c>
      <c r="D253" s="47">
        <v>186</v>
      </c>
      <c r="E253" s="47">
        <v>4321</v>
      </c>
      <c r="F253" s="47">
        <v>57</v>
      </c>
      <c r="G253" s="47">
        <v>3306</v>
      </c>
      <c r="H253" s="47">
        <v>28</v>
      </c>
      <c r="I253" s="47">
        <v>506</v>
      </c>
      <c r="J253" s="47">
        <v>8</v>
      </c>
      <c r="K253" s="47">
        <v>69</v>
      </c>
      <c r="L253" s="47">
        <v>125</v>
      </c>
      <c r="M253" s="47">
        <v>38</v>
      </c>
      <c r="N253" s="47">
        <v>163</v>
      </c>
      <c r="O253" s="47">
        <v>214</v>
      </c>
      <c r="P253" s="47">
        <v>4827</v>
      </c>
      <c r="Q253" s="44" t="s">
        <v>1643</v>
      </c>
      <c r="R253" s="47">
        <v>114</v>
      </c>
      <c r="S253" s="47">
        <v>1716</v>
      </c>
      <c r="T253" s="47">
        <v>65</v>
      </c>
      <c r="U253" s="47">
        <v>3375</v>
      </c>
      <c r="V253" s="47">
        <v>197</v>
      </c>
      <c r="W253" s="47">
        <v>2122</v>
      </c>
      <c r="X253" s="47">
        <v>17</v>
      </c>
      <c r="Y253" s="47">
        <v>602</v>
      </c>
      <c r="Z253" s="47">
        <v>493</v>
      </c>
      <c r="AA253" s="47">
        <v>10926</v>
      </c>
      <c r="AB253" s="76">
        <f t="shared" si="6"/>
        <v>22.162271805273832</v>
      </c>
      <c r="AC253" s="76">
        <f t="shared" si="7"/>
        <v>0.64014530114834778</v>
      </c>
      <c r="AD253" s="47">
        <v>17068</v>
      </c>
    </row>
    <row r="254" spans="1:30" ht="15.75" thickBot="1" x14ac:dyDescent="0.3">
      <c r="A254" s="44" t="s">
        <v>1073</v>
      </c>
      <c r="B254" s="48" t="s">
        <v>1074</v>
      </c>
      <c r="C254" s="44" t="s">
        <v>803</v>
      </c>
      <c r="D254" s="47">
        <v>114</v>
      </c>
      <c r="E254" s="47">
        <v>1205</v>
      </c>
      <c r="F254" s="47">
        <v>31</v>
      </c>
      <c r="G254" s="47">
        <v>342</v>
      </c>
      <c r="H254" s="47">
        <v>6</v>
      </c>
      <c r="I254" s="47">
        <v>93</v>
      </c>
      <c r="J254" s="47">
        <v>5</v>
      </c>
      <c r="K254" s="47">
        <v>19</v>
      </c>
      <c r="L254" s="47">
        <v>110</v>
      </c>
      <c r="M254" s="47">
        <v>17</v>
      </c>
      <c r="N254" s="47">
        <v>127</v>
      </c>
      <c r="O254" s="47">
        <v>120</v>
      </c>
      <c r="P254" s="47">
        <v>1298</v>
      </c>
      <c r="Q254" s="44" t="s">
        <v>1643</v>
      </c>
      <c r="R254" s="47">
        <v>61</v>
      </c>
      <c r="S254" s="47">
        <v>462</v>
      </c>
      <c r="T254" s="47">
        <v>36</v>
      </c>
      <c r="U254" s="47">
        <v>361</v>
      </c>
      <c r="V254" s="47">
        <v>87</v>
      </c>
      <c r="W254" s="47">
        <v>755</v>
      </c>
      <c r="X254" s="47">
        <v>76</v>
      </c>
      <c r="Y254" s="47">
        <v>1174</v>
      </c>
      <c r="Z254" s="47">
        <v>319</v>
      </c>
      <c r="AA254" s="47">
        <v>3588</v>
      </c>
      <c r="AB254" s="76">
        <f t="shared" si="6"/>
        <v>11.247648902821316</v>
      </c>
      <c r="AC254" s="76">
        <f t="shared" si="7"/>
        <v>0.24779005524861877</v>
      </c>
      <c r="AD254" s="47">
        <v>14480</v>
      </c>
    </row>
    <row r="255" spans="1:30" ht="15.75" thickBot="1" x14ac:dyDescent="0.3">
      <c r="A255" s="44" t="s">
        <v>1077</v>
      </c>
      <c r="B255" s="48" t="s">
        <v>1078</v>
      </c>
      <c r="C255" s="44" t="s">
        <v>803</v>
      </c>
      <c r="D255" s="47">
        <v>91</v>
      </c>
      <c r="E255" s="47">
        <v>1746</v>
      </c>
      <c r="F255" s="47">
        <v>0</v>
      </c>
      <c r="G255" s="47">
        <v>0</v>
      </c>
      <c r="H255" s="47">
        <v>32</v>
      </c>
      <c r="I255" s="47">
        <v>1681</v>
      </c>
      <c r="J255" s="47">
        <v>8</v>
      </c>
      <c r="K255" s="47">
        <v>57</v>
      </c>
      <c r="L255" s="47">
        <v>458</v>
      </c>
      <c r="M255" s="47">
        <v>54</v>
      </c>
      <c r="N255" s="47">
        <v>512</v>
      </c>
      <c r="O255" s="47">
        <v>123</v>
      </c>
      <c r="P255" s="47">
        <v>3427</v>
      </c>
      <c r="Q255" s="44" t="s">
        <v>1643</v>
      </c>
      <c r="R255" s="47">
        <v>110</v>
      </c>
      <c r="S255" s="47">
        <v>2615</v>
      </c>
      <c r="T255" s="47">
        <v>8</v>
      </c>
      <c r="U255" s="47">
        <v>57</v>
      </c>
      <c r="V255" s="47">
        <v>41</v>
      </c>
      <c r="W255" s="47">
        <v>323</v>
      </c>
      <c r="X255" s="47">
        <v>0</v>
      </c>
      <c r="Y255" s="47">
        <v>0</v>
      </c>
      <c r="Z255" s="47">
        <v>172</v>
      </c>
      <c r="AA255" s="47">
        <v>3807</v>
      </c>
      <c r="AB255" s="76">
        <f t="shared" si="6"/>
        <v>22.13372093023256</v>
      </c>
      <c r="AC255" s="76">
        <f t="shared" si="7"/>
        <v>0.28568212516884284</v>
      </c>
      <c r="AD255" s="47">
        <v>13326</v>
      </c>
    </row>
    <row r="256" spans="1:30" ht="15.75" thickBot="1" x14ac:dyDescent="0.3">
      <c r="A256" s="44" t="s">
        <v>1079</v>
      </c>
      <c r="B256" s="48" t="s">
        <v>1080</v>
      </c>
      <c r="C256" s="44" t="s">
        <v>803</v>
      </c>
      <c r="D256" s="47">
        <v>4</v>
      </c>
      <c r="E256" s="47">
        <v>1112</v>
      </c>
      <c r="F256" s="47">
        <v>0</v>
      </c>
      <c r="G256" s="47">
        <v>0</v>
      </c>
      <c r="H256" s="47">
        <v>7</v>
      </c>
      <c r="I256" s="47">
        <v>203</v>
      </c>
      <c r="J256" s="47">
        <v>0</v>
      </c>
      <c r="K256" s="47">
        <v>0</v>
      </c>
      <c r="L256" s="47">
        <v>194</v>
      </c>
      <c r="M256" s="47">
        <v>58</v>
      </c>
      <c r="N256" s="47">
        <v>252</v>
      </c>
      <c r="O256" s="47">
        <v>11</v>
      </c>
      <c r="P256" s="47">
        <v>1315</v>
      </c>
      <c r="Q256" s="44" t="s">
        <v>1643</v>
      </c>
      <c r="R256" s="47">
        <v>1</v>
      </c>
      <c r="S256" s="47">
        <v>922</v>
      </c>
      <c r="T256" s="47">
        <v>0</v>
      </c>
      <c r="U256" s="47">
        <v>0</v>
      </c>
      <c r="V256" s="47">
        <v>0</v>
      </c>
      <c r="W256" s="47">
        <v>0</v>
      </c>
      <c r="X256" s="47">
        <v>1</v>
      </c>
      <c r="Y256" s="47">
        <v>218</v>
      </c>
      <c r="Z256" s="47">
        <v>12</v>
      </c>
      <c r="AA256" s="47">
        <v>1533</v>
      </c>
      <c r="AB256" s="76">
        <f t="shared" si="6"/>
        <v>127.75</v>
      </c>
      <c r="AC256" s="76">
        <f t="shared" si="7"/>
        <v>0.11273716723047507</v>
      </c>
      <c r="AD256" s="47">
        <v>13598</v>
      </c>
    </row>
    <row r="257" spans="1:30" ht="15.75" thickBot="1" x14ac:dyDescent="0.3">
      <c r="A257" s="44" t="s">
        <v>1097</v>
      </c>
      <c r="B257" s="48" t="s">
        <v>1098</v>
      </c>
      <c r="C257" s="44" t="s">
        <v>803</v>
      </c>
      <c r="D257" s="47">
        <v>132</v>
      </c>
      <c r="E257" s="47">
        <v>3575</v>
      </c>
      <c r="F257" s="47">
        <v>0</v>
      </c>
      <c r="G257" s="47">
        <v>0</v>
      </c>
      <c r="H257" s="47">
        <v>6</v>
      </c>
      <c r="I257" s="47">
        <v>278</v>
      </c>
      <c r="J257" s="47">
        <v>3</v>
      </c>
      <c r="K257" s="47">
        <v>21</v>
      </c>
      <c r="L257" s="47">
        <v>421</v>
      </c>
      <c r="M257" s="44">
        <v>0</v>
      </c>
      <c r="N257" s="47">
        <v>421</v>
      </c>
      <c r="O257" s="47">
        <v>138</v>
      </c>
      <c r="P257" s="47">
        <v>3853</v>
      </c>
      <c r="Q257" s="44" t="s">
        <v>1643</v>
      </c>
      <c r="R257" s="47">
        <v>16</v>
      </c>
      <c r="S257" s="47">
        <v>498</v>
      </c>
      <c r="T257" s="47">
        <v>3</v>
      </c>
      <c r="U257" s="47">
        <v>21</v>
      </c>
      <c r="V257" s="47">
        <v>21</v>
      </c>
      <c r="W257" s="47">
        <v>645</v>
      </c>
      <c r="X257" s="47">
        <v>7</v>
      </c>
      <c r="Y257" s="47">
        <v>485</v>
      </c>
      <c r="Z257" s="47">
        <v>169</v>
      </c>
      <c r="AA257" s="47">
        <v>5004</v>
      </c>
      <c r="AB257" s="76">
        <f t="shared" si="6"/>
        <v>29.609467455621303</v>
      </c>
      <c r="AC257" s="76">
        <f t="shared" si="7"/>
        <v>0.19476879962634283</v>
      </c>
      <c r="AD257" s="47">
        <v>25692</v>
      </c>
    </row>
    <row r="258" spans="1:30" ht="15.75" thickBot="1" x14ac:dyDescent="0.3">
      <c r="A258" s="44" t="s">
        <v>1105</v>
      </c>
      <c r="B258" s="48" t="s">
        <v>1106</v>
      </c>
      <c r="C258" s="44" t="s">
        <v>803</v>
      </c>
      <c r="D258" s="47">
        <v>199</v>
      </c>
      <c r="E258" s="47">
        <v>9566</v>
      </c>
      <c r="F258" s="47">
        <v>3</v>
      </c>
      <c r="G258" s="47">
        <v>49</v>
      </c>
      <c r="H258" s="47">
        <v>61</v>
      </c>
      <c r="I258" s="47">
        <v>5516</v>
      </c>
      <c r="J258" s="47">
        <v>0</v>
      </c>
      <c r="K258" s="47">
        <v>0</v>
      </c>
      <c r="L258" s="47">
        <v>792</v>
      </c>
      <c r="M258" s="47">
        <v>52</v>
      </c>
      <c r="N258" s="47">
        <v>844</v>
      </c>
      <c r="O258" s="47">
        <v>260</v>
      </c>
      <c r="P258" s="47">
        <v>15082</v>
      </c>
      <c r="Q258" s="44" t="s">
        <v>1643</v>
      </c>
      <c r="R258" s="47">
        <v>68</v>
      </c>
      <c r="S258" s="47">
        <v>2062</v>
      </c>
      <c r="T258" s="47">
        <v>3</v>
      </c>
      <c r="U258" s="47">
        <v>49</v>
      </c>
      <c r="V258" s="47">
        <v>34</v>
      </c>
      <c r="W258" s="47">
        <v>331</v>
      </c>
      <c r="X258" s="47">
        <v>51</v>
      </c>
      <c r="Y258" s="47">
        <v>3169</v>
      </c>
      <c r="Z258" s="47">
        <v>348</v>
      </c>
      <c r="AA258" s="47">
        <v>18631</v>
      </c>
      <c r="AB258" s="76">
        <f t="shared" si="6"/>
        <v>53.537356321839077</v>
      </c>
      <c r="AC258" s="76">
        <f t="shared" si="7"/>
        <v>1.1674290369070743</v>
      </c>
      <c r="AD258" s="47">
        <v>15959</v>
      </c>
    </row>
    <row r="259" spans="1:30" ht="15.75" thickBot="1" x14ac:dyDescent="0.3">
      <c r="A259" s="44" t="s">
        <v>1115</v>
      </c>
      <c r="B259" s="48" t="s">
        <v>1116</v>
      </c>
      <c r="C259" s="44" t="s">
        <v>803</v>
      </c>
      <c r="D259" s="47">
        <v>110</v>
      </c>
      <c r="E259" s="47">
        <v>1761</v>
      </c>
      <c r="F259" s="47">
        <v>0</v>
      </c>
      <c r="G259" s="47">
        <v>0</v>
      </c>
      <c r="H259" s="47">
        <v>28</v>
      </c>
      <c r="I259" s="47">
        <v>955</v>
      </c>
      <c r="J259" s="47">
        <v>0</v>
      </c>
      <c r="K259" s="47">
        <v>0</v>
      </c>
      <c r="L259" s="47">
        <v>272</v>
      </c>
      <c r="M259" s="47">
        <v>0</v>
      </c>
      <c r="N259" s="47">
        <v>272</v>
      </c>
      <c r="O259" s="47">
        <v>138</v>
      </c>
      <c r="P259" s="47">
        <v>2716</v>
      </c>
      <c r="Q259" s="44" t="s">
        <v>1643</v>
      </c>
      <c r="R259" s="47">
        <v>107</v>
      </c>
      <c r="S259" s="47">
        <v>1467</v>
      </c>
      <c r="T259" s="47">
        <v>0</v>
      </c>
      <c r="U259" s="47">
        <v>0</v>
      </c>
      <c r="V259" s="47">
        <v>80</v>
      </c>
      <c r="W259" s="47">
        <v>1915</v>
      </c>
      <c r="X259" s="47">
        <v>7</v>
      </c>
      <c r="Y259" s="47">
        <v>1326</v>
      </c>
      <c r="Z259" s="47">
        <v>225</v>
      </c>
      <c r="AA259" s="47">
        <v>5957</v>
      </c>
      <c r="AB259" s="76">
        <f t="shared" si="6"/>
        <v>26.475555555555555</v>
      </c>
      <c r="AC259" s="76">
        <f t="shared" si="7"/>
        <v>0.28145523269548783</v>
      </c>
      <c r="AD259" s="47">
        <v>21165</v>
      </c>
    </row>
    <row r="260" spans="1:30" ht="15.75" thickBot="1" x14ac:dyDescent="0.3">
      <c r="A260" s="44" t="s">
        <v>1117</v>
      </c>
      <c r="B260" s="48" t="s">
        <v>1118</v>
      </c>
      <c r="C260" s="44" t="s">
        <v>803</v>
      </c>
      <c r="D260" s="47">
        <v>111</v>
      </c>
      <c r="E260" s="47">
        <v>2388</v>
      </c>
      <c r="F260" s="47">
        <v>14</v>
      </c>
      <c r="G260" s="47">
        <v>118</v>
      </c>
      <c r="H260" s="47">
        <v>18</v>
      </c>
      <c r="I260" s="47">
        <v>339</v>
      </c>
      <c r="J260" s="47">
        <v>13</v>
      </c>
      <c r="K260" s="47">
        <v>101</v>
      </c>
      <c r="L260" s="47">
        <v>125</v>
      </c>
      <c r="M260" s="47">
        <v>37</v>
      </c>
      <c r="N260" s="47">
        <v>162</v>
      </c>
      <c r="O260" s="47">
        <v>129</v>
      </c>
      <c r="P260" s="47">
        <v>2727</v>
      </c>
      <c r="Q260" s="44" t="s">
        <v>1643</v>
      </c>
      <c r="R260" s="47">
        <v>21</v>
      </c>
      <c r="S260" s="47">
        <v>218</v>
      </c>
      <c r="T260" s="47">
        <v>27</v>
      </c>
      <c r="U260" s="47">
        <v>219</v>
      </c>
      <c r="V260" s="47">
        <v>142</v>
      </c>
      <c r="W260" s="47">
        <v>1599</v>
      </c>
      <c r="X260" s="47">
        <v>34</v>
      </c>
      <c r="Y260" s="47">
        <v>1689</v>
      </c>
      <c r="Z260" s="47">
        <v>332</v>
      </c>
      <c r="AA260" s="47">
        <v>6234</v>
      </c>
      <c r="AB260" s="76">
        <f t="shared" si="6"/>
        <v>18.777108433734941</v>
      </c>
      <c r="AC260" s="76">
        <f t="shared" si="7"/>
        <v>0.27801810640859831</v>
      </c>
      <c r="AD260" s="47">
        <v>22423</v>
      </c>
    </row>
    <row r="261" spans="1:30" ht="15.75" thickBot="1" x14ac:dyDescent="0.3">
      <c r="A261" s="44" t="s">
        <v>1121</v>
      </c>
      <c r="B261" s="48" t="s">
        <v>1122</v>
      </c>
      <c r="C261" s="44" t="s">
        <v>803</v>
      </c>
      <c r="D261" s="47">
        <v>84</v>
      </c>
      <c r="E261" s="47">
        <v>403</v>
      </c>
      <c r="F261" s="47">
        <v>14</v>
      </c>
      <c r="G261" s="47">
        <v>67</v>
      </c>
      <c r="H261" s="47">
        <v>32</v>
      </c>
      <c r="I261" s="47">
        <v>349</v>
      </c>
      <c r="J261" s="47">
        <v>6</v>
      </c>
      <c r="K261" s="47">
        <v>25</v>
      </c>
      <c r="L261" s="47">
        <v>111</v>
      </c>
      <c r="M261" s="47">
        <v>22</v>
      </c>
      <c r="N261" s="47">
        <v>133</v>
      </c>
      <c r="O261" s="47">
        <v>116</v>
      </c>
      <c r="P261" s="47">
        <v>752</v>
      </c>
      <c r="Q261" s="44" t="s">
        <v>1643</v>
      </c>
      <c r="R261" s="47">
        <v>19</v>
      </c>
      <c r="S261" s="47">
        <v>105</v>
      </c>
      <c r="T261" s="47">
        <v>20</v>
      </c>
      <c r="U261" s="47">
        <v>92</v>
      </c>
      <c r="V261" s="47">
        <v>44</v>
      </c>
      <c r="W261" s="47">
        <v>418</v>
      </c>
      <c r="X261" s="47">
        <v>8</v>
      </c>
      <c r="Y261" s="47">
        <v>248</v>
      </c>
      <c r="Z261" s="47">
        <v>188</v>
      </c>
      <c r="AA261" s="47">
        <v>1510</v>
      </c>
      <c r="AB261" s="76">
        <f t="shared" ref="AB261:AB324" si="8">AA261/Z261</f>
        <v>8.0319148936170208</v>
      </c>
      <c r="AC261" s="76">
        <f t="shared" ref="AC261:AC324" si="9">AA261/AD261</f>
        <v>0.10606912053947738</v>
      </c>
      <c r="AD261" s="47">
        <v>14236</v>
      </c>
    </row>
    <row r="262" spans="1:30" ht="15.75" thickBot="1" x14ac:dyDescent="0.3">
      <c r="A262" s="44" t="s">
        <v>1123</v>
      </c>
      <c r="B262" s="48" t="s">
        <v>1124</v>
      </c>
      <c r="C262" s="44" t="s">
        <v>803</v>
      </c>
      <c r="D262" s="47">
        <v>142</v>
      </c>
      <c r="E262" s="47">
        <v>5159</v>
      </c>
      <c r="F262" s="47">
        <v>22</v>
      </c>
      <c r="G262" s="47">
        <v>317</v>
      </c>
      <c r="H262" s="47">
        <v>61</v>
      </c>
      <c r="I262" s="47">
        <v>2707</v>
      </c>
      <c r="J262" s="47">
        <v>10</v>
      </c>
      <c r="K262" s="47">
        <v>54</v>
      </c>
      <c r="L262" s="47">
        <v>169</v>
      </c>
      <c r="M262" s="47">
        <v>43</v>
      </c>
      <c r="N262" s="47">
        <v>212</v>
      </c>
      <c r="O262" s="47">
        <v>203</v>
      </c>
      <c r="P262" s="47">
        <v>7866</v>
      </c>
      <c r="Q262" s="44" t="s">
        <v>1643</v>
      </c>
      <c r="R262" s="47">
        <v>48</v>
      </c>
      <c r="S262" s="47">
        <v>675</v>
      </c>
      <c r="T262" s="47">
        <v>32</v>
      </c>
      <c r="U262" s="47">
        <v>371</v>
      </c>
      <c r="V262" s="47">
        <v>52</v>
      </c>
      <c r="W262" s="47">
        <v>895</v>
      </c>
      <c r="X262" s="47">
        <v>13</v>
      </c>
      <c r="Y262" s="47">
        <v>123</v>
      </c>
      <c r="Z262" s="47">
        <v>300</v>
      </c>
      <c r="AA262" s="47">
        <v>9255</v>
      </c>
      <c r="AB262" s="76">
        <f t="shared" si="8"/>
        <v>30.85</v>
      </c>
      <c r="AC262" s="76">
        <f t="shared" si="9"/>
        <v>0.71633126934984526</v>
      </c>
      <c r="AD262" s="47">
        <v>12920</v>
      </c>
    </row>
    <row r="263" spans="1:30" ht="15.75" thickBot="1" x14ac:dyDescent="0.3">
      <c r="A263" s="44" t="s">
        <v>1125</v>
      </c>
      <c r="B263" s="48" t="s">
        <v>1126</v>
      </c>
      <c r="C263" s="44" t="s">
        <v>803</v>
      </c>
      <c r="D263" s="47">
        <v>155</v>
      </c>
      <c r="E263" s="47">
        <v>2856</v>
      </c>
      <c r="F263" s="47">
        <v>1</v>
      </c>
      <c r="G263" s="47">
        <v>9</v>
      </c>
      <c r="H263" s="47">
        <v>5</v>
      </c>
      <c r="I263" s="47">
        <v>244</v>
      </c>
      <c r="J263" s="47">
        <v>0</v>
      </c>
      <c r="K263" s="47">
        <v>0</v>
      </c>
      <c r="L263" s="47">
        <v>138</v>
      </c>
      <c r="M263" s="47">
        <v>18</v>
      </c>
      <c r="N263" s="47">
        <v>156</v>
      </c>
      <c r="O263" s="47">
        <v>160</v>
      </c>
      <c r="P263" s="47">
        <v>3100</v>
      </c>
      <c r="Q263" s="44" t="s">
        <v>1643</v>
      </c>
      <c r="R263" s="47">
        <v>90</v>
      </c>
      <c r="S263" s="47">
        <v>1627</v>
      </c>
      <c r="T263" s="47">
        <v>1</v>
      </c>
      <c r="U263" s="47">
        <v>9</v>
      </c>
      <c r="V263" s="47">
        <v>92</v>
      </c>
      <c r="W263" s="47">
        <v>1475</v>
      </c>
      <c r="X263" s="47">
        <v>0</v>
      </c>
      <c r="Y263" s="47">
        <v>0</v>
      </c>
      <c r="Z263" s="47">
        <v>253</v>
      </c>
      <c r="AA263" s="47">
        <v>4584</v>
      </c>
      <c r="AB263" s="76">
        <f t="shared" si="8"/>
        <v>18.118577075098813</v>
      </c>
      <c r="AC263" s="76">
        <f t="shared" si="9"/>
        <v>0.18643998861186806</v>
      </c>
      <c r="AD263" s="47">
        <v>24587</v>
      </c>
    </row>
    <row r="264" spans="1:30" ht="15.75" thickBot="1" x14ac:dyDescent="0.3">
      <c r="A264" s="44" t="s">
        <v>1131</v>
      </c>
      <c r="B264" s="48" t="s">
        <v>1132</v>
      </c>
      <c r="C264" s="44" t="s">
        <v>803</v>
      </c>
      <c r="D264" s="47">
        <v>371</v>
      </c>
      <c r="E264" s="47">
        <v>3577</v>
      </c>
      <c r="F264" s="47">
        <v>19</v>
      </c>
      <c r="G264" s="47">
        <v>250</v>
      </c>
      <c r="H264" s="47">
        <v>11</v>
      </c>
      <c r="I264" s="47">
        <v>782</v>
      </c>
      <c r="J264" s="47">
        <v>1</v>
      </c>
      <c r="K264" s="47">
        <v>13</v>
      </c>
      <c r="L264" s="47">
        <v>492</v>
      </c>
      <c r="M264" s="47">
        <v>123</v>
      </c>
      <c r="N264" s="47">
        <v>615</v>
      </c>
      <c r="O264" s="47">
        <v>382</v>
      </c>
      <c r="P264" s="47">
        <v>4359</v>
      </c>
      <c r="Q264" s="44" t="s">
        <v>1643</v>
      </c>
      <c r="R264" s="47">
        <v>340</v>
      </c>
      <c r="S264" s="47">
        <v>2504</v>
      </c>
      <c r="T264" s="47">
        <v>20</v>
      </c>
      <c r="U264" s="47">
        <v>263</v>
      </c>
      <c r="V264" s="47">
        <v>266</v>
      </c>
      <c r="W264" s="47">
        <v>2865</v>
      </c>
      <c r="X264" s="47">
        <v>38</v>
      </c>
      <c r="Y264" s="47">
        <v>418</v>
      </c>
      <c r="Z264" s="47">
        <v>706</v>
      </c>
      <c r="AA264" s="47">
        <v>7905</v>
      </c>
      <c r="AB264" s="76">
        <f t="shared" si="8"/>
        <v>11.196883852691219</v>
      </c>
      <c r="AC264" s="76">
        <f t="shared" si="9"/>
        <v>0.59737021083654496</v>
      </c>
      <c r="AD264" s="47">
        <v>13233</v>
      </c>
    </row>
    <row r="265" spans="1:30" ht="15.75" thickBot="1" x14ac:dyDescent="0.3">
      <c r="A265" s="44" t="s">
        <v>1133</v>
      </c>
      <c r="B265" s="48" t="s">
        <v>1134</v>
      </c>
      <c r="C265" s="44" t="s">
        <v>803</v>
      </c>
      <c r="D265" s="47">
        <v>71</v>
      </c>
      <c r="E265" s="47">
        <v>1643</v>
      </c>
      <c r="F265" s="47">
        <v>40</v>
      </c>
      <c r="G265" s="47">
        <v>606</v>
      </c>
      <c r="H265" s="47">
        <v>8</v>
      </c>
      <c r="I265" s="47">
        <v>625</v>
      </c>
      <c r="J265" s="47">
        <v>4</v>
      </c>
      <c r="K265" s="47">
        <v>76</v>
      </c>
      <c r="L265" s="47">
        <v>179</v>
      </c>
      <c r="M265" s="47">
        <v>52</v>
      </c>
      <c r="N265" s="47">
        <v>231</v>
      </c>
      <c r="O265" s="47">
        <v>79</v>
      </c>
      <c r="P265" s="47">
        <v>2268</v>
      </c>
      <c r="Q265" s="44" t="s">
        <v>1643</v>
      </c>
      <c r="R265" s="47">
        <v>80</v>
      </c>
      <c r="S265" s="47">
        <v>1548</v>
      </c>
      <c r="T265" s="47">
        <v>44</v>
      </c>
      <c r="U265" s="47">
        <v>682</v>
      </c>
      <c r="V265" s="47">
        <v>136</v>
      </c>
      <c r="W265" s="47">
        <v>2455</v>
      </c>
      <c r="X265" s="47">
        <v>46</v>
      </c>
      <c r="Y265" s="47">
        <v>1642</v>
      </c>
      <c r="Z265" s="47">
        <v>305</v>
      </c>
      <c r="AA265" s="47">
        <v>7047</v>
      </c>
      <c r="AB265" s="76">
        <f t="shared" si="8"/>
        <v>23.104918032786884</v>
      </c>
      <c r="AC265" s="76">
        <f t="shared" si="9"/>
        <v>0.42911947387650712</v>
      </c>
      <c r="AD265" s="47">
        <v>16422</v>
      </c>
    </row>
    <row r="266" spans="1:30" ht="15.75" thickBot="1" x14ac:dyDescent="0.3">
      <c r="A266" s="44" t="s">
        <v>1141</v>
      </c>
      <c r="B266" s="48" t="s">
        <v>1142</v>
      </c>
      <c r="C266" s="44" t="s">
        <v>803</v>
      </c>
      <c r="D266" s="47">
        <v>159</v>
      </c>
      <c r="E266" s="47">
        <v>1575</v>
      </c>
      <c r="F266" s="47">
        <v>32</v>
      </c>
      <c r="G266" s="47">
        <v>284</v>
      </c>
      <c r="H266" s="47">
        <v>65</v>
      </c>
      <c r="I266" s="47">
        <v>1206</v>
      </c>
      <c r="J266" s="47">
        <v>11</v>
      </c>
      <c r="K266" s="47">
        <v>221</v>
      </c>
      <c r="L266" s="47">
        <v>410</v>
      </c>
      <c r="M266" s="47">
        <v>22</v>
      </c>
      <c r="N266" s="47">
        <v>432</v>
      </c>
      <c r="O266" s="47">
        <v>224</v>
      </c>
      <c r="P266" s="47">
        <v>2781</v>
      </c>
      <c r="Q266" s="44" t="s">
        <v>1643</v>
      </c>
      <c r="R266" s="47">
        <v>12</v>
      </c>
      <c r="S266" s="47">
        <v>259</v>
      </c>
      <c r="T266" s="47">
        <v>43</v>
      </c>
      <c r="U266" s="47">
        <v>505</v>
      </c>
      <c r="V266" s="47">
        <v>106</v>
      </c>
      <c r="W266" s="47">
        <v>771</v>
      </c>
      <c r="X266" s="47">
        <v>20</v>
      </c>
      <c r="Y266" s="47">
        <v>2671</v>
      </c>
      <c r="Z266" s="47">
        <v>393</v>
      </c>
      <c r="AA266" s="47">
        <v>6728</v>
      </c>
      <c r="AB266" s="76">
        <f t="shared" si="8"/>
        <v>17.119592875318066</v>
      </c>
      <c r="AC266" s="76">
        <f t="shared" si="9"/>
        <v>0.35038016873242372</v>
      </c>
      <c r="AD266" s="47">
        <v>19202</v>
      </c>
    </row>
    <row r="267" spans="1:30" ht="15.75" thickBot="1" x14ac:dyDescent="0.3">
      <c r="A267" s="44" t="s">
        <v>1145</v>
      </c>
      <c r="B267" s="48" t="s">
        <v>1146</v>
      </c>
      <c r="C267" s="44" t="s">
        <v>803</v>
      </c>
      <c r="D267" s="47">
        <v>67</v>
      </c>
      <c r="E267" s="47">
        <v>1734</v>
      </c>
      <c r="F267" s="47">
        <v>19</v>
      </c>
      <c r="G267" s="47">
        <v>142</v>
      </c>
      <c r="H267" s="47">
        <v>15</v>
      </c>
      <c r="I267" s="47">
        <v>1057</v>
      </c>
      <c r="J267" s="47">
        <v>8</v>
      </c>
      <c r="K267" s="47">
        <v>122</v>
      </c>
      <c r="L267" s="47">
        <v>244</v>
      </c>
      <c r="M267" s="47">
        <v>30</v>
      </c>
      <c r="N267" s="47">
        <v>274</v>
      </c>
      <c r="O267" s="47">
        <v>82</v>
      </c>
      <c r="P267" s="47">
        <v>2791</v>
      </c>
      <c r="Q267" s="44" t="s">
        <v>1643</v>
      </c>
      <c r="R267" s="47">
        <v>48</v>
      </c>
      <c r="S267" s="47">
        <v>1237</v>
      </c>
      <c r="T267" s="47">
        <v>27</v>
      </c>
      <c r="U267" s="47">
        <v>264</v>
      </c>
      <c r="V267" s="47">
        <v>31</v>
      </c>
      <c r="W267" s="47">
        <v>379</v>
      </c>
      <c r="X267" s="47">
        <v>8</v>
      </c>
      <c r="Y267" s="47">
        <v>129</v>
      </c>
      <c r="Z267" s="47">
        <v>148</v>
      </c>
      <c r="AA267" s="47">
        <v>3563</v>
      </c>
      <c r="AB267" s="76">
        <f t="shared" si="8"/>
        <v>24.074324324324323</v>
      </c>
      <c r="AC267" s="76">
        <f t="shared" si="9"/>
        <v>0.15432259182259181</v>
      </c>
      <c r="AD267" s="47">
        <v>23088</v>
      </c>
    </row>
    <row r="268" spans="1:30" ht="15.75" thickBot="1" x14ac:dyDescent="0.3">
      <c r="A268" s="44" t="s">
        <v>1153</v>
      </c>
      <c r="B268" s="48" t="s">
        <v>1154</v>
      </c>
      <c r="C268" s="44" t="s">
        <v>803</v>
      </c>
      <c r="D268" s="47">
        <v>103</v>
      </c>
      <c r="E268" s="47">
        <v>2919</v>
      </c>
      <c r="F268" s="47">
        <v>0</v>
      </c>
      <c r="G268" s="47">
        <v>0</v>
      </c>
      <c r="H268" s="47">
        <v>15</v>
      </c>
      <c r="I268" s="47">
        <v>482</v>
      </c>
      <c r="J268" s="47">
        <v>0</v>
      </c>
      <c r="K268" s="47">
        <v>0</v>
      </c>
      <c r="L268" s="47">
        <v>282</v>
      </c>
      <c r="M268" s="47">
        <v>0</v>
      </c>
      <c r="N268" s="47">
        <v>282</v>
      </c>
      <c r="O268" s="47">
        <v>118</v>
      </c>
      <c r="P268" s="47">
        <v>3401</v>
      </c>
      <c r="Q268" s="44" t="s">
        <v>1643</v>
      </c>
      <c r="R268" s="47">
        <v>39</v>
      </c>
      <c r="S268" s="47">
        <v>281</v>
      </c>
      <c r="T268" s="47">
        <v>0</v>
      </c>
      <c r="U268" s="47">
        <v>0</v>
      </c>
      <c r="V268" s="47">
        <v>125</v>
      </c>
      <c r="W268" s="47">
        <v>1149</v>
      </c>
      <c r="X268" s="44">
        <v>0</v>
      </c>
      <c r="Y268" s="44">
        <v>0</v>
      </c>
      <c r="Z268" s="47">
        <v>243</v>
      </c>
      <c r="AA268" s="47">
        <v>4550</v>
      </c>
      <c r="AB268" s="76">
        <f t="shared" si="8"/>
        <v>18.724279835390945</v>
      </c>
      <c r="AC268" s="76">
        <f t="shared" si="9"/>
        <v>0.2969586215898708</v>
      </c>
      <c r="AD268" s="47">
        <v>15322</v>
      </c>
    </row>
    <row r="269" spans="1:30" ht="15.75" thickBot="1" x14ac:dyDescent="0.3">
      <c r="A269" s="44" t="s">
        <v>1155</v>
      </c>
      <c r="B269" s="48" t="s">
        <v>1156</v>
      </c>
      <c r="C269" s="44" t="s">
        <v>803</v>
      </c>
      <c r="D269" s="47">
        <v>136</v>
      </c>
      <c r="E269" s="47">
        <v>3079</v>
      </c>
      <c r="F269" s="47">
        <v>12</v>
      </c>
      <c r="G269" s="47">
        <v>254</v>
      </c>
      <c r="H269" s="47">
        <v>50</v>
      </c>
      <c r="I269" s="47">
        <v>1397</v>
      </c>
      <c r="J269" s="47">
        <v>6</v>
      </c>
      <c r="K269" s="47">
        <v>286</v>
      </c>
      <c r="L269" s="47">
        <v>605</v>
      </c>
      <c r="M269" s="47">
        <v>208</v>
      </c>
      <c r="N269" s="47">
        <v>813</v>
      </c>
      <c r="O269" s="47">
        <v>186</v>
      </c>
      <c r="P269" s="47">
        <v>4476</v>
      </c>
      <c r="Q269" s="44" t="s">
        <v>1643</v>
      </c>
      <c r="R269" s="47">
        <v>138</v>
      </c>
      <c r="S269" s="47">
        <v>2614</v>
      </c>
      <c r="T269" s="47">
        <v>18</v>
      </c>
      <c r="U269" s="47">
        <v>540</v>
      </c>
      <c r="V269" s="47">
        <v>119</v>
      </c>
      <c r="W269" s="47">
        <v>923</v>
      </c>
      <c r="X269" s="47">
        <v>7</v>
      </c>
      <c r="Y269" s="47">
        <v>525</v>
      </c>
      <c r="Z269" s="47">
        <v>330</v>
      </c>
      <c r="AA269" s="47">
        <v>6464</v>
      </c>
      <c r="AB269" s="76">
        <f t="shared" si="8"/>
        <v>19.587878787878786</v>
      </c>
      <c r="AC269" s="76">
        <f t="shared" si="9"/>
        <v>0.29229030070088174</v>
      </c>
      <c r="AD269" s="47">
        <v>22115</v>
      </c>
    </row>
    <row r="270" spans="1:30" ht="15.75" thickBot="1" x14ac:dyDescent="0.3">
      <c r="A270" s="44" t="s">
        <v>1169</v>
      </c>
      <c r="B270" s="48" t="s">
        <v>1170</v>
      </c>
      <c r="C270" s="44" t="s">
        <v>803</v>
      </c>
      <c r="D270" s="47">
        <v>250</v>
      </c>
      <c r="E270" s="47">
        <v>4772</v>
      </c>
      <c r="F270" s="47">
        <v>92</v>
      </c>
      <c r="G270" s="47">
        <v>746</v>
      </c>
      <c r="H270" s="47">
        <v>8</v>
      </c>
      <c r="I270" s="47">
        <v>1904</v>
      </c>
      <c r="J270" s="47">
        <v>5</v>
      </c>
      <c r="K270" s="47">
        <v>123</v>
      </c>
      <c r="L270" s="47">
        <v>380</v>
      </c>
      <c r="M270" s="47">
        <v>125</v>
      </c>
      <c r="N270" s="47">
        <v>505</v>
      </c>
      <c r="O270" s="47">
        <v>258</v>
      </c>
      <c r="P270" s="47">
        <v>6676</v>
      </c>
      <c r="Q270" s="44" t="s">
        <v>1644</v>
      </c>
      <c r="R270" s="47">
        <v>0</v>
      </c>
      <c r="S270" s="47">
        <v>0</v>
      </c>
      <c r="T270" s="47">
        <v>97</v>
      </c>
      <c r="U270" s="47">
        <v>869</v>
      </c>
      <c r="V270" s="47">
        <v>73</v>
      </c>
      <c r="W270" s="47">
        <v>508</v>
      </c>
      <c r="X270" s="47">
        <v>22</v>
      </c>
      <c r="Y270" s="47">
        <v>3013</v>
      </c>
      <c r="Z270" s="47">
        <v>450</v>
      </c>
      <c r="AA270" s="47">
        <v>11066</v>
      </c>
      <c r="AB270" s="76">
        <f t="shared" si="8"/>
        <v>24.591111111111111</v>
      </c>
      <c r="AC270" s="76">
        <f t="shared" si="9"/>
        <v>0.5059668053586942</v>
      </c>
      <c r="AD270" s="47">
        <v>21871</v>
      </c>
    </row>
    <row r="271" spans="1:30" ht="15.75" thickBot="1" x14ac:dyDescent="0.3">
      <c r="A271" s="44" t="s">
        <v>1175</v>
      </c>
      <c r="B271" s="48" t="s">
        <v>1176</v>
      </c>
      <c r="C271" s="44" t="s">
        <v>803</v>
      </c>
      <c r="D271" s="47">
        <v>122</v>
      </c>
      <c r="E271" s="47">
        <v>3279</v>
      </c>
      <c r="F271" s="47">
        <v>27</v>
      </c>
      <c r="G271" s="47">
        <v>152</v>
      </c>
      <c r="H271" s="47">
        <v>18</v>
      </c>
      <c r="I271" s="47">
        <v>1284</v>
      </c>
      <c r="J271" s="47">
        <v>8</v>
      </c>
      <c r="K271" s="47">
        <v>168</v>
      </c>
      <c r="L271" s="47">
        <v>261</v>
      </c>
      <c r="M271" s="47">
        <v>52</v>
      </c>
      <c r="N271" s="47">
        <v>313</v>
      </c>
      <c r="O271" s="47">
        <v>140</v>
      </c>
      <c r="P271" s="47">
        <v>4563</v>
      </c>
      <c r="Q271" s="44" t="s">
        <v>1643</v>
      </c>
      <c r="R271" s="47">
        <v>73</v>
      </c>
      <c r="S271" s="47">
        <v>1570</v>
      </c>
      <c r="T271" s="47">
        <v>35</v>
      </c>
      <c r="U271" s="47">
        <v>320</v>
      </c>
      <c r="V271" s="47">
        <v>31</v>
      </c>
      <c r="W271" s="47">
        <v>111</v>
      </c>
      <c r="X271" s="47">
        <v>2</v>
      </c>
      <c r="Y271" s="47">
        <v>71</v>
      </c>
      <c r="Z271" s="47">
        <v>208</v>
      </c>
      <c r="AA271" s="47">
        <v>5065</v>
      </c>
      <c r="AB271" s="76">
        <f t="shared" si="8"/>
        <v>24.35096153846154</v>
      </c>
      <c r="AC271" s="76">
        <f t="shared" si="9"/>
        <v>0.3724264705882353</v>
      </c>
      <c r="AD271" s="47">
        <v>13600</v>
      </c>
    </row>
    <row r="272" spans="1:30" ht="15.75" thickBot="1" x14ac:dyDescent="0.3">
      <c r="A272" s="44" t="s">
        <v>1189</v>
      </c>
      <c r="B272" s="48" t="s">
        <v>1190</v>
      </c>
      <c r="C272" s="44" t="s">
        <v>803</v>
      </c>
      <c r="D272" s="47">
        <v>112</v>
      </c>
      <c r="E272" s="47">
        <v>3191</v>
      </c>
      <c r="F272" s="47">
        <v>28</v>
      </c>
      <c r="G272" s="47">
        <v>434</v>
      </c>
      <c r="H272" s="47">
        <v>10</v>
      </c>
      <c r="I272" s="47">
        <v>481</v>
      </c>
      <c r="J272" s="47">
        <v>8</v>
      </c>
      <c r="K272" s="47">
        <v>164</v>
      </c>
      <c r="L272" s="47">
        <v>0</v>
      </c>
      <c r="M272" s="47">
        <v>0</v>
      </c>
      <c r="N272" s="47">
        <v>0</v>
      </c>
      <c r="O272" s="47">
        <v>122</v>
      </c>
      <c r="P272" s="47">
        <v>3672</v>
      </c>
      <c r="Q272" s="44" t="s">
        <v>1643</v>
      </c>
      <c r="R272" s="47">
        <v>60</v>
      </c>
      <c r="S272" s="47">
        <v>1368</v>
      </c>
      <c r="T272" s="47">
        <v>36</v>
      </c>
      <c r="U272" s="47">
        <v>598</v>
      </c>
      <c r="V272" s="47">
        <v>137</v>
      </c>
      <c r="W272" s="47">
        <v>1391</v>
      </c>
      <c r="X272" s="47">
        <v>9</v>
      </c>
      <c r="Y272" s="47">
        <v>775</v>
      </c>
      <c r="Z272" s="47">
        <v>304</v>
      </c>
      <c r="AA272" s="47">
        <v>6436</v>
      </c>
      <c r="AB272" s="76">
        <f t="shared" si="8"/>
        <v>21.171052631578949</v>
      </c>
      <c r="AC272" s="76">
        <f t="shared" si="9"/>
        <v>0.37521133329446743</v>
      </c>
      <c r="AD272" s="47">
        <v>17153</v>
      </c>
    </row>
    <row r="273" spans="1:30" ht="15.75" thickBot="1" x14ac:dyDescent="0.3">
      <c r="A273" s="44" t="s">
        <v>1207</v>
      </c>
      <c r="B273" s="48" t="s">
        <v>1208</v>
      </c>
      <c r="C273" s="44" t="s">
        <v>803</v>
      </c>
      <c r="D273" s="47">
        <v>44</v>
      </c>
      <c r="E273" s="47">
        <v>285</v>
      </c>
      <c r="F273" s="47">
        <v>47</v>
      </c>
      <c r="G273" s="47">
        <v>126</v>
      </c>
      <c r="H273" s="47">
        <v>26</v>
      </c>
      <c r="I273" s="47">
        <v>203</v>
      </c>
      <c r="J273" s="44">
        <v>0</v>
      </c>
      <c r="K273" s="44">
        <v>0</v>
      </c>
      <c r="L273" s="47">
        <v>56</v>
      </c>
      <c r="M273" s="47">
        <v>20</v>
      </c>
      <c r="N273" s="47">
        <v>76</v>
      </c>
      <c r="O273" s="47">
        <v>70</v>
      </c>
      <c r="P273" s="47">
        <v>488</v>
      </c>
      <c r="Q273" s="44" t="s">
        <v>1643</v>
      </c>
      <c r="R273" s="47">
        <v>12</v>
      </c>
      <c r="S273" s="44">
        <v>0</v>
      </c>
      <c r="T273" s="47">
        <v>47</v>
      </c>
      <c r="U273" s="47">
        <v>126</v>
      </c>
      <c r="V273" s="47">
        <v>69</v>
      </c>
      <c r="W273" s="47">
        <v>395</v>
      </c>
      <c r="X273" s="44">
        <v>0</v>
      </c>
      <c r="Y273" s="44">
        <v>0</v>
      </c>
      <c r="Z273" s="47">
        <v>186</v>
      </c>
      <c r="AA273" s="47">
        <v>1009</v>
      </c>
      <c r="AB273" s="76">
        <f t="shared" si="8"/>
        <v>5.424731182795699</v>
      </c>
      <c r="AC273" s="76">
        <f t="shared" si="9"/>
        <v>3.9772951239701995E-2</v>
      </c>
      <c r="AD273" s="47">
        <v>25369</v>
      </c>
    </row>
    <row r="274" spans="1:30" ht="15.75" thickBot="1" x14ac:dyDescent="0.3">
      <c r="A274" s="44" t="s">
        <v>1223</v>
      </c>
      <c r="B274" s="48" t="s">
        <v>1224</v>
      </c>
      <c r="C274" s="44" t="s">
        <v>803</v>
      </c>
      <c r="D274" s="47">
        <v>204</v>
      </c>
      <c r="E274" s="47">
        <v>7556</v>
      </c>
      <c r="F274" s="47">
        <v>56</v>
      </c>
      <c r="G274" s="47">
        <v>472</v>
      </c>
      <c r="H274" s="47">
        <v>11</v>
      </c>
      <c r="I274" s="47">
        <v>1153</v>
      </c>
      <c r="J274" s="47">
        <v>14</v>
      </c>
      <c r="K274" s="47">
        <v>173</v>
      </c>
      <c r="L274" s="47">
        <v>585</v>
      </c>
      <c r="M274" s="47">
        <v>167</v>
      </c>
      <c r="N274" s="47">
        <v>752</v>
      </c>
      <c r="O274" s="47">
        <v>215</v>
      </c>
      <c r="P274" s="47">
        <v>8709</v>
      </c>
      <c r="Q274" s="44" t="s">
        <v>1643</v>
      </c>
      <c r="R274" s="47">
        <v>154</v>
      </c>
      <c r="S274" s="47">
        <v>5037</v>
      </c>
      <c r="T274" s="47">
        <v>70</v>
      </c>
      <c r="U274" s="47">
        <v>645</v>
      </c>
      <c r="V274" s="47">
        <v>162</v>
      </c>
      <c r="W274" s="47">
        <v>1031</v>
      </c>
      <c r="X274" s="47">
        <v>4</v>
      </c>
      <c r="Y274" s="47">
        <v>564</v>
      </c>
      <c r="Z274" s="47">
        <v>451</v>
      </c>
      <c r="AA274" s="47">
        <v>10949</v>
      </c>
      <c r="AB274" s="76">
        <f t="shared" si="8"/>
        <v>24.277161862527716</v>
      </c>
      <c r="AC274" s="76">
        <f t="shared" si="9"/>
        <v>0.49191302003773923</v>
      </c>
      <c r="AD274" s="47">
        <v>22258</v>
      </c>
    </row>
    <row r="275" spans="1:30" ht="15.75" thickBot="1" x14ac:dyDescent="0.3">
      <c r="A275" s="44" t="s">
        <v>1235</v>
      </c>
      <c r="B275" s="48" t="s">
        <v>1236</v>
      </c>
      <c r="C275" s="44" t="s">
        <v>803</v>
      </c>
      <c r="D275" s="47">
        <v>99</v>
      </c>
      <c r="E275" s="47">
        <v>2807</v>
      </c>
      <c r="F275" s="47">
        <v>13</v>
      </c>
      <c r="G275" s="47">
        <v>199</v>
      </c>
      <c r="H275" s="47">
        <v>40</v>
      </c>
      <c r="I275" s="47">
        <v>2492</v>
      </c>
      <c r="J275" s="47">
        <v>8</v>
      </c>
      <c r="K275" s="47">
        <v>214</v>
      </c>
      <c r="L275" s="47">
        <v>646</v>
      </c>
      <c r="M275" s="47">
        <v>152</v>
      </c>
      <c r="N275" s="47">
        <v>798</v>
      </c>
      <c r="O275" s="47">
        <v>139</v>
      </c>
      <c r="P275" s="47">
        <v>5299</v>
      </c>
      <c r="Q275" s="44" t="s">
        <v>1643</v>
      </c>
      <c r="R275" s="47">
        <v>89</v>
      </c>
      <c r="S275" s="47">
        <v>2402</v>
      </c>
      <c r="T275" s="47">
        <v>21</v>
      </c>
      <c r="U275" s="47">
        <v>413</v>
      </c>
      <c r="V275" s="47">
        <v>107</v>
      </c>
      <c r="W275" s="47">
        <v>1543</v>
      </c>
      <c r="X275" s="47">
        <v>20</v>
      </c>
      <c r="Y275" s="47">
        <v>777</v>
      </c>
      <c r="Z275" s="47">
        <v>287</v>
      </c>
      <c r="AA275" s="47">
        <v>8032</v>
      </c>
      <c r="AB275" s="76">
        <f t="shared" si="8"/>
        <v>27.986062717770036</v>
      </c>
      <c r="AC275" s="76">
        <f t="shared" si="9"/>
        <v>0.55221725678927469</v>
      </c>
      <c r="AD275" s="47">
        <v>14545</v>
      </c>
    </row>
    <row r="276" spans="1:30" ht="15.75" thickBot="1" x14ac:dyDescent="0.3">
      <c r="A276" s="44" t="s">
        <v>1241</v>
      </c>
      <c r="B276" s="48" t="s">
        <v>1242</v>
      </c>
      <c r="C276" s="44" t="s">
        <v>803</v>
      </c>
      <c r="D276" s="47">
        <v>189</v>
      </c>
      <c r="E276" s="47">
        <v>3110</v>
      </c>
      <c r="F276" s="47">
        <v>8</v>
      </c>
      <c r="G276" s="47">
        <v>78</v>
      </c>
      <c r="H276" s="47">
        <v>36</v>
      </c>
      <c r="I276" s="47">
        <v>1018</v>
      </c>
      <c r="J276" s="47">
        <v>1</v>
      </c>
      <c r="K276" s="47">
        <v>10</v>
      </c>
      <c r="L276" s="47">
        <v>171</v>
      </c>
      <c r="M276" s="47">
        <v>36</v>
      </c>
      <c r="N276" s="47">
        <v>207</v>
      </c>
      <c r="O276" s="47">
        <v>225</v>
      </c>
      <c r="P276" s="47">
        <v>4128</v>
      </c>
      <c r="Q276" s="44" t="s">
        <v>1643</v>
      </c>
      <c r="R276" s="47">
        <v>129</v>
      </c>
      <c r="S276" s="47">
        <v>1652</v>
      </c>
      <c r="T276" s="47">
        <v>9</v>
      </c>
      <c r="U276" s="47">
        <v>88</v>
      </c>
      <c r="V276" s="47">
        <v>104</v>
      </c>
      <c r="W276" s="47">
        <v>871</v>
      </c>
      <c r="X276" s="47">
        <v>19</v>
      </c>
      <c r="Y276" s="47">
        <v>501</v>
      </c>
      <c r="Z276" s="47">
        <v>357</v>
      </c>
      <c r="AA276" s="47">
        <v>5588</v>
      </c>
      <c r="AB276" s="76">
        <f t="shared" si="8"/>
        <v>15.65266106442577</v>
      </c>
      <c r="AC276" s="76">
        <f t="shared" si="9"/>
        <v>0.41540291406482305</v>
      </c>
      <c r="AD276" s="47">
        <v>13452</v>
      </c>
    </row>
    <row r="277" spans="1:30" ht="15.75" thickBot="1" x14ac:dyDescent="0.3">
      <c r="A277" s="44" t="s">
        <v>1255</v>
      </c>
      <c r="B277" s="48" t="s">
        <v>1256</v>
      </c>
      <c r="C277" s="44" t="s">
        <v>803</v>
      </c>
      <c r="D277" s="47">
        <v>208</v>
      </c>
      <c r="E277" s="47">
        <v>3431</v>
      </c>
      <c r="F277" s="47">
        <v>6</v>
      </c>
      <c r="G277" s="47">
        <v>14</v>
      </c>
      <c r="H277" s="47">
        <v>89</v>
      </c>
      <c r="I277" s="47">
        <v>1500</v>
      </c>
      <c r="J277" s="47">
        <v>6</v>
      </c>
      <c r="K277" s="47">
        <v>45</v>
      </c>
      <c r="L277" s="47">
        <v>331</v>
      </c>
      <c r="M277" s="47">
        <v>53</v>
      </c>
      <c r="N277" s="47">
        <v>384</v>
      </c>
      <c r="O277" s="47">
        <v>297</v>
      </c>
      <c r="P277" s="47">
        <v>4931</v>
      </c>
      <c r="Q277" s="44" t="s">
        <v>1643</v>
      </c>
      <c r="R277" s="47">
        <v>88</v>
      </c>
      <c r="S277" s="47">
        <v>1364</v>
      </c>
      <c r="T277" s="47">
        <v>12</v>
      </c>
      <c r="U277" s="47">
        <v>59</v>
      </c>
      <c r="V277" s="47">
        <v>88</v>
      </c>
      <c r="W277" s="47">
        <v>618</v>
      </c>
      <c r="X277" s="47">
        <v>142</v>
      </c>
      <c r="Y277" s="47">
        <v>1185</v>
      </c>
      <c r="Z277" s="47">
        <v>539</v>
      </c>
      <c r="AA277" s="47">
        <v>6793</v>
      </c>
      <c r="AB277" s="76">
        <f t="shared" si="8"/>
        <v>12.602968460111317</v>
      </c>
      <c r="AC277" s="76">
        <f t="shared" si="9"/>
        <v>0.29541204609697758</v>
      </c>
      <c r="AD277" s="47">
        <v>22995</v>
      </c>
    </row>
    <row r="278" spans="1:30" ht="15.75" thickBot="1" x14ac:dyDescent="0.3">
      <c r="A278" s="44" t="s">
        <v>1265</v>
      </c>
      <c r="B278" s="48" t="s">
        <v>1266</v>
      </c>
      <c r="C278" s="44" t="s">
        <v>803</v>
      </c>
      <c r="D278" s="47">
        <v>380</v>
      </c>
      <c r="E278" s="47">
        <v>3600</v>
      </c>
      <c r="F278" s="47">
        <v>142</v>
      </c>
      <c r="G278" s="47">
        <v>1989</v>
      </c>
      <c r="H278" s="47">
        <v>80</v>
      </c>
      <c r="I278" s="47">
        <v>2122</v>
      </c>
      <c r="J278" s="47">
        <v>3</v>
      </c>
      <c r="K278" s="47">
        <v>50</v>
      </c>
      <c r="L278" s="47">
        <v>854</v>
      </c>
      <c r="M278" s="47">
        <v>455</v>
      </c>
      <c r="N278" s="47">
        <v>1309</v>
      </c>
      <c r="O278" s="47">
        <v>460</v>
      </c>
      <c r="P278" s="47">
        <v>5722</v>
      </c>
      <c r="Q278" s="44" t="s">
        <v>1643</v>
      </c>
      <c r="R278" s="47">
        <v>140</v>
      </c>
      <c r="S278" s="47">
        <v>1728</v>
      </c>
      <c r="T278" s="47">
        <v>145</v>
      </c>
      <c r="U278" s="47">
        <v>2039</v>
      </c>
      <c r="V278" s="47">
        <v>166</v>
      </c>
      <c r="W278" s="47">
        <v>1685</v>
      </c>
      <c r="X278" s="47">
        <v>0</v>
      </c>
      <c r="Y278" s="47">
        <v>0</v>
      </c>
      <c r="Z278" s="47">
        <v>771</v>
      </c>
      <c r="AA278" s="47">
        <v>9446</v>
      </c>
      <c r="AB278" s="76">
        <f t="shared" si="8"/>
        <v>12.251621271076525</v>
      </c>
      <c r="AC278" s="76">
        <f t="shared" si="9"/>
        <v>0.63192400321113196</v>
      </c>
      <c r="AD278" s="47">
        <v>14948</v>
      </c>
    </row>
    <row r="279" spans="1:30" ht="15.75" thickBot="1" x14ac:dyDescent="0.3">
      <c r="A279" s="44" t="s">
        <v>1269</v>
      </c>
      <c r="B279" s="48" t="s">
        <v>1270</v>
      </c>
      <c r="C279" s="44" t="s">
        <v>803</v>
      </c>
      <c r="D279" s="47">
        <v>125</v>
      </c>
      <c r="E279" s="47">
        <v>4800</v>
      </c>
      <c r="F279" s="47">
        <v>13</v>
      </c>
      <c r="G279" s="47">
        <v>262</v>
      </c>
      <c r="H279" s="47">
        <v>19</v>
      </c>
      <c r="I279" s="47">
        <v>2112</v>
      </c>
      <c r="J279" s="47">
        <v>4</v>
      </c>
      <c r="K279" s="47">
        <v>237</v>
      </c>
      <c r="L279" s="47">
        <v>718</v>
      </c>
      <c r="M279" s="47">
        <v>177</v>
      </c>
      <c r="N279" s="47">
        <v>895</v>
      </c>
      <c r="O279" s="47">
        <v>144</v>
      </c>
      <c r="P279" s="47">
        <v>6912</v>
      </c>
      <c r="Q279" s="44" t="s">
        <v>1643</v>
      </c>
      <c r="R279" s="47">
        <v>64</v>
      </c>
      <c r="S279" s="47">
        <v>2111</v>
      </c>
      <c r="T279" s="47">
        <v>17</v>
      </c>
      <c r="U279" s="47">
        <v>499</v>
      </c>
      <c r="V279" s="47">
        <v>204</v>
      </c>
      <c r="W279" s="47">
        <v>2782</v>
      </c>
      <c r="X279" s="47">
        <v>31</v>
      </c>
      <c r="Y279" s="47">
        <v>3002</v>
      </c>
      <c r="Z279" s="47">
        <v>396</v>
      </c>
      <c r="AA279" s="47">
        <v>13195</v>
      </c>
      <c r="AB279" s="76">
        <f t="shared" si="8"/>
        <v>33.320707070707073</v>
      </c>
      <c r="AC279" s="76">
        <f t="shared" si="9"/>
        <v>0.71739248627195129</v>
      </c>
      <c r="AD279" s="47">
        <v>18393</v>
      </c>
    </row>
    <row r="280" spans="1:30" ht="15.75" thickBot="1" x14ac:dyDescent="0.3">
      <c r="A280" s="44" t="s">
        <v>1281</v>
      </c>
      <c r="B280" s="48" t="s">
        <v>1282</v>
      </c>
      <c r="C280" s="44" t="s">
        <v>803</v>
      </c>
      <c r="D280" s="47">
        <v>271</v>
      </c>
      <c r="E280" s="47">
        <v>4198</v>
      </c>
      <c r="F280" s="47">
        <v>7</v>
      </c>
      <c r="G280" s="47">
        <v>91</v>
      </c>
      <c r="H280" s="47">
        <v>18</v>
      </c>
      <c r="I280" s="47">
        <v>498</v>
      </c>
      <c r="J280" s="47">
        <v>1</v>
      </c>
      <c r="K280" s="47">
        <v>18</v>
      </c>
      <c r="L280" s="47">
        <v>142</v>
      </c>
      <c r="M280" s="44">
        <v>0</v>
      </c>
      <c r="N280" s="47">
        <v>142</v>
      </c>
      <c r="O280" s="47">
        <v>289</v>
      </c>
      <c r="P280" s="47">
        <v>4696</v>
      </c>
      <c r="Q280" s="44" t="s">
        <v>1643</v>
      </c>
      <c r="R280" s="47">
        <v>170</v>
      </c>
      <c r="S280" s="47">
        <v>1893</v>
      </c>
      <c r="T280" s="47">
        <v>8</v>
      </c>
      <c r="U280" s="47">
        <v>109</v>
      </c>
      <c r="V280" s="47">
        <v>64</v>
      </c>
      <c r="W280" s="47">
        <v>747</v>
      </c>
      <c r="X280" s="47">
        <v>51</v>
      </c>
      <c r="Y280" s="47">
        <v>1981</v>
      </c>
      <c r="Z280" s="47">
        <v>412</v>
      </c>
      <c r="AA280" s="47">
        <v>7533</v>
      </c>
      <c r="AB280" s="76">
        <f t="shared" si="8"/>
        <v>18.283980582524272</v>
      </c>
      <c r="AC280" s="76">
        <f t="shared" si="9"/>
        <v>0.52370689655172409</v>
      </c>
      <c r="AD280" s="47">
        <v>14384</v>
      </c>
    </row>
    <row r="281" spans="1:30" ht="15.75" thickBot="1" x14ac:dyDescent="0.3">
      <c r="A281" s="44" t="s">
        <v>1285</v>
      </c>
      <c r="B281" s="48" t="s">
        <v>1286</v>
      </c>
      <c r="C281" s="44" t="s">
        <v>803</v>
      </c>
      <c r="D281" s="47">
        <v>164</v>
      </c>
      <c r="E281" s="47">
        <v>4180</v>
      </c>
      <c r="F281" s="47">
        <v>44</v>
      </c>
      <c r="G281" s="47">
        <v>301</v>
      </c>
      <c r="H281" s="47">
        <v>29</v>
      </c>
      <c r="I281" s="47">
        <v>1342</v>
      </c>
      <c r="J281" s="47">
        <v>7</v>
      </c>
      <c r="K281" s="47">
        <v>113</v>
      </c>
      <c r="L281" s="47">
        <v>390</v>
      </c>
      <c r="M281" s="47">
        <v>135</v>
      </c>
      <c r="N281" s="47">
        <v>525</v>
      </c>
      <c r="O281" s="47">
        <v>193</v>
      </c>
      <c r="P281" s="47">
        <v>5522</v>
      </c>
      <c r="Q281" s="44" t="s">
        <v>1643</v>
      </c>
      <c r="R281" s="47">
        <v>87</v>
      </c>
      <c r="S281" s="47">
        <v>939</v>
      </c>
      <c r="T281" s="47">
        <v>51</v>
      </c>
      <c r="U281" s="47">
        <v>414</v>
      </c>
      <c r="V281" s="47">
        <v>40</v>
      </c>
      <c r="W281" s="47">
        <v>356</v>
      </c>
      <c r="X281" s="47">
        <v>4</v>
      </c>
      <c r="Y281" s="47">
        <v>19</v>
      </c>
      <c r="Z281" s="47">
        <v>288</v>
      </c>
      <c r="AA281" s="47">
        <v>6311</v>
      </c>
      <c r="AB281" s="76">
        <f t="shared" si="8"/>
        <v>21.913194444444443</v>
      </c>
      <c r="AC281" s="76">
        <f t="shared" si="9"/>
        <v>0.36040203300782364</v>
      </c>
      <c r="AD281" s="47">
        <v>17511</v>
      </c>
    </row>
    <row r="282" spans="1:30" ht="15.75" thickBot="1" x14ac:dyDescent="0.3">
      <c r="A282" s="44" t="s">
        <v>1287</v>
      </c>
      <c r="B282" s="48" t="s">
        <v>1288</v>
      </c>
      <c r="C282" s="44" t="s">
        <v>803</v>
      </c>
      <c r="D282" s="47">
        <v>181</v>
      </c>
      <c r="E282" s="47">
        <v>5226</v>
      </c>
      <c r="F282" s="47">
        <v>24</v>
      </c>
      <c r="G282" s="47">
        <v>470</v>
      </c>
      <c r="H282" s="47">
        <v>31</v>
      </c>
      <c r="I282" s="47">
        <v>1487</v>
      </c>
      <c r="J282" s="47">
        <v>14</v>
      </c>
      <c r="K282" s="47">
        <v>774</v>
      </c>
      <c r="L282" s="47">
        <v>290</v>
      </c>
      <c r="M282" s="47">
        <v>52</v>
      </c>
      <c r="N282" s="47">
        <v>342</v>
      </c>
      <c r="O282" s="47">
        <v>212</v>
      </c>
      <c r="P282" s="47">
        <v>6713</v>
      </c>
      <c r="Q282" s="44" t="s">
        <v>1643</v>
      </c>
      <c r="R282" s="47">
        <v>127</v>
      </c>
      <c r="S282" s="47">
        <v>2338</v>
      </c>
      <c r="T282" s="47">
        <v>38</v>
      </c>
      <c r="U282" s="47">
        <v>1244</v>
      </c>
      <c r="V282" s="47">
        <v>75</v>
      </c>
      <c r="W282" s="47">
        <v>918</v>
      </c>
      <c r="X282" s="47">
        <v>6</v>
      </c>
      <c r="Y282" s="47">
        <v>857</v>
      </c>
      <c r="Z282" s="47">
        <v>331</v>
      </c>
      <c r="AA282" s="47">
        <v>9732</v>
      </c>
      <c r="AB282" s="76">
        <f t="shared" si="8"/>
        <v>29.401812688821753</v>
      </c>
      <c r="AC282" s="76">
        <f t="shared" si="9"/>
        <v>0.61845449923741735</v>
      </c>
      <c r="AD282" s="47">
        <v>15736</v>
      </c>
    </row>
    <row r="283" spans="1:30" ht="15.75" thickBot="1" x14ac:dyDescent="0.3">
      <c r="A283" s="44" t="s">
        <v>1291</v>
      </c>
      <c r="B283" s="48" t="s">
        <v>1292</v>
      </c>
      <c r="C283" s="44" t="s">
        <v>803</v>
      </c>
      <c r="D283" s="47">
        <v>84</v>
      </c>
      <c r="E283" s="47">
        <v>1535</v>
      </c>
      <c r="F283" s="47">
        <v>18</v>
      </c>
      <c r="G283" s="47">
        <v>190</v>
      </c>
      <c r="H283" s="47">
        <v>9</v>
      </c>
      <c r="I283" s="47">
        <v>394</v>
      </c>
      <c r="J283" s="47">
        <v>3</v>
      </c>
      <c r="K283" s="47">
        <v>30</v>
      </c>
      <c r="L283" s="47">
        <v>75</v>
      </c>
      <c r="M283" s="47">
        <v>10</v>
      </c>
      <c r="N283" s="47">
        <v>85</v>
      </c>
      <c r="O283" s="47">
        <v>93</v>
      </c>
      <c r="P283" s="47">
        <v>1929</v>
      </c>
      <c r="Q283" s="44" t="s">
        <v>1643</v>
      </c>
      <c r="R283" s="47">
        <v>38</v>
      </c>
      <c r="S283" s="47">
        <v>456</v>
      </c>
      <c r="T283" s="47">
        <v>21</v>
      </c>
      <c r="U283" s="47">
        <v>220</v>
      </c>
      <c r="V283" s="47">
        <v>68</v>
      </c>
      <c r="W283" s="47">
        <v>450</v>
      </c>
      <c r="X283" s="47">
        <v>20</v>
      </c>
      <c r="Y283" s="47">
        <v>326</v>
      </c>
      <c r="Z283" s="47">
        <v>202</v>
      </c>
      <c r="AA283" s="47">
        <v>2925</v>
      </c>
      <c r="AB283" s="76">
        <f t="shared" si="8"/>
        <v>14.48019801980198</v>
      </c>
      <c r="AC283" s="76">
        <f t="shared" si="9"/>
        <v>0.22333358784454455</v>
      </c>
      <c r="AD283" s="47">
        <v>13097</v>
      </c>
    </row>
    <row r="284" spans="1:30" ht="15.75" thickBot="1" x14ac:dyDescent="0.3">
      <c r="A284" s="44" t="s">
        <v>1301</v>
      </c>
      <c r="B284" s="48" t="s">
        <v>1302</v>
      </c>
      <c r="C284" s="44" t="s">
        <v>803</v>
      </c>
      <c r="D284" s="47">
        <v>138</v>
      </c>
      <c r="E284" s="47">
        <v>1744</v>
      </c>
      <c r="F284" s="47">
        <v>1</v>
      </c>
      <c r="G284" s="47">
        <v>36</v>
      </c>
      <c r="H284" s="47">
        <v>30</v>
      </c>
      <c r="I284" s="47">
        <v>430</v>
      </c>
      <c r="J284" s="47">
        <v>1</v>
      </c>
      <c r="K284" s="47">
        <v>36</v>
      </c>
      <c r="L284" s="47">
        <v>85</v>
      </c>
      <c r="M284" s="47">
        <v>25</v>
      </c>
      <c r="N284" s="47">
        <v>110</v>
      </c>
      <c r="O284" s="47">
        <v>168</v>
      </c>
      <c r="P284" s="47">
        <v>2174</v>
      </c>
      <c r="Q284" s="44" t="s">
        <v>1643</v>
      </c>
      <c r="R284" s="47">
        <v>50</v>
      </c>
      <c r="S284" s="47">
        <v>137</v>
      </c>
      <c r="T284" s="47">
        <v>2</v>
      </c>
      <c r="U284" s="47">
        <v>72</v>
      </c>
      <c r="V284" s="47">
        <v>241</v>
      </c>
      <c r="W284" s="47">
        <v>2235</v>
      </c>
      <c r="X284" s="47">
        <v>0</v>
      </c>
      <c r="Y284" s="47">
        <v>0</v>
      </c>
      <c r="Z284" s="47">
        <v>411</v>
      </c>
      <c r="AA284" s="47">
        <v>4481</v>
      </c>
      <c r="AB284" s="76">
        <f t="shared" si="8"/>
        <v>10.902676399026763</v>
      </c>
      <c r="AC284" s="76">
        <f t="shared" si="9"/>
        <v>0.19604497528109552</v>
      </c>
      <c r="AD284" s="47">
        <v>22857</v>
      </c>
    </row>
    <row r="285" spans="1:30" ht="15.75" thickBot="1" x14ac:dyDescent="0.3">
      <c r="A285" s="44" t="s">
        <v>1315</v>
      </c>
      <c r="B285" s="48" t="s">
        <v>1316</v>
      </c>
      <c r="C285" s="44" t="s">
        <v>803</v>
      </c>
      <c r="D285" s="47">
        <v>552</v>
      </c>
      <c r="E285" s="47">
        <v>17928</v>
      </c>
      <c r="F285" s="47">
        <v>110</v>
      </c>
      <c r="G285" s="47">
        <v>436</v>
      </c>
      <c r="H285" s="47">
        <v>310</v>
      </c>
      <c r="I285" s="47">
        <v>6623</v>
      </c>
      <c r="J285" s="47">
        <v>38</v>
      </c>
      <c r="K285" s="47">
        <v>92</v>
      </c>
      <c r="L285" s="44">
        <v>0</v>
      </c>
      <c r="M285" s="44">
        <v>0</v>
      </c>
      <c r="N285" s="44">
        <v>0</v>
      </c>
      <c r="O285" s="47">
        <v>862</v>
      </c>
      <c r="P285" s="47">
        <v>24551</v>
      </c>
      <c r="Q285" s="44" t="s">
        <v>1643</v>
      </c>
      <c r="R285" s="47">
        <v>322</v>
      </c>
      <c r="S285" s="47">
        <v>6148</v>
      </c>
      <c r="T285" s="47">
        <v>148</v>
      </c>
      <c r="U285" s="47">
        <v>528</v>
      </c>
      <c r="V285" s="47">
        <v>320</v>
      </c>
      <c r="W285" s="47">
        <v>8187</v>
      </c>
      <c r="X285" s="47">
        <v>0</v>
      </c>
      <c r="Y285" s="44">
        <v>0</v>
      </c>
      <c r="Z285" s="47">
        <v>1330</v>
      </c>
      <c r="AA285" s="47">
        <v>33266</v>
      </c>
      <c r="AB285" s="76">
        <f t="shared" si="8"/>
        <v>25.012030075187969</v>
      </c>
      <c r="AC285" s="76">
        <f t="shared" si="9"/>
        <v>1.2951023904072256</v>
      </c>
      <c r="AD285" s="47">
        <v>25686</v>
      </c>
    </row>
    <row r="286" spans="1:30" ht="15.75" thickBot="1" x14ac:dyDescent="0.3">
      <c r="A286" s="44" t="s">
        <v>1331</v>
      </c>
      <c r="B286" s="48" t="s">
        <v>1332</v>
      </c>
      <c r="C286" s="44" t="s">
        <v>803</v>
      </c>
      <c r="D286" s="47">
        <v>25</v>
      </c>
      <c r="E286" s="47">
        <v>850</v>
      </c>
      <c r="F286" s="47">
        <v>1</v>
      </c>
      <c r="G286" s="47">
        <v>45</v>
      </c>
      <c r="H286" s="47">
        <v>12</v>
      </c>
      <c r="I286" s="47">
        <v>215</v>
      </c>
      <c r="J286" s="47">
        <v>0</v>
      </c>
      <c r="K286" s="47">
        <v>0</v>
      </c>
      <c r="L286" s="47">
        <v>72</v>
      </c>
      <c r="M286" s="47">
        <v>0</v>
      </c>
      <c r="N286" s="47">
        <v>72</v>
      </c>
      <c r="O286" s="47">
        <v>37</v>
      </c>
      <c r="P286" s="47">
        <v>1065</v>
      </c>
      <c r="Q286" s="44" t="s">
        <v>1644</v>
      </c>
      <c r="R286" s="47">
        <v>0</v>
      </c>
      <c r="S286" s="47">
        <v>0</v>
      </c>
      <c r="T286" s="47">
        <v>1</v>
      </c>
      <c r="U286" s="47">
        <v>45</v>
      </c>
      <c r="V286" s="47">
        <v>38</v>
      </c>
      <c r="W286" s="47">
        <v>655</v>
      </c>
      <c r="X286" s="47">
        <v>0</v>
      </c>
      <c r="Y286" s="47">
        <v>0</v>
      </c>
      <c r="Z286" s="47">
        <v>76</v>
      </c>
      <c r="AA286" s="47">
        <v>1765</v>
      </c>
      <c r="AB286" s="76">
        <f t="shared" si="8"/>
        <v>23.223684210526315</v>
      </c>
      <c r="AC286" s="76">
        <f t="shared" si="9"/>
        <v>0.14051429026351406</v>
      </c>
      <c r="AD286" s="47">
        <v>12561</v>
      </c>
    </row>
    <row r="287" spans="1:30" ht="15.75" thickBot="1" x14ac:dyDescent="0.3">
      <c r="A287" s="44" t="s">
        <v>1341</v>
      </c>
      <c r="B287" s="48" t="s">
        <v>1342</v>
      </c>
      <c r="C287" s="44" t="s">
        <v>803</v>
      </c>
      <c r="D287" s="47">
        <v>257</v>
      </c>
      <c r="E287" s="47">
        <v>8652</v>
      </c>
      <c r="F287" s="47">
        <v>4</v>
      </c>
      <c r="G287" s="47">
        <v>48</v>
      </c>
      <c r="H287" s="47">
        <v>29</v>
      </c>
      <c r="I287" s="47">
        <v>355</v>
      </c>
      <c r="J287" s="47">
        <v>3</v>
      </c>
      <c r="K287" s="47">
        <v>66</v>
      </c>
      <c r="L287" s="47">
        <v>332</v>
      </c>
      <c r="M287" s="47">
        <v>18</v>
      </c>
      <c r="N287" s="47">
        <v>350</v>
      </c>
      <c r="O287" s="47">
        <v>286</v>
      </c>
      <c r="P287" s="47">
        <v>9007</v>
      </c>
      <c r="Q287" s="44" t="s">
        <v>1643</v>
      </c>
      <c r="R287" s="47">
        <v>174</v>
      </c>
      <c r="S287" s="47">
        <v>4161</v>
      </c>
      <c r="T287" s="47">
        <v>7</v>
      </c>
      <c r="U287" s="47">
        <v>114</v>
      </c>
      <c r="V287" s="47">
        <v>95</v>
      </c>
      <c r="W287" s="47">
        <v>1171</v>
      </c>
      <c r="X287" s="47">
        <v>0</v>
      </c>
      <c r="Y287" s="47">
        <v>0</v>
      </c>
      <c r="Z287" s="47">
        <v>388</v>
      </c>
      <c r="AA287" s="47">
        <v>10292</v>
      </c>
      <c r="AB287" s="76">
        <f t="shared" si="8"/>
        <v>26.52577319587629</v>
      </c>
      <c r="AC287" s="76">
        <f t="shared" si="9"/>
        <v>0.42592286045356731</v>
      </c>
      <c r="AD287" s="47">
        <v>24164</v>
      </c>
    </row>
    <row r="288" spans="1:30" ht="15.75" thickBot="1" x14ac:dyDescent="0.3">
      <c r="A288" s="44" t="s">
        <v>1343</v>
      </c>
      <c r="B288" s="48" t="s">
        <v>1344</v>
      </c>
      <c r="C288" s="44" t="s">
        <v>803</v>
      </c>
      <c r="D288" s="47">
        <v>177</v>
      </c>
      <c r="E288" s="47">
        <v>6807</v>
      </c>
      <c r="F288" s="47">
        <v>81</v>
      </c>
      <c r="G288" s="47">
        <v>934</v>
      </c>
      <c r="H288" s="47">
        <v>42</v>
      </c>
      <c r="I288" s="47">
        <v>1445</v>
      </c>
      <c r="J288" s="47">
        <v>20</v>
      </c>
      <c r="K288" s="47">
        <v>220</v>
      </c>
      <c r="L288" s="47">
        <v>544</v>
      </c>
      <c r="M288" s="47">
        <v>144</v>
      </c>
      <c r="N288" s="47">
        <v>688</v>
      </c>
      <c r="O288" s="47">
        <v>219</v>
      </c>
      <c r="P288" s="47">
        <v>8252</v>
      </c>
      <c r="Q288" s="44" t="s">
        <v>1643</v>
      </c>
      <c r="R288" s="47">
        <v>77</v>
      </c>
      <c r="S288" s="47">
        <v>2853</v>
      </c>
      <c r="T288" s="47">
        <v>101</v>
      </c>
      <c r="U288" s="47">
        <v>1154</v>
      </c>
      <c r="V288" s="47">
        <v>110</v>
      </c>
      <c r="W288" s="47">
        <v>1315</v>
      </c>
      <c r="X288" s="47">
        <v>15</v>
      </c>
      <c r="Y288" s="47">
        <v>4960</v>
      </c>
      <c r="Z288" s="47">
        <v>445</v>
      </c>
      <c r="AA288" s="47">
        <v>15681</v>
      </c>
      <c r="AB288" s="76">
        <f t="shared" si="8"/>
        <v>35.238202247191012</v>
      </c>
      <c r="AC288" s="76">
        <f t="shared" si="9"/>
        <v>1.1019676739283204</v>
      </c>
      <c r="AD288" s="47">
        <v>14230</v>
      </c>
    </row>
    <row r="289" spans="1:30" ht="15.75" thickBot="1" x14ac:dyDescent="0.3">
      <c r="A289" s="44" t="s">
        <v>1347</v>
      </c>
      <c r="B289" s="48" t="s">
        <v>1348</v>
      </c>
      <c r="C289" s="44" t="s">
        <v>803</v>
      </c>
      <c r="D289" s="47">
        <v>418</v>
      </c>
      <c r="E289" s="47">
        <v>10142</v>
      </c>
      <c r="F289" s="47">
        <v>77</v>
      </c>
      <c r="G289" s="47">
        <v>537</v>
      </c>
      <c r="H289" s="47">
        <v>95</v>
      </c>
      <c r="I289" s="47">
        <v>2708</v>
      </c>
      <c r="J289" s="47">
        <v>31</v>
      </c>
      <c r="K289" s="47">
        <v>263</v>
      </c>
      <c r="L289" s="47">
        <v>712</v>
      </c>
      <c r="M289" s="47">
        <v>127</v>
      </c>
      <c r="N289" s="47">
        <v>839</v>
      </c>
      <c r="O289" s="47">
        <v>513</v>
      </c>
      <c r="P289" s="47">
        <v>12850</v>
      </c>
      <c r="Q289" s="44" t="s">
        <v>1643</v>
      </c>
      <c r="R289" s="47">
        <v>201</v>
      </c>
      <c r="S289" s="47">
        <v>3652</v>
      </c>
      <c r="T289" s="47">
        <v>108</v>
      </c>
      <c r="U289" s="47">
        <v>800</v>
      </c>
      <c r="V289" s="47">
        <v>135</v>
      </c>
      <c r="W289" s="47">
        <v>15185</v>
      </c>
      <c r="X289" s="47">
        <v>34</v>
      </c>
      <c r="Y289" s="47">
        <v>4352</v>
      </c>
      <c r="Z289" s="47">
        <v>790</v>
      </c>
      <c r="AA289" s="47">
        <v>33187</v>
      </c>
      <c r="AB289" s="76">
        <f t="shared" si="8"/>
        <v>42.008860759493672</v>
      </c>
      <c r="AC289" s="76">
        <f t="shared" si="9"/>
        <v>1.6168274383708467</v>
      </c>
      <c r="AD289" s="47">
        <v>20526</v>
      </c>
    </row>
    <row r="290" spans="1:30" ht="15.75" thickBot="1" x14ac:dyDescent="0.3">
      <c r="A290" s="44" t="s">
        <v>1355</v>
      </c>
      <c r="B290" s="48" t="s">
        <v>1356</v>
      </c>
      <c r="C290" s="44" t="s">
        <v>803</v>
      </c>
      <c r="D290" s="47">
        <v>187</v>
      </c>
      <c r="E290" s="47">
        <v>4681</v>
      </c>
      <c r="F290" s="47">
        <v>34</v>
      </c>
      <c r="G290" s="47">
        <v>425</v>
      </c>
      <c r="H290" s="47">
        <v>11</v>
      </c>
      <c r="I290" s="47">
        <v>436</v>
      </c>
      <c r="J290" s="47">
        <v>2</v>
      </c>
      <c r="K290" s="47">
        <v>25</v>
      </c>
      <c r="L290" s="47">
        <v>467</v>
      </c>
      <c r="M290" s="47">
        <v>44</v>
      </c>
      <c r="N290" s="47">
        <v>511</v>
      </c>
      <c r="O290" s="47">
        <v>198</v>
      </c>
      <c r="P290" s="47">
        <v>5117</v>
      </c>
      <c r="Q290" s="44" t="s">
        <v>1643</v>
      </c>
      <c r="R290" s="47">
        <v>144</v>
      </c>
      <c r="S290" s="47">
        <v>1545</v>
      </c>
      <c r="T290" s="47">
        <v>36</v>
      </c>
      <c r="U290" s="47">
        <v>450</v>
      </c>
      <c r="V290" s="47">
        <v>136</v>
      </c>
      <c r="W290" s="47">
        <v>1090</v>
      </c>
      <c r="X290" s="47">
        <v>45</v>
      </c>
      <c r="Y290" s="47">
        <v>1346</v>
      </c>
      <c r="Z290" s="47">
        <v>415</v>
      </c>
      <c r="AA290" s="47">
        <v>8003</v>
      </c>
      <c r="AB290" s="76">
        <f t="shared" si="8"/>
        <v>19.284337349397589</v>
      </c>
      <c r="AC290" s="76">
        <f t="shared" si="9"/>
        <v>0.58936593269018334</v>
      </c>
      <c r="AD290" s="47">
        <v>13579</v>
      </c>
    </row>
    <row r="291" spans="1:30" ht="15.75" thickBot="1" x14ac:dyDescent="0.3">
      <c r="A291" s="44" t="s">
        <v>1365</v>
      </c>
      <c r="B291" s="48" t="s">
        <v>1366</v>
      </c>
      <c r="C291" s="44" t="s">
        <v>803</v>
      </c>
      <c r="D291" s="47">
        <v>225</v>
      </c>
      <c r="E291" s="47">
        <v>2691</v>
      </c>
      <c r="F291" s="47">
        <v>153</v>
      </c>
      <c r="G291" s="47">
        <v>1177</v>
      </c>
      <c r="H291" s="47">
        <v>45</v>
      </c>
      <c r="I291" s="47">
        <v>912</v>
      </c>
      <c r="J291" s="47">
        <v>26</v>
      </c>
      <c r="K291" s="47">
        <v>311</v>
      </c>
      <c r="L291" s="47">
        <v>486</v>
      </c>
      <c r="M291" s="47">
        <v>150</v>
      </c>
      <c r="N291" s="47">
        <v>636</v>
      </c>
      <c r="O291" s="47">
        <v>270</v>
      </c>
      <c r="P291" s="47">
        <v>3603</v>
      </c>
      <c r="Q291" s="44" t="s">
        <v>1643</v>
      </c>
      <c r="R291" s="47">
        <v>138</v>
      </c>
      <c r="S291" s="47">
        <v>2060</v>
      </c>
      <c r="T291" s="47">
        <v>179</v>
      </c>
      <c r="U291" s="47">
        <v>1488</v>
      </c>
      <c r="V291" s="47">
        <v>250</v>
      </c>
      <c r="W291" s="47">
        <v>5091</v>
      </c>
      <c r="X291" s="47">
        <v>33</v>
      </c>
      <c r="Y291" s="47">
        <v>2337</v>
      </c>
      <c r="Z291" s="47">
        <v>732</v>
      </c>
      <c r="AA291" s="47">
        <v>12519</v>
      </c>
      <c r="AB291" s="76">
        <f t="shared" si="8"/>
        <v>17.102459016393443</v>
      </c>
      <c r="AC291" s="76">
        <f t="shared" si="9"/>
        <v>0.7492369381770303</v>
      </c>
      <c r="AD291" s="47">
        <v>16709</v>
      </c>
    </row>
    <row r="292" spans="1:30" ht="15.75" thickBot="1" x14ac:dyDescent="0.3">
      <c r="A292" s="44" t="s">
        <v>1381</v>
      </c>
      <c r="B292" s="48" t="s">
        <v>1382</v>
      </c>
      <c r="C292" s="44" t="s">
        <v>803</v>
      </c>
      <c r="D292" s="47">
        <v>280</v>
      </c>
      <c r="E292" s="47">
        <v>6200</v>
      </c>
      <c r="F292" s="47">
        <v>30</v>
      </c>
      <c r="G292" s="47">
        <v>100</v>
      </c>
      <c r="H292" s="47">
        <v>30</v>
      </c>
      <c r="I292" s="47">
        <v>2000</v>
      </c>
      <c r="J292" s="47">
        <v>15</v>
      </c>
      <c r="K292" s="47">
        <v>150</v>
      </c>
      <c r="L292" s="47">
        <v>700</v>
      </c>
      <c r="M292" s="47">
        <v>280</v>
      </c>
      <c r="N292" s="47">
        <v>980</v>
      </c>
      <c r="O292" s="47">
        <v>310</v>
      </c>
      <c r="P292" s="47">
        <v>8200</v>
      </c>
      <c r="Q292" s="44" t="s">
        <v>1643</v>
      </c>
      <c r="R292" s="47">
        <v>250</v>
      </c>
      <c r="S292" s="47">
        <v>6100</v>
      </c>
      <c r="T292" s="47">
        <v>45</v>
      </c>
      <c r="U292" s="47">
        <v>250</v>
      </c>
      <c r="V292" s="47">
        <v>250</v>
      </c>
      <c r="W292" s="47">
        <v>4000</v>
      </c>
      <c r="X292" s="47">
        <v>20</v>
      </c>
      <c r="Y292" s="47">
        <v>520</v>
      </c>
      <c r="Z292" s="47">
        <v>625</v>
      </c>
      <c r="AA292" s="47">
        <v>12970</v>
      </c>
      <c r="AB292" s="76">
        <f t="shared" si="8"/>
        <v>20.751999999999999</v>
      </c>
      <c r="AC292" s="76">
        <f t="shared" si="9"/>
        <v>0.6607570431504407</v>
      </c>
      <c r="AD292" s="47">
        <v>19629</v>
      </c>
    </row>
    <row r="293" spans="1:30" ht="15.75" thickBot="1" x14ac:dyDescent="0.3">
      <c r="A293" s="44" t="s">
        <v>1383</v>
      </c>
      <c r="B293" s="48" t="s">
        <v>1384</v>
      </c>
      <c r="C293" s="44" t="s">
        <v>803</v>
      </c>
      <c r="D293" s="47">
        <v>164</v>
      </c>
      <c r="E293" s="47">
        <v>2580</v>
      </c>
      <c r="F293" s="47">
        <v>88</v>
      </c>
      <c r="G293" s="47">
        <v>650</v>
      </c>
      <c r="H293" s="47">
        <v>61</v>
      </c>
      <c r="I293" s="47">
        <v>940</v>
      </c>
      <c r="J293" s="47">
        <v>6</v>
      </c>
      <c r="K293" s="47">
        <v>19</v>
      </c>
      <c r="L293" s="47">
        <v>203</v>
      </c>
      <c r="M293" s="47">
        <v>15</v>
      </c>
      <c r="N293" s="47">
        <v>218</v>
      </c>
      <c r="O293" s="47">
        <v>225</v>
      </c>
      <c r="P293" s="47">
        <v>3520</v>
      </c>
      <c r="Q293" s="44" t="s">
        <v>1643</v>
      </c>
      <c r="R293" s="47">
        <v>141</v>
      </c>
      <c r="S293" s="47">
        <v>1980</v>
      </c>
      <c r="T293" s="47">
        <v>94</v>
      </c>
      <c r="U293" s="47">
        <v>669</v>
      </c>
      <c r="V293" s="47">
        <v>30</v>
      </c>
      <c r="W293" s="47">
        <v>228</v>
      </c>
      <c r="X293" s="47">
        <v>3</v>
      </c>
      <c r="Y293" s="47">
        <v>1010</v>
      </c>
      <c r="Z293" s="47">
        <v>352</v>
      </c>
      <c r="AA293" s="47">
        <v>5427</v>
      </c>
      <c r="AB293" s="76">
        <f t="shared" si="8"/>
        <v>15.417613636363637</v>
      </c>
      <c r="AC293" s="76">
        <f t="shared" si="9"/>
        <v>0.39009488211615873</v>
      </c>
      <c r="AD293" s="47">
        <v>13912</v>
      </c>
    </row>
    <row r="294" spans="1:30" ht="15.75" thickBot="1" x14ac:dyDescent="0.3">
      <c r="A294" s="44" t="s">
        <v>1387</v>
      </c>
      <c r="B294" s="48" t="s">
        <v>1388</v>
      </c>
      <c r="C294" s="44" t="s">
        <v>803</v>
      </c>
      <c r="D294" s="47">
        <v>244</v>
      </c>
      <c r="E294" s="47">
        <v>5345</v>
      </c>
      <c r="F294" s="47">
        <v>9</v>
      </c>
      <c r="G294" s="47">
        <v>128</v>
      </c>
      <c r="H294" s="47">
        <v>46</v>
      </c>
      <c r="I294" s="47">
        <v>307</v>
      </c>
      <c r="J294" s="47">
        <v>0</v>
      </c>
      <c r="K294" s="47">
        <v>0</v>
      </c>
      <c r="L294" s="47">
        <v>192</v>
      </c>
      <c r="M294" s="47">
        <v>0</v>
      </c>
      <c r="N294" s="47">
        <v>192</v>
      </c>
      <c r="O294" s="47">
        <v>290</v>
      </c>
      <c r="P294" s="47">
        <v>5652</v>
      </c>
      <c r="Q294" s="44" t="s">
        <v>1643</v>
      </c>
      <c r="R294" s="47">
        <v>50</v>
      </c>
      <c r="S294" s="47">
        <v>1981</v>
      </c>
      <c r="T294" s="47">
        <v>9</v>
      </c>
      <c r="U294" s="47">
        <v>128</v>
      </c>
      <c r="V294" s="47">
        <v>245</v>
      </c>
      <c r="W294" s="47">
        <v>5556</v>
      </c>
      <c r="X294" s="47">
        <v>162</v>
      </c>
      <c r="Y294" s="47">
        <v>10986</v>
      </c>
      <c r="Z294" s="47">
        <v>706</v>
      </c>
      <c r="AA294" s="47">
        <v>22322</v>
      </c>
      <c r="AB294" s="76">
        <f t="shared" si="8"/>
        <v>31.61756373937677</v>
      </c>
      <c r="AC294" s="76">
        <f t="shared" si="9"/>
        <v>1.5003360666756285</v>
      </c>
      <c r="AD294" s="47">
        <v>14878</v>
      </c>
    </row>
    <row r="295" spans="1:30" ht="15.75" thickBot="1" x14ac:dyDescent="0.3">
      <c r="A295" s="44" t="s">
        <v>1421</v>
      </c>
      <c r="B295" s="48" t="s">
        <v>1422</v>
      </c>
      <c r="C295" s="44" t="s">
        <v>803</v>
      </c>
      <c r="D295" s="47">
        <v>89</v>
      </c>
      <c r="E295" s="47">
        <v>1158</v>
      </c>
      <c r="F295" s="47">
        <v>0</v>
      </c>
      <c r="G295" s="47">
        <v>0</v>
      </c>
      <c r="H295" s="47">
        <v>21</v>
      </c>
      <c r="I295" s="47">
        <v>360</v>
      </c>
      <c r="J295" s="47">
        <v>0</v>
      </c>
      <c r="K295" s="47">
        <v>0</v>
      </c>
      <c r="L295" s="47">
        <v>130</v>
      </c>
      <c r="M295" s="47">
        <v>0</v>
      </c>
      <c r="N295" s="47">
        <v>130</v>
      </c>
      <c r="O295" s="47">
        <v>110</v>
      </c>
      <c r="P295" s="47">
        <v>1518</v>
      </c>
      <c r="Q295" s="44" t="s">
        <v>1643</v>
      </c>
      <c r="R295" s="47">
        <v>60</v>
      </c>
      <c r="S295" s="47">
        <v>542</v>
      </c>
      <c r="T295" s="47">
        <v>0</v>
      </c>
      <c r="U295" s="47">
        <v>0</v>
      </c>
      <c r="V295" s="47">
        <v>30</v>
      </c>
      <c r="W295" s="47">
        <v>464</v>
      </c>
      <c r="X295" s="47">
        <v>7</v>
      </c>
      <c r="Y295" s="47">
        <v>207</v>
      </c>
      <c r="Z295" s="47">
        <v>147</v>
      </c>
      <c r="AA295" s="47">
        <v>2189</v>
      </c>
      <c r="AB295" s="76">
        <f t="shared" si="8"/>
        <v>14.891156462585034</v>
      </c>
      <c r="AC295" s="76">
        <f t="shared" si="9"/>
        <v>0.17531635431683484</v>
      </c>
      <c r="AD295" s="47">
        <v>12486</v>
      </c>
    </row>
    <row r="296" spans="1:30" ht="15.75" thickBot="1" x14ac:dyDescent="0.3">
      <c r="A296" s="44" t="s">
        <v>1447</v>
      </c>
      <c r="B296" s="48" t="s">
        <v>1448</v>
      </c>
      <c r="C296" s="44" t="s">
        <v>803</v>
      </c>
      <c r="D296" s="47">
        <v>210</v>
      </c>
      <c r="E296" s="47">
        <v>5783</v>
      </c>
      <c r="F296" s="47">
        <v>20</v>
      </c>
      <c r="G296" s="47">
        <v>418</v>
      </c>
      <c r="H296" s="47">
        <v>62</v>
      </c>
      <c r="I296" s="47">
        <v>2035</v>
      </c>
      <c r="J296" s="47">
        <v>22</v>
      </c>
      <c r="K296" s="47">
        <v>168</v>
      </c>
      <c r="L296" s="47">
        <v>933</v>
      </c>
      <c r="M296" s="47">
        <v>126</v>
      </c>
      <c r="N296" s="47">
        <v>1059</v>
      </c>
      <c r="O296" s="47">
        <v>272</v>
      </c>
      <c r="P296" s="47">
        <v>7818</v>
      </c>
      <c r="Q296" s="44" t="s">
        <v>1643</v>
      </c>
      <c r="R296" s="47">
        <v>157</v>
      </c>
      <c r="S296" s="47">
        <v>2638</v>
      </c>
      <c r="T296" s="47">
        <v>42</v>
      </c>
      <c r="U296" s="47">
        <v>586</v>
      </c>
      <c r="V296" s="47">
        <v>372</v>
      </c>
      <c r="W296" s="47">
        <v>2690</v>
      </c>
      <c r="X296" s="47">
        <v>4</v>
      </c>
      <c r="Y296" s="47">
        <v>1870</v>
      </c>
      <c r="Z296" s="47">
        <v>690</v>
      </c>
      <c r="AA296" s="47">
        <v>12964</v>
      </c>
      <c r="AB296" s="76">
        <f t="shared" si="8"/>
        <v>18.788405797101451</v>
      </c>
      <c r="AC296" s="76">
        <f t="shared" si="9"/>
        <v>0.77383155255775082</v>
      </c>
      <c r="AD296" s="47">
        <v>16753</v>
      </c>
    </row>
    <row r="297" spans="1:30" ht="15.75" thickBot="1" x14ac:dyDescent="0.3">
      <c r="A297" s="44" t="s">
        <v>1490</v>
      </c>
      <c r="B297" s="48" t="s">
        <v>1491</v>
      </c>
      <c r="C297" s="44" t="s">
        <v>803</v>
      </c>
      <c r="D297" s="47">
        <v>236</v>
      </c>
      <c r="E297" s="47">
        <v>6472</v>
      </c>
      <c r="F297" s="47">
        <v>22</v>
      </c>
      <c r="G297" s="47">
        <v>476</v>
      </c>
      <c r="H297" s="47">
        <v>49</v>
      </c>
      <c r="I297" s="47">
        <v>1960</v>
      </c>
      <c r="J297" s="47">
        <v>6</v>
      </c>
      <c r="K297" s="47">
        <v>178</v>
      </c>
      <c r="L297" s="47">
        <v>735</v>
      </c>
      <c r="M297" s="47">
        <v>331</v>
      </c>
      <c r="N297" s="47">
        <v>1066</v>
      </c>
      <c r="O297" s="47">
        <v>285</v>
      </c>
      <c r="P297" s="47">
        <v>8432</v>
      </c>
      <c r="Q297" s="44" t="s">
        <v>1643</v>
      </c>
      <c r="R297" s="47">
        <v>140</v>
      </c>
      <c r="S297" s="47">
        <v>4995</v>
      </c>
      <c r="T297" s="47">
        <v>28</v>
      </c>
      <c r="U297" s="47">
        <v>654</v>
      </c>
      <c r="V297" s="47">
        <v>81</v>
      </c>
      <c r="W297" s="47">
        <v>1538</v>
      </c>
      <c r="X297" s="47">
        <v>21</v>
      </c>
      <c r="Y297" s="47">
        <v>1386</v>
      </c>
      <c r="Z297" s="47">
        <v>415</v>
      </c>
      <c r="AA297" s="47">
        <v>12010</v>
      </c>
      <c r="AB297" s="76">
        <f t="shared" si="8"/>
        <v>28.939759036144579</v>
      </c>
      <c r="AC297" s="76">
        <f t="shared" si="9"/>
        <v>0.65772179627601313</v>
      </c>
      <c r="AD297" s="47">
        <v>18260</v>
      </c>
    </row>
    <row r="298" spans="1:30" ht="15.75" thickBot="1" x14ac:dyDescent="0.3">
      <c r="A298" s="44" t="s">
        <v>1492</v>
      </c>
      <c r="B298" s="48" t="s">
        <v>1493</v>
      </c>
      <c r="C298" s="44" t="s">
        <v>803</v>
      </c>
      <c r="D298" s="47">
        <v>75</v>
      </c>
      <c r="E298" s="47">
        <v>2707</v>
      </c>
      <c r="F298" s="47">
        <v>2</v>
      </c>
      <c r="G298" s="47">
        <v>19</v>
      </c>
      <c r="H298" s="47">
        <v>56</v>
      </c>
      <c r="I298" s="47">
        <v>2210</v>
      </c>
      <c r="J298" s="47">
        <v>4</v>
      </c>
      <c r="K298" s="47">
        <v>82</v>
      </c>
      <c r="L298" s="47">
        <v>245</v>
      </c>
      <c r="M298" s="47">
        <v>40</v>
      </c>
      <c r="N298" s="47">
        <v>285</v>
      </c>
      <c r="O298" s="47">
        <v>131</v>
      </c>
      <c r="P298" s="47">
        <v>4917</v>
      </c>
      <c r="Q298" s="44" t="s">
        <v>1643</v>
      </c>
      <c r="R298" s="47">
        <v>75</v>
      </c>
      <c r="S298" s="47">
        <v>1195</v>
      </c>
      <c r="T298" s="47">
        <v>6</v>
      </c>
      <c r="U298" s="47">
        <v>101</v>
      </c>
      <c r="V298" s="47">
        <v>46</v>
      </c>
      <c r="W298" s="47">
        <v>739</v>
      </c>
      <c r="X298" s="47">
        <v>0</v>
      </c>
      <c r="Y298" s="47">
        <v>0</v>
      </c>
      <c r="Z298" s="47">
        <v>183</v>
      </c>
      <c r="AA298" s="47">
        <v>5757</v>
      </c>
      <c r="AB298" s="76">
        <f t="shared" si="8"/>
        <v>31.459016393442624</v>
      </c>
      <c r="AC298" s="76">
        <f t="shared" si="9"/>
        <v>0.41298421807747487</v>
      </c>
      <c r="AD298" s="47">
        <v>13940</v>
      </c>
    </row>
    <row r="299" spans="1:30" ht="15.75" thickBot="1" x14ac:dyDescent="0.3">
      <c r="A299" s="44" t="s">
        <v>1498</v>
      </c>
      <c r="B299" s="48" t="s">
        <v>1499</v>
      </c>
      <c r="C299" s="44" t="s">
        <v>803</v>
      </c>
      <c r="D299" s="47">
        <v>104</v>
      </c>
      <c r="E299" s="47">
        <v>3334</v>
      </c>
      <c r="F299" s="47">
        <v>0</v>
      </c>
      <c r="G299" s="47">
        <v>0</v>
      </c>
      <c r="H299" s="47">
        <v>26</v>
      </c>
      <c r="I299" s="47">
        <v>2008</v>
      </c>
      <c r="J299" s="47">
        <v>0</v>
      </c>
      <c r="K299" s="47">
        <v>0</v>
      </c>
      <c r="L299" s="47">
        <v>231</v>
      </c>
      <c r="M299" s="47">
        <v>71</v>
      </c>
      <c r="N299" s="47">
        <v>302</v>
      </c>
      <c r="O299" s="47">
        <v>130</v>
      </c>
      <c r="P299" s="47">
        <v>5342</v>
      </c>
      <c r="Q299" s="44" t="s">
        <v>1643</v>
      </c>
      <c r="R299" s="47">
        <v>120</v>
      </c>
      <c r="S299" s="47">
        <v>3361</v>
      </c>
      <c r="T299" s="47">
        <v>0</v>
      </c>
      <c r="U299" s="47">
        <v>0</v>
      </c>
      <c r="V299" s="47">
        <v>38</v>
      </c>
      <c r="W299" s="47">
        <v>932</v>
      </c>
      <c r="X299" s="47">
        <v>2</v>
      </c>
      <c r="Y299" s="47">
        <v>550</v>
      </c>
      <c r="Z299" s="47">
        <v>170</v>
      </c>
      <c r="AA299" s="47">
        <v>6824</v>
      </c>
      <c r="AB299" s="76">
        <f t="shared" si="8"/>
        <v>40.141176470588235</v>
      </c>
      <c r="AC299" s="76">
        <f t="shared" si="9"/>
        <v>0.38044266042259017</v>
      </c>
      <c r="AD299" s="47">
        <v>17937</v>
      </c>
    </row>
    <row r="300" spans="1:30" ht="15.75" thickBot="1" x14ac:dyDescent="0.3">
      <c r="A300" s="44" t="s">
        <v>1516</v>
      </c>
      <c r="B300" s="48" t="s">
        <v>1517</v>
      </c>
      <c r="C300" s="44" t="s">
        <v>803</v>
      </c>
      <c r="D300" s="47">
        <v>45</v>
      </c>
      <c r="E300" s="47">
        <v>760</v>
      </c>
      <c r="F300" s="47">
        <v>42</v>
      </c>
      <c r="G300" s="47">
        <v>1008</v>
      </c>
      <c r="H300" s="47">
        <v>1</v>
      </c>
      <c r="I300" s="47">
        <v>58</v>
      </c>
      <c r="J300" s="47">
        <v>0</v>
      </c>
      <c r="K300" s="47">
        <v>0</v>
      </c>
      <c r="L300" s="47">
        <v>320</v>
      </c>
      <c r="M300" s="47">
        <v>23</v>
      </c>
      <c r="N300" s="47">
        <v>343</v>
      </c>
      <c r="O300" s="47">
        <v>46</v>
      </c>
      <c r="P300" s="47">
        <v>818</v>
      </c>
      <c r="Q300" s="44" t="s">
        <v>1644</v>
      </c>
      <c r="R300" s="47">
        <v>0</v>
      </c>
      <c r="S300" s="47">
        <v>0</v>
      </c>
      <c r="T300" s="47">
        <v>42</v>
      </c>
      <c r="U300" s="47">
        <v>1008</v>
      </c>
      <c r="V300" s="47">
        <v>130</v>
      </c>
      <c r="W300" s="47">
        <v>3830</v>
      </c>
      <c r="X300" s="47">
        <v>0</v>
      </c>
      <c r="Y300" s="47">
        <v>0</v>
      </c>
      <c r="Z300" s="47">
        <v>218</v>
      </c>
      <c r="AA300" s="47">
        <v>5656</v>
      </c>
      <c r="AB300" s="76">
        <f t="shared" si="8"/>
        <v>25.944954128440369</v>
      </c>
      <c r="AC300" s="76">
        <f t="shared" si="9"/>
        <v>0.31190029778316974</v>
      </c>
      <c r="AD300" s="47">
        <v>18134</v>
      </c>
    </row>
    <row r="301" spans="1:30" ht="15.75" thickBot="1" x14ac:dyDescent="0.3">
      <c r="A301" s="44" t="s">
        <v>1528</v>
      </c>
      <c r="B301" s="48" t="s">
        <v>1529</v>
      </c>
      <c r="C301" s="44" t="s">
        <v>803</v>
      </c>
      <c r="D301" s="47">
        <v>4</v>
      </c>
      <c r="E301" s="47">
        <v>465</v>
      </c>
      <c r="F301" s="47">
        <v>1</v>
      </c>
      <c r="G301" s="47">
        <v>12</v>
      </c>
      <c r="H301" s="47">
        <v>11</v>
      </c>
      <c r="I301" s="47">
        <v>721</v>
      </c>
      <c r="J301" s="47">
        <v>0</v>
      </c>
      <c r="K301" s="47">
        <v>0</v>
      </c>
      <c r="L301" s="47">
        <v>305</v>
      </c>
      <c r="M301" s="47">
        <v>25</v>
      </c>
      <c r="N301" s="47">
        <v>330</v>
      </c>
      <c r="O301" s="47">
        <v>15</v>
      </c>
      <c r="P301" s="47">
        <v>1186</v>
      </c>
      <c r="Q301" s="44" t="s">
        <v>1643</v>
      </c>
      <c r="R301" s="47">
        <v>2</v>
      </c>
      <c r="S301" s="47">
        <v>130</v>
      </c>
      <c r="T301" s="47">
        <v>1</v>
      </c>
      <c r="U301" s="47">
        <v>12</v>
      </c>
      <c r="V301" s="47">
        <v>8</v>
      </c>
      <c r="W301" s="47">
        <v>39</v>
      </c>
      <c r="X301" s="47">
        <v>1</v>
      </c>
      <c r="Y301" s="47">
        <v>121</v>
      </c>
      <c r="Z301" s="47">
        <v>25</v>
      </c>
      <c r="AA301" s="47">
        <v>1358</v>
      </c>
      <c r="AB301" s="76">
        <f t="shared" si="8"/>
        <v>54.32</v>
      </c>
      <c r="AC301" s="76">
        <f t="shared" si="9"/>
        <v>8.7629863844615088E-2</v>
      </c>
      <c r="AD301" s="47">
        <v>15497</v>
      </c>
    </row>
    <row r="302" spans="1:30" ht="15.75" thickBot="1" x14ac:dyDescent="0.3">
      <c r="A302" s="44" t="s">
        <v>1532</v>
      </c>
      <c r="B302" s="48" t="s">
        <v>1533</v>
      </c>
      <c r="C302" s="44" t="s">
        <v>803</v>
      </c>
      <c r="D302" s="47">
        <v>225</v>
      </c>
      <c r="E302" s="47">
        <v>4390</v>
      </c>
      <c r="F302" s="47">
        <v>133</v>
      </c>
      <c r="G302" s="47">
        <v>929</v>
      </c>
      <c r="H302" s="47">
        <v>47</v>
      </c>
      <c r="I302" s="47">
        <v>1527</v>
      </c>
      <c r="J302" s="47">
        <v>20</v>
      </c>
      <c r="K302" s="47">
        <v>242</v>
      </c>
      <c r="L302" s="47">
        <v>209</v>
      </c>
      <c r="M302" s="47">
        <v>99</v>
      </c>
      <c r="N302" s="47">
        <v>308</v>
      </c>
      <c r="O302" s="47">
        <v>272</v>
      </c>
      <c r="P302" s="47">
        <v>5917</v>
      </c>
      <c r="Q302" s="44" t="s">
        <v>1643</v>
      </c>
      <c r="R302" s="47">
        <v>105</v>
      </c>
      <c r="S302" s="47">
        <v>1642</v>
      </c>
      <c r="T302" s="47">
        <v>153</v>
      </c>
      <c r="U302" s="47">
        <v>1171</v>
      </c>
      <c r="V302" s="47">
        <v>198</v>
      </c>
      <c r="W302" s="47">
        <v>1104</v>
      </c>
      <c r="X302" s="47">
        <v>54</v>
      </c>
      <c r="Y302" s="47">
        <v>593</v>
      </c>
      <c r="Z302" s="47">
        <v>677</v>
      </c>
      <c r="AA302" s="47">
        <v>8785</v>
      </c>
      <c r="AB302" s="76">
        <f t="shared" si="8"/>
        <v>12.976366322008863</v>
      </c>
      <c r="AC302" s="76">
        <f t="shared" si="9"/>
        <v>0.61636146776117307</v>
      </c>
      <c r="AD302" s="47">
        <v>14253</v>
      </c>
    </row>
    <row r="303" spans="1:30" ht="15.75" thickBot="1" x14ac:dyDescent="0.3">
      <c r="A303" s="44" t="s">
        <v>1552</v>
      </c>
      <c r="B303" s="48" t="s">
        <v>1553</v>
      </c>
      <c r="C303" s="44" t="s">
        <v>803</v>
      </c>
      <c r="D303" s="47">
        <v>95</v>
      </c>
      <c r="E303" s="47">
        <v>1505</v>
      </c>
      <c r="F303" s="47">
        <v>27</v>
      </c>
      <c r="G303" s="47">
        <v>390</v>
      </c>
      <c r="H303" s="47">
        <v>35</v>
      </c>
      <c r="I303" s="47">
        <v>796</v>
      </c>
      <c r="J303" s="47">
        <v>9</v>
      </c>
      <c r="K303" s="47">
        <v>14</v>
      </c>
      <c r="L303" s="47">
        <v>216</v>
      </c>
      <c r="M303" s="47">
        <v>14</v>
      </c>
      <c r="N303" s="47">
        <v>230</v>
      </c>
      <c r="O303" s="47">
        <v>130</v>
      </c>
      <c r="P303" s="47">
        <v>2301</v>
      </c>
      <c r="Q303" s="44" t="s">
        <v>1643</v>
      </c>
      <c r="R303" s="47">
        <v>61</v>
      </c>
      <c r="S303" s="47">
        <v>1099</v>
      </c>
      <c r="T303" s="47">
        <v>36</v>
      </c>
      <c r="U303" s="47">
        <v>404</v>
      </c>
      <c r="V303" s="47">
        <v>124</v>
      </c>
      <c r="W303" s="47">
        <v>955</v>
      </c>
      <c r="X303" s="47">
        <v>65</v>
      </c>
      <c r="Y303" s="47">
        <v>493</v>
      </c>
      <c r="Z303" s="47">
        <v>355</v>
      </c>
      <c r="AA303" s="47">
        <v>4153</v>
      </c>
      <c r="AB303" s="76">
        <f t="shared" si="8"/>
        <v>11.698591549295775</v>
      </c>
      <c r="AC303" s="76">
        <f t="shared" si="9"/>
        <v>0.33935283543062594</v>
      </c>
      <c r="AD303" s="47">
        <v>12238</v>
      </c>
    </row>
    <row r="304" spans="1:30" ht="15.75" thickBot="1" x14ac:dyDescent="0.3">
      <c r="A304" s="44" t="s">
        <v>1572</v>
      </c>
      <c r="B304" s="48" t="s">
        <v>1573</v>
      </c>
      <c r="C304" s="44" t="s">
        <v>803</v>
      </c>
      <c r="D304" s="47">
        <v>30</v>
      </c>
      <c r="E304" s="47">
        <v>275</v>
      </c>
      <c r="F304" s="47">
        <v>0</v>
      </c>
      <c r="G304" s="47">
        <v>0</v>
      </c>
      <c r="H304" s="47">
        <v>5</v>
      </c>
      <c r="I304" s="47">
        <v>90</v>
      </c>
      <c r="J304" s="47">
        <v>3</v>
      </c>
      <c r="K304" s="47">
        <v>15</v>
      </c>
      <c r="L304" s="47">
        <v>127</v>
      </c>
      <c r="M304" s="47">
        <v>26</v>
      </c>
      <c r="N304" s="47">
        <v>153</v>
      </c>
      <c r="O304" s="47">
        <v>35</v>
      </c>
      <c r="P304" s="47">
        <v>365</v>
      </c>
      <c r="Q304" s="44" t="s">
        <v>1644</v>
      </c>
      <c r="R304" s="47">
        <v>1</v>
      </c>
      <c r="S304" s="47">
        <v>18</v>
      </c>
      <c r="T304" s="47">
        <v>3</v>
      </c>
      <c r="U304" s="47">
        <v>15</v>
      </c>
      <c r="V304" s="47">
        <v>16</v>
      </c>
      <c r="W304" s="47">
        <v>276</v>
      </c>
      <c r="X304" s="47">
        <v>0</v>
      </c>
      <c r="Y304" s="47">
        <v>0</v>
      </c>
      <c r="Z304" s="47">
        <v>54</v>
      </c>
      <c r="AA304" s="47">
        <v>656</v>
      </c>
      <c r="AB304" s="76">
        <f t="shared" si="8"/>
        <v>12.148148148148149</v>
      </c>
      <c r="AC304" s="76">
        <f t="shared" si="9"/>
        <v>3.7287557551298811E-2</v>
      </c>
      <c r="AD304" s="47">
        <v>17593</v>
      </c>
    </row>
    <row r="305" spans="1:30" ht="15.75" thickBot="1" x14ac:dyDescent="0.3">
      <c r="A305" s="44" t="s">
        <v>1598</v>
      </c>
      <c r="B305" s="48" t="s">
        <v>1599</v>
      </c>
      <c r="C305" s="44" t="s">
        <v>803</v>
      </c>
      <c r="D305" s="47">
        <v>113</v>
      </c>
      <c r="E305" s="47">
        <v>2525</v>
      </c>
      <c r="F305" s="47">
        <v>26</v>
      </c>
      <c r="G305" s="47">
        <v>50</v>
      </c>
      <c r="H305" s="47">
        <v>42</v>
      </c>
      <c r="I305" s="47">
        <v>1666</v>
      </c>
      <c r="J305" s="47">
        <v>11</v>
      </c>
      <c r="K305" s="47">
        <v>77</v>
      </c>
      <c r="L305" s="47">
        <v>368</v>
      </c>
      <c r="M305" s="47">
        <v>37</v>
      </c>
      <c r="N305" s="47">
        <v>405</v>
      </c>
      <c r="O305" s="47">
        <v>155</v>
      </c>
      <c r="P305" s="47">
        <v>4191</v>
      </c>
      <c r="Q305" s="44" t="s">
        <v>1643</v>
      </c>
      <c r="R305" s="47">
        <v>71</v>
      </c>
      <c r="S305" s="47">
        <v>1377</v>
      </c>
      <c r="T305" s="47">
        <v>37</v>
      </c>
      <c r="U305" s="47">
        <v>127</v>
      </c>
      <c r="V305" s="47">
        <v>111</v>
      </c>
      <c r="W305" s="47">
        <v>1373</v>
      </c>
      <c r="X305" s="47">
        <v>0</v>
      </c>
      <c r="Y305" s="47">
        <v>0</v>
      </c>
      <c r="Z305" s="47">
        <v>303</v>
      </c>
      <c r="AA305" s="47">
        <v>5691</v>
      </c>
      <c r="AB305" s="76">
        <f t="shared" si="8"/>
        <v>18.782178217821784</v>
      </c>
      <c r="AC305" s="76">
        <f t="shared" si="9"/>
        <v>0.42161801748407174</v>
      </c>
      <c r="AD305" s="47">
        <v>13498</v>
      </c>
    </row>
    <row r="306" spans="1:30" ht="15.75" thickBot="1" x14ac:dyDescent="0.3">
      <c r="A306" s="44" t="s">
        <v>820</v>
      </c>
      <c r="B306" s="48" t="s">
        <v>821</v>
      </c>
      <c r="C306" s="44" t="s">
        <v>822</v>
      </c>
      <c r="D306" s="47">
        <v>69</v>
      </c>
      <c r="E306" s="47">
        <v>1679</v>
      </c>
      <c r="F306" s="47">
        <v>42</v>
      </c>
      <c r="G306" s="47">
        <v>189</v>
      </c>
      <c r="H306" s="47">
        <v>29</v>
      </c>
      <c r="I306" s="47">
        <v>781</v>
      </c>
      <c r="J306" s="47">
        <v>4</v>
      </c>
      <c r="K306" s="47">
        <v>41</v>
      </c>
      <c r="L306" s="47">
        <v>321</v>
      </c>
      <c r="M306" s="47">
        <v>23</v>
      </c>
      <c r="N306" s="47">
        <v>344</v>
      </c>
      <c r="O306" s="47">
        <v>98</v>
      </c>
      <c r="P306" s="47">
        <v>2460</v>
      </c>
      <c r="Q306" s="44" t="s">
        <v>1643</v>
      </c>
      <c r="R306" s="47">
        <v>53</v>
      </c>
      <c r="S306" s="47">
        <v>761</v>
      </c>
      <c r="T306" s="47">
        <v>46</v>
      </c>
      <c r="U306" s="47">
        <v>230</v>
      </c>
      <c r="V306" s="47">
        <v>126</v>
      </c>
      <c r="W306" s="47">
        <v>1211</v>
      </c>
      <c r="X306" s="47">
        <v>73</v>
      </c>
      <c r="Y306" s="47">
        <v>723</v>
      </c>
      <c r="Z306" s="47">
        <v>343</v>
      </c>
      <c r="AA306" s="47">
        <v>4624</v>
      </c>
      <c r="AB306" s="76">
        <f t="shared" si="8"/>
        <v>13.481049562682216</v>
      </c>
      <c r="AC306" s="76">
        <f t="shared" si="9"/>
        <v>0.16391350584898973</v>
      </c>
      <c r="AD306" s="47">
        <v>28210</v>
      </c>
    </row>
    <row r="307" spans="1:30" ht="15.75" thickBot="1" x14ac:dyDescent="0.3">
      <c r="A307" s="44" t="s">
        <v>823</v>
      </c>
      <c r="B307" s="48" t="s">
        <v>824</v>
      </c>
      <c r="C307" s="44" t="s">
        <v>822</v>
      </c>
      <c r="D307" s="47">
        <v>262</v>
      </c>
      <c r="E307" s="47">
        <v>4667</v>
      </c>
      <c r="F307" s="47">
        <v>36</v>
      </c>
      <c r="G307" s="47">
        <v>315</v>
      </c>
      <c r="H307" s="47">
        <v>64</v>
      </c>
      <c r="I307" s="47">
        <v>1810</v>
      </c>
      <c r="J307" s="47">
        <v>11</v>
      </c>
      <c r="K307" s="47">
        <v>261</v>
      </c>
      <c r="L307" s="47">
        <v>843</v>
      </c>
      <c r="M307" s="47">
        <v>358</v>
      </c>
      <c r="N307" s="47">
        <v>1201</v>
      </c>
      <c r="O307" s="47">
        <v>326</v>
      </c>
      <c r="P307" s="47">
        <v>6477</v>
      </c>
      <c r="Q307" s="44" t="s">
        <v>1643</v>
      </c>
      <c r="R307" s="47">
        <v>91</v>
      </c>
      <c r="S307" s="47">
        <v>2343</v>
      </c>
      <c r="T307" s="47">
        <v>47</v>
      </c>
      <c r="U307" s="47">
        <v>576</v>
      </c>
      <c r="V307" s="47">
        <v>51</v>
      </c>
      <c r="W307" s="47">
        <v>463</v>
      </c>
      <c r="X307" s="47">
        <v>6</v>
      </c>
      <c r="Y307" s="47">
        <v>950</v>
      </c>
      <c r="Z307" s="47">
        <v>430</v>
      </c>
      <c r="AA307" s="47">
        <v>8466</v>
      </c>
      <c r="AB307" s="76">
        <f t="shared" si="8"/>
        <v>19.688372093023254</v>
      </c>
      <c r="AC307" s="76">
        <f t="shared" si="9"/>
        <v>0.29933175405720752</v>
      </c>
      <c r="AD307" s="47">
        <v>28283</v>
      </c>
    </row>
    <row r="308" spans="1:30" ht="15.75" thickBot="1" x14ac:dyDescent="0.3">
      <c r="A308" s="44" t="s">
        <v>831</v>
      </c>
      <c r="B308" s="48" t="s">
        <v>832</v>
      </c>
      <c r="C308" s="44" t="s">
        <v>822</v>
      </c>
      <c r="D308" s="47">
        <v>78</v>
      </c>
      <c r="E308" s="47">
        <v>3298</v>
      </c>
      <c r="F308" s="47">
        <v>51</v>
      </c>
      <c r="G308" s="47">
        <v>462</v>
      </c>
      <c r="H308" s="47">
        <v>21</v>
      </c>
      <c r="I308" s="47">
        <v>1863</v>
      </c>
      <c r="J308" s="47">
        <v>20</v>
      </c>
      <c r="K308" s="47">
        <v>155</v>
      </c>
      <c r="L308" s="47">
        <v>471</v>
      </c>
      <c r="M308" s="47">
        <v>27</v>
      </c>
      <c r="N308" s="47">
        <v>498</v>
      </c>
      <c r="O308" s="47">
        <v>99</v>
      </c>
      <c r="P308" s="47">
        <v>5161</v>
      </c>
      <c r="Q308" s="44" t="s">
        <v>1643</v>
      </c>
      <c r="R308" s="47">
        <v>78</v>
      </c>
      <c r="S308" s="47">
        <v>2825</v>
      </c>
      <c r="T308" s="47">
        <v>71</v>
      </c>
      <c r="U308" s="47">
        <v>617</v>
      </c>
      <c r="V308" s="47">
        <v>132</v>
      </c>
      <c r="W308" s="47">
        <v>3038</v>
      </c>
      <c r="X308" s="47">
        <v>295</v>
      </c>
      <c r="Y308" s="47">
        <v>2928</v>
      </c>
      <c r="Z308" s="47">
        <v>597</v>
      </c>
      <c r="AA308" s="47">
        <v>11744</v>
      </c>
      <c r="AB308" s="76">
        <f t="shared" si="8"/>
        <v>19.671691792294808</v>
      </c>
      <c r="AC308" s="76">
        <f t="shared" si="9"/>
        <v>0.39678356645719304</v>
      </c>
      <c r="AD308" s="47">
        <v>29598</v>
      </c>
    </row>
    <row r="309" spans="1:30" ht="15.75" thickBot="1" x14ac:dyDescent="0.3">
      <c r="A309" s="44" t="s">
        <v>855</v>
      </c>
      <c r="B309" s="48" t="s">
        <v>856</v>
      </c>
      <c r="C309" s="44" t="s">
        <v>822</v>
      </c>
      <c r="D309" s="47">
        <v>542</v>
      </c>
      <c r="E309" s="47">
        <v>20651</v>
      </c>
      <c r="F309" s="47">
        <v>111</v>
      </c>
      <c r="G309" s="47">
        <v>1963</v>
      </c>
      <c r="H309" s="47">
        <v>130</v>
      </c>
      <c r="I309" s="47">
        <v>7980</v>
      </c>
      <c r="J309" s="47">
        <v>28</v>
      </c>
      <c r="K309" s="47">
        <v>1100</v>
      </c>
      <c r="L309" s="47">
        <v>1279</v>
      </c>
      <c r="M309" s="47">
        <v>324</v>
      </c>
      <c r="N309" s="47">
        <v>1603</v>
      </c>
      <c r="O309" s="47">
        <v>672</v>
      </c>
      <c r="P309" s="47">
        <v>28631</v>
      </c>
      <c r="Q309" s="44" t="s">
        <v>1643</v>
      </c>
      <c r="R309" s="47">
        <v>422</v>
      </c>
      <c r="S309" s="47">
        <v>9006</v>
      </c>
      <c r="T309" s="47">
        <v>139</v>
      </c>
      <c r="U309" s="47">
        <v>3063</v>
      </c>
      <c r="V309" s="47">
        <v>281</v>
      </c>
      <c r="W309" s="47">
        <v>5475</v>
      </c>
      <c r="X309" s="47">
        <v>100</v>
      </c>
      <c r="Y309" s="47">
        <v>3399</v>
      </c>
      <c r="Z309" s="47">
        <v>1192</v>
      </c>
      <c r="AA309" s="47">
        <v>40568</v>
      </c>
      <c r="AB309" s="76">
        <f t="shared" si="8"/>
        <v>34.033557046979865</v>
      </c>
      <c r="AC309" s="76">
        <f t="shared" si="9"/>
        <v>1.1476096181046676</v>
      </c>
      <c r="AD309" s="47">
        <v>35350</v>
      </c>
    </row>
    <row r="310" spans="1:30" ht="15.75" thickBot="1" x14ac:dyDescent="0.3">
      <c r="A310" s="44" t="s">
        <v>867</v>
      </c>
      <c r="B310" s="48" t="s">
        <v>868</v>
      </c>
      <c r="C310" s="44" t="s">
        <v>822</v>
      </c>
      <c r="D310" s="47">
        <v>118</v>
      </c>
      <c r="E310" s="47">
        <v>5532</v>
      </c>
      <c r="F310" s="47">
        <v>0</v>
      </c>
      <c r="G310" s="47">
        <v>0</v>
      </c>
      <c r="H310" s="47">
        <v>9</v>
      </c>
      <c r="I310" s="47">
        <v>828</v>
      </c>
      <c r="J310" s="47">
        <v>5</v>
      </c>
      <c r="K310" s="47">
        <v>128</v>
      </c>
      <c r="L310" s="47">
        <v>360</v>
      </c>
      <c r="M310" s="47">
        <v>84</v>
      </c>
      <c r="N310" s="47">
        <v>444</v>
      </c>
      <c r="O310" s="47">
        <v>127</v>
      </c>
      <c r="P310" s="47">
        <v>6360</v>
      </c>
      <c r="Q310" s="44" t="s">
        <v>1643</v>
      </c>
      <c r="R310" s="47">
        <v>57</v>
      </c>
      <c r="S310" s="47">
        <v>1238</v>
      </c>
      <c r="T310" s="47">
        <v>5</v>
      </c>
      <c r="U310" s="47">
        <v>128</v>
      </c>
      <c r="V310" s="47">
        <v>120</v>
      </c>
      <c r="W310" s="47">
        <v>1242</v>
      </c>
      <c r="X310" s="47">
        <v>2</v>
      </c>
      <c r="Y310" s="47">
        <v>630</v>
      </c>
      <c r="Z310" s="47">
        <v>254</v>
      </c>
      <c r="AA310" s="47">
        <v>8360</v>
      </c>
      <c r="AB310" s="76">
        <f t="shared" si="8"/>
        <v>32.913385826771652</v>
      </c>
      <c r="AC310" s="76">
        <f t="shared" si="9"/>
        <v>0.19735133731498311</v>
      </c>
      <c r="AD310" s="47">
        <v>42361</v>
      </c>
    </row>
    <row r="311" spans="1:30" ht="15.75" thickBot="1" x14ac:dyDescent="0.3">
      <c r="A311" s="44" t="s">
        <v>891</v>
      </c>
      <c r="B311" s="48" t="s">
        <v>892</v>
      </c>
      <c r="C311" s="44" t="s">
        <v>822</v>
      </c>
      <c r="D311" s="47">
        <v>307</v>
      </c>
      <c r="E311" s="47">
        <v>11586</v>
      </c>
      <c r="F311" s="47">
        <v>18</v>
      </c>
      <c r="G311" s="47">
        <v>138</v>
      </c>
      <c r="H311" s="47">
        <v>53</v>
      </c>
      <c r="I311" s="47">
        <v>5298</v>
      </c>
      <c r="J311" s="47">
        <v>7</v>
      </c>
      <c r="K311" s="47">
        <v>59</v>
      </c>
      <c r="L311" s="47">
        <v>721</v>
      </c>
      <c r="M311" s="47">
        <v>31</v>
      </c>
      <c r="N311" s="47">
        <v>752</v>
      </c>
      <c r="O311" s="47">
        <v>360</v>
      </c>
      <c r="P311" s="47">
        <v>16884</v>
      </c>
      <c r="Q311" s="44" t="s">
        <v>1643</v>
      </c>
      <c r="R311" s="47">
        <v>307</v>
      </c>
      <c r="S311" s="47">
        <v>11586</v>
      </c>
      <c r="T311" s="47">
        <v>25</v>
      </c>
      <c r="U311" s="47">
        <v>197</v>
      </c>
      <c r="V311" s="47">
        <v>313</v>
      </c>
      <c r="W311" s="47">
        <v>6546</v>
      </c>
      <c r="X311" s="47">
        <v>118</v>
      </c>
      <c r="Y311" s="47">
        <v>859</v>
      </c>
      <c r="Z311" s="47">
        <v>816</v>
      </c>
      <c r="AA311" s="47">
        <v>24486</v>
      </c>
      <c r="AB311" s="76">
        <f t="shared" si="8"/>
        <v>30.007352941176471</v>
      </c>
      <c r="AC311" s="76">
        <f t="shared" si="9"/>
        <v>0.59620160701241787</v>
      </c>
      <c r="AD311" s="47">
        <v>41070</v>
      </c>
    </row>
    <row r="312" spans="1:30" ht="15.75" thickBot="1" x14ac:dyDescent="0.3">
      <c r="A312" s="44" t="s">
        <v>897</v>
      </c>
      <c r="B312" s="48" t="s">
        <v>898</v>
      </c>
      <c r="C312" s="44" t="s">
        <v>822</v>
      </c>
      <c r="D312" s="47">
        <v>730</v>
      </c>
      <c r="E312" s="47">
        <v>15725</v>
      </c>
      <c r="F312" s="47">
        <v>338</v>
      </c>
      <c r="G312" s="47">
        <v>3218</v>
      </c>
      <c r="H312" s="47">
        <v>114</v>
      </c>
      <c r="I312" s="47">
        <v>3864</v>
      </c>
      <c r="J312" s="47">
        <v>49</v>
      </c>
      <c r="K312" s="47">
        <v>333</v>
      </c>
      <c r="L312" s="47">
        <v>747</v>
      </c>
      <c r="M312" s="47">
        <v>378</v>
      </c>
      <c r="N312" s="47">
        <v>1125</v>
      </c>
      <c r="O312" s="47">
        <v>844</v>
      </c>
      <c r="P312" s="47">
        <v>19589</v>
      </c>
      <c r="Q312" s="44" t="s">
        <v>1643</v>
      </c>
      <c r="R312" s="47">
        <v>290</v>
      </c>
      <c r="S312" s="47">
        <v>4350</v>
      </c>
      <c r="T312" s="47">
        <v>387</v>
      </c>
      <c r="U312" s="47">
        <v>3551</v>
      </c>
      <c r="V312" s="47">
        <v>139</v>
      </c>
      <c r="W312" s="47">
        <v>2055</v>
      </c>
      <c r="X312" s="47">
        <v>20</v>
      </c>
      <c r="Y312" s="47">
        <v>20</v>
      </c>
      <c r="Z312" s="47">
        <v>1390</v>
      </c>
      <c r="AA312" s="47">
        <v>25215</v>
      </c>
      <c r="AB312" s="76">
        <f t="shared" si="8"/>
        <v>18.140287769784173</v>
      </c>
      <c r="AC312" s="76">
        <f t="shared" si="9"/>
        <v>0.5375759513911097</v>
      </c>
      <c r="AD312" s="47">
        <v>46905</v>
      </c>
    </row>
    <row r="313" spans="1:30" ht="15.75" thickBot="1" x14ac:dyDescent="0.3">
      <c r="A313" s="44" t="s">
        <v>907</v>
      </c>
      <c r="B313" s="48" t="s">
        <v>908</v>
      </c>
      <c r="C313" s="44" t="s">
        <v>822</v>
      </c>
      <c r="D313" s="47">
        <v>208</v>
      </c>
      <c r="E313" s="47">
        <v>7481</v>
      </c>
      <c r="F313" s="47">
        <v>47</v>
      </c>
      <c r="G313" s="47">
        <v>570</v>
      </c>
      <c r="H313" s="47">
        <v>45</v>
      </c>
      <c r="I313" s="47">
        <v>2318</v>
      </c>
      <c r="J313" s="47">
        <v>19</v>
      </c>
      <c r="K313" s="47">
        <v>364</v>
      </c>
      <c r="L313" s="47">
        <v>1013</v>
      </c>
      <c r="M313" s="47">
        <v>203</v>
      </c>
      <c r="N313" s="47">
        <v>1216</v>
      </c>
      <c r="O313" s="47">
        <v>253</v>
      </c>
      <c r="P313" s="47">
        <v>9799</v>
      </c>
      <c r="Q313" s="44" t="s">
        <v>1643</v>
      </c>
      <c r="R313" s="47">
        <v>128</v>
      </c>
      <c r="S313" s="47">
        <v>3989</v>
      </c>
      <c r="T313" s="47">
        <v>66</v>
      </c>
      <c r="U313" s="47">
        <v>934</v>
      </c>
      <c r="V313" s="47">
        <v>179</v>
      </c>
      <c r="W313" s="47">
        <v>2280</v>
      </c>
      <c r="X313" s="47">
        <v>1</v>
      </c>
      <c r="Y313" s="47">
        <v>550</v>
      </c>
      <c r="Z313" s="47">
        <v>499</v>
      </c>
      <c r="AA313" s="47">
        <v>13563</v>
      </c>
      <c r="AB313" s="76">
        <f t="shared" si="8"/>
        <v>27.180360721442884</v>
      </c>
      <c r="AC313" s="76">
        <f t="shared" si="9"/>
        <v>0.31356637536412818</v>
      </c>
      <c r="AD313" s="47">
        <v>43254</v>
      </c>
    </row>
    <row r="314" spans="1:30" ht="15.75" thickBot="1" x14ac:dyDescent="0.3">
      <c r="A314" s="44" t="s">
        <v>917</v>
      </c>
      <c r="B314" s="48" t="s">
        <v>918</v>
      </c>
      <c r="C314" s="44" t="s">
        <v>822</v>
      </c>
      <c r="D314" s="47">
        <v>186</v>
      </c>
      <c r="E314" s="47">
        <v>7964</v>
      </c>
      <c r="F314" s="47">
        <v>143</v>
      </c>
      <c r="G314" s="47">
        <v>1186</v>
      </c>
      <c r="H314" s="47">
        <v>10</v>
      </c>
      <c r="I314" s="47">
        <v>610</v>
      </c>
      <c r="J314" s="47">
        <v>10</v>
      </c>
      <c r="K314" s="47">
        <v>285</v>
      </c>
      <c r="L314" s="47">
        <v>0</v>
      </c>
      <c r="M314" s="47">
        <v>0</v>
      </c>
      <c r="N314" s="47">
        <v>0</v>
      </c>
      <c r="O314" s="47">
        <v>196</v>
      </c>
      <c r="P314" s="47">
        <v>8574</v>
      </c>
      <c r="Q314" s="44" t="s">
        <v>1643</v>
      </c>
      <c r="R314" s="47">
        <v>114</v>
      </c>
      <c r="S314" s="47">
        <v>2830</v>
      </c>
      <c r="T314" s="47">
        <v>153</v>
      </c>
      <c r="U314" s="47">
        <v>1471</v>
      </c>
      <c r="V314" s="47">
        <v>92</v>
      </c>
      <c r="W314" s="47">
        <v>621</v>
      </c>
      <c r="X314" s="47">
        <v>32</v>
      </c>
      <c r="Y314" s="47">
        <v>109</v>
      </c>
      <c r="Z314" s="47">
        <v>473</v>
      </c>
      <c r="AA314" s="47">
        <v>10775</v>
      </c>
      <c r="AB314" s="76">
        <f t="shared" si="8"/>
        <v>22.780126849894291</v>
      </c>
      <c r="AC314" s="76">
        <f t="shared" si="9"/>
        <v>0.30709379542280618</v>
      </c>
      <c r="AD314" s="47">
        <v>35087</v>
      </c>
    </row>
    <row r="315" spans="1:30" ht="15.75" thickBot="1" x14ac:dyDescent="0.3">
      <c r="A315" s="44" t="s">
        <v>933</v>
      </c>
      <c r="B315" s="48" t="s">
        <v>934</v>
      </c>
      <c r="C315" s="44" t="s">
        <v>822</v>
      </c>
      <c r="D315" s="47">
        <v>284</v>
      </c>
      <c r="E315" s="47">
        <v>3542</v>
      </c>
      <c r="F315" s="47">
        <v>6</v>
      </c>
      <c r="G315" s="47">
        <v>225</v>
      </c>
      <c r="H315" s="47">
        <v>48</v>
      </c>
      <c r="I315" s="47">
        <v>1178</v>
      </c>
      <c r="J315" s="47">
        <v>12</v>
      </c>
      <c r="K315" s="47">
        <v>117</v>
      </c>
      <c r="L315" s="47">
        <v>365</v>
      </c>
      <c r="M315" s="47">
        <v>73</v>
      </c>
      <c r="N315" s="47">
        <v>438</v>
      </c>
      <c r="O315" s="47">
        <v>332</v>
      </c>
      <c r="P315" s="47">
        <v>4720</v>
      </c>
      <c r="Q315" s="44" t="s">
        <v>1643</v>
      </c>
      <c r="R315" s="47">
        <v>123</v>
      </c>
      <c r="S315" s="47">
        <v>1514</v>
      </c>
      <c r="T315" s="47">
        <v>18</v>
      </c>
      <c r="U315" s="47">
        <v>342</v>
      </c>
      <c r="V315" s="47">
        <v>65</v>
      </c>
      <c r="W315" s="47">
        <v>1151</v>
      </c>
      <c r="X315" s="47">
        <v>173</v>
      </c>
      <c r="Y315" s="47">
        <v>2845</v>
      </c>
      <c r="Z315" s="47">
        <v>588</v>
      </c>
      <c r="AA315" s="47">
        <v>9058</v>
      </c>
      <c r="AB315" s="76">
        <f t="shared" si="8"/>
        <v>15.404761904761905</v>
      </c>
      <c r="AC315" s="76">
        <f t="shared" si="9"/>
        <v>0.23835587600652597</v>
      </c>
      <c r="AD315" s="47">
        <v>38002</v>
      </c>
    </row>
    <row r="316" spans="1:30" ht="15.75" thickBot="1" x14ac:dyDescent="0.3">
      <c r="A316" s="44" t="s">
        <v>953</v>
      </c>
      <c r="B316" s="48" t="s">
        <v>954</v>
      </c>
      <c r="C316" s="44" t="s">
        <v>822</v>
      </c>
      <c r="D316" s="47">
        <v>228</v>
      </c>
      <c r="E316" s="47">
        <v>4502</v>
      </c>
      <c r="F316" s="47">
        <v>60</v>
      </c>
      <c r="G316" s="47">
        <v>532</v>
      </c>
      <c r="H316" s="47">
        <v>66</v>
      </c>
      <c r="I316" s="47">
        <v>2167</v>
      </c>
      <c r="J316" s="47">
        <v>9</v>
      </c>
      <c r="K316" s="47">
        <v>111</v>
      </c>
      <c r="L316" s="47">
        <v>270</v>
      </c>
      <c r="M316" s="47">
        <v>91</v>
      </c>
      <c r="N316" s="47">
        <v>361</v>
      </c>
      <c r="O316" s="47">
        <v>294</v>
      </c>
      <c r="P316" s="47">
        <v>6669</v>
      </c>
      <c r="Q316" s="44" t="s">
        <v>1643</v>
      </c>
      <c r="R316" s="47">
        <v>95</v>
      </c>
      <c r="S316" s="47">
        <v>2190</v>
      </c>
      <c r="T316" s="47">
        <v>69</v>
      </c>
      <c r="U316" s="47">
        <v>643</v>
      </c>
      <c r="V316" s="47">
        <v>103</v>
      </c>
      <c r="W316" s="47">
        <v>1412</v>
      </c>
      <c r="X316" s="47">
        <v>15</v>
      </c>
      <c r="Y316" s="47">
        <v>2987</v>
      </c>
      <c r="Z316" s="47">
        <v>481</v>
      </c>
      <c r="AA316" s="47">
        <v>11711</v>
      </c>
      <c r="AB316" s="76">
        <f t="shared" si="8"/>
        <v>24.347193347193347</v>
      </c>
      <c r="AC316" s="76">
        <f t="shared" si="9"/>
        <v>0.26995689357091812</v>
      </c>
      <c r="AD316" s="47">
        <v>43381</v>
      </c>
    </row>
    <row r="317" spans="1:30" ht="15.75" thickBot="1" x14ac:dyDescent="0.3">
      <c r="A317" s="44" t="s">
        <v>957</v>
      </c>
      <c r="B317" s="48" t="s">
        <v>958</v>
      </c>
      <c r="C317" s="44" t="s">
        <v>822</v>
      </c>
      <c r="D317" s="47">
        <v>363</v>
      </c>
      <c r="E317" s="47">
        <v>14393</v>
      </c>
      <c r="F317" s="47">
        <v>86</v>
      </c>
      <c r="G317" s="47">
        <v>1374</v>
      </c>
      <c r="H317" s="47">
        <v>53</v>
      </c>
      <c r="I317" s="47">
        <v>3380</v>
      </c>
      <c r="J317" s="47">
        <v>5</v>
      </c>
      <c r="K317" s="47">
        <v>102</v>
      </c>
      <c r="L317" s="47">
        <v>679</v>
      </c>
      <c r="M317" s="47">
        <v>162</v>
      </c>
      <c r="N317" s="47">
        <v>841</v>
      </c>
      <c r="O317" s="47">
        <v>416</v>
      </c>
      <c r="P317" s="47">
        <v>17773</v>
      </c>
      <c r="Q317" s="44" t="s">
        <v>1643</v>
      </c>
      <c r="R317" s="47">
        <v>145</v>
      </c>
      <c r="S317" s="47">
        <v>6007</v>
      </c>
      <c r="T317" s="47">
        <v>91</v>
      </c>
      <c r="U317" s="47">
        <v>1476</v>
      </c>
      <c r="V317" s="47">
        <v>179</v>
      </c>
      <c r="W317" s="47">
        <v>2508</v>
      </c>
      <c r="X317" s="47">
        <v>0</v>
      </c>
      <c r="Y317" s="47">
        <v>0</v>
      </c>
      <c r="Z317" s="47">
        <v>686</v>
      </c>
      <c r="AA317" s="47">
        <v>21757</v>
      </c>
      <c r="AB317" s="76">
        <f t="shared" si="8"/>
        <v>31.715743440233236</v>
      </c>
      <c r="AC317" s="76">
        <f t="shared" si="9"/>
        <v>0.61178753198549052</v>
      </c>
      <c r="AD317" s="47">
        <v>35563</v>
      </c>
    </row>
    <row r="318" spans="1:30" ht="15.75" thickBot="1" x14ac:dyDescent="0.3">
      <c r="A318" s="44" t="s">
        <v>971</v>
      </c>
      <c r="B318" s="48" t="s">
        <v>972</v>
      </c>
      <c r="C318" s="44" t="s">
        <v>822</v>
      </c>
      <c r="D318" s="47">
        <v>297</v>
      </c>
      <c r="E318" s="47">
        <v>10857</v>
      </c>
      <c r="F318" s="47">
        <v>56</v>
      </c>
      <c r="G318" s="47">
        <v>262</v>
      </c>
      <c r="H318" s="47">
        <v>49</v>
      </c>
      <c r="I318" s="47">
        <v>4429</v>
      </c>
      <c r="J318" s="47">
        <v>27</v>
      </c>
      <c r="K318" s="47">
        <v>331</v>
      </c>
      <c r="L318" s="47">
        <v>633</v>
      </c>
      <c r="M318" s="47">
        <v>150</v>
      </c>
      <c r="N318" s="47">
        <v>783</v>
      </c>
      <c r="O318" s="47">
        <v>346</v>
      </c>
      <c r="P318" s="47">
        <v>15286</v>
      </c>
      <c r="Q318" s="44" t="s">
        <v>1643</v>
      </c>
      <c r="R318" s="44">
        <v>0</v>
      </c>
      <c r="S318" s="44">
        <v>0</v>
      </c>
      <c r="T318" s="47">
        <v>83</v>
      </c>
      <c r="U318" s="47">
        <v>593</v>
      </c>
      <c r="V318" s="47">
        <v>350</v>
      </c>
      <c r="W318" s="47">
        <v>2055</v>
      </c>
      <c r="X318" s="47">
        <v>0</v>
      </c>
      <c r="Y318" s="47">
        <v>0</v>
      </c>
      <c r="Z318" s="47">
        <v>779</v>
      </c>
      <c r="AA318" s="47">
        <v>17934</v>
      </c>
      <c r="AB318" s="76">
        <f t="shared" si="8"/>
        <v>23.021822849807446</v>
      </c>
      <c r="AC318" s="76">
        <f t="shared" si="9"/>
        <v>0.44627482207734037</v>
      </c>
      <c r="AD318" s="47">
        <v>40186</v>
      </c>
    </row>
    <row r="319" spans="1:30" ht="15.75" thickBot="1" x14ac:dyDescent="0.3">
      <c r="A319" s="44" t="s">
        <v>973</v>
      </c>
      <c r="B319" s="48" t="s">
        <v>974</v>
      </c>
      <c r="C319" s="44" t="s">
        <v>822</v>
      </c>
      <c r="D319" s="47">
        <v>220</v>
      </c>
      <c r="E319" s="47">
        <v>3000</v>
      </c>
      <c r="F319" s="47">
        <v>12</v>
      </c>
      <c r="G319" s="47">
        <v>60</v>
      </c>
      <c r="H319" s="47">
        <v>56</v>
      </c>
      <c r="I319" s="47">
        <v>1854</v>
      </c>
      <c r="J319" s="47">
        <v>12</v>
      </c>
      <c r="K319" s="47">
        <v>220</v>
      </c>
      <c r="L319" s="47">
        <v>577</v>
      </c>
      <c r="M319" s="47">
        <v>284</v>
      </c>
      <c r="N319" s="47">
        <v>861</v>
      </c>
      <c r="O319" s="47">
        <v>276</v>
      </c>
      <c r="P319" s="47">
        <v>4854</v>
      </c>
      <c r="Q319" s="44" t="s">
        <v>1643</v>
      </c>
      <c r="R319" s="47">
        <v>15</v>
      </c>
      <c r="S319" s="47">
        <v>0</v>
      </c>
      <c r="T319" s="47">
        <v>24</v>
      </c>
      <c r="U319" s="47">
        <v>280</v>
      </c>
      <c r="V319" s="47">
        <v>352</v>
      </c>
      <c r="W319" s="47">
        <v>0</v>
      </c>
      <c r="X319" s="47">
        <v>300</v>
      </c>
      <c r="Y319" s="47">
        <v>5100</v>
      </c>
      <c r="Z319" s="47">
        <v>952</v>
      </c>
      <c r="AA319" s="47">
        <v>10234</v>
      </c>
      <c r="AB319" s="76">
        <f t="shared" si="8"/>
        <v>10.75</v>
      </c>
      <c r="AC319" s="76">
        <f t="shared" si="9"/>
        <v>0.36209885716307538</v>
      </c>
      <c r="AD319" s="47">
        <v>28263</v>
      </c>
    </row>
    <row r="320" spans="1:30" ht="15.75" thickBot="1" x14ac:dyDescent="0.3">
      <c r="A320" s="44" t="s">
        <v>983</v>
      </c>
      <c r="B320" s="48" t="s">
        <v>984</v>
      </c>
      <c r="C320" s="44" t="s">
        <v>822</v>
      </c>
      <c r="D320" s="47">
        <v>445</v>
      </c>
      <c r="E320" s="47">
        <v>21566</v>
      </c>
      <c r="F320" s="47">
        <v>69</v>
      </c>
      <c r="G320" s="47">
        <v>8489</v>
      </c>
      <c r="H320" s="47">
        <v>78</v>
      </c>
      <c r="I320" s="47">
        <v>4562</v>
      </c>
      <c r="J320" s="47">
        <v>19</v>
      </c>
      <c r="K320" s="47">
        <v>847</v>
      </c>
      <c r="L320" s="47">
        <v>737</v>
      </c>
      <c r="M320" s="47">
        <v>200</v>
      </c>
      <c r="N320" s="47">
        <v>937</v>
      </c>
      <c r="O320" s="47">
        <v>523</v>
      </c>
      <c r="P320" s="47">
        <v>26128</v>
      </c>
      <c r="Q320" s="44" t="s">
        <v>1643</v>
      </c>
      <c r="R320" s="47">
        <v>245</v>
      </c>
      <c r="S320" s="47">
        <v>6751</v>
      </c>
      <c r="T320" s="47">
        <v>88</v>
      </c>
      <c r="U320" s="47">
        <v>9336</v>
      </c>
      <c r="V320" s="47">
        <v>314</v>
      </c>
      <c r="W320" s="47">
        <v>7746</v>
      </c>
      <c r="X320" s="47">
        <v>0</v>
      </c>
      <c r="Y320" s="47">
        <v>0</v>
      </c>
      <c r="Z320" s="47">
        <v>925</v>
      </c>
      <c r="AA320" s="47">
        <v>43210</v>
      </c>
      <c r="AB320" s="76">
        <f t="shared" si="8"/>
        <v>46.713513513513512</v>
      </c>
      <c r="AC320" s="76">
        <f t="shared" si="9"/>
        <v>1.6373005948997765</v>
      </c>
      <c r="AD320" s="47">
        <v>26391</v>
      </c>
    </row>
    <row r="321" spans="1:30" ht="15.75" thickBot="1" x14ac:dyDescent="0.3">
      <c r="A321" s="44" t="s">
        <v>1001</v>
      </c>
      <c r="B321" s="48" t="s">
        <v>1002</v>
      </c>
      <c r="C321" s="44" t="s">
        <v>822</v>
      </c>
      <c r="D321" s="47">
        <v>294</v>
      </c>
      <c r="E321" s="47">
        <v>9920</v>
      </c>
      <c r="F321" s="47">
        <v>13</v>
      </c>
      <c r="G321" s="47">
        <v>115</v>
      </c>
      <c r="H321" s="47">
        <v>70</v>
      </c>
      <c r="I321" s="47">
        <v>3458</v>
      </c>
      <c r="J321" s="47">
        <v>6</v>
      </c>
      <c r="K321" s="47">
        <v>66</v>
      </c>
      <c r="L321" s="47">
        <v>879</v>
      </c>
      <c r="M321" s="47">
        <v>75</v>
      </c>
      <c r="N321" s="47">
        <v>954</v>
      </c>
      <c r="O321" s="47">
        <v>364</v>
      </c>
      <c r="P321" s="47">
        <v>13378</v>
      </c>
      <c r="Q321" s="44" t="s">
        <v>1643</v>
      </c>
      <c r="R321" s="47">
        <v>145</v>
      </c>
      <c r="S321" s="47">
        <v>3844</v>
      </c>
      <c r="T321" s="47">
        <v>19</v>
      </c>
      <c r="U321" s="47">
        <v>181</v>
      </c>
      <c r="V321" s="47">
        <v>306</v>
      </c>
      <c r="W321" s="47">
        <v>3028</v>
      </c>
      <c r="X321" s="47">
        <v>7</v>
      </c>
      <c r="Y321" s="47">
        <v>370</v>
      </c>
      <c r="Z321" s="47">
        <v>696</v>
      </c>
      <c r="AA321" s="47">
        <v>16957</v>
      </c>
      <c r="AB321" s="76">
        <f t="shared" si="8"/>
        <v>24.363505747126435</v>
      </c>
      <c r="AC321" s="76">
        <f t="shared" si="9"/>
        <v>0.51699746943504377</v>
      </c>
      <c r="AD321" s="47">
        <v>32799</v>
      </c>
    </row>
    <row r="322" spans="1:30" ht="15.75" thickBot="1" x14ac:dyDescent="0.3">
      <c r="A322" s="44" t="s">
        <v>1011</v>
      </c>
      <c r="B322" s="48" t="s">
        <v>1012</v>
      </c>
      <c r="C322" s="44" t="s">
        <v>822</v>
      </c>
      <c r="D322" s="47">
        <v>143</v>
      </c>
      <c r="E322" s="47">
        <v>5336</v>
      </c>
      <c r="F322" s="47">
        <v>10</v>
      </c>
      <c r="G322" s="47">
        <v>315</v>
      </c>
      <c r="H322" s="47">
        <v>58</v>
      </c>
      <c r="I322" s="47">
        <v>2380</v>
      </c>
      <c r="J322" s="47">
        <v>10</v>
      </c>
      <c r="K322" s="47">
        <v>304</v>
      </c>
      <c r="L322" s="47">
        <v>182</v>
      </c>
      <c r="M322" s="47">
        <v>40</v>
      </c>
      <c r="N322" s="47">
        <v>222</v>
      </c>
      <c r="O322" s="47">
        <v>201</v>
      </c>
      <c r="P322" s="47">
        <v>7716</v>
      </c>
      <c r="Q322" s="44" t="s">
        <v>1643</v>
      </c>
      <c r="R322" s="47">
        <v>88</v>
      </c>
      <c r="S322" s="47">
        <v>2055</v>
      </c>
      <c r="T322" s="47">
        <v>20</v>
      </c>
      <c r="U322" s="47">
        <v>619</v>
      </c>
      <c r="V322" s="47">
        <v>46</v>
      </c>
      <c r="W322" s="47">
        <v>387</v>
      </c>
      <c r="X322" s="47">
        <v>0</v>
      </c>
      <c r="Y322" s="47">
        <v>0</v>
      </c>
      <c r="Z322" s="47">
        <v>267</v>
      </c>
      <c r="AA322" s="47">
        <v>8722</v>
      </c>
      <c r="AB322" s="76">
        <f t="shared" si="8"/>
        <v>32.666666666666664</v>
      </c>
      <c r="AC322" s="76">
        <f t="shared" si="9"/>
        <v>0.33330785692448794</v>
      </c>
      <c r="AD322" s="47">
        <v>26168</v>
      </c>
    </row>
    <row r="323" spans="1:30" ht="15.75" thickBot="1" x14ac:dyDescent="0.3">
      <c r="A323" s="44" t="s">
        <v>1023</v>
      </c>
      <c r="B323" s="48" t="s">
        <v>1024</v>
      </c>
      <c r="C323" s="44" t="s">
        <v>822</v>
      </c>
      <c r="D323" s="47">
        <v>308</v>
      </c>
      <c r="E323" s="47">
        <v>12306</v>
      </c>
      <c r="F323" s="47">
        <v>220</v>
      </c>
      <c r="G323" s="47">
        <v>15762</v>
      </c>
      <c r="H323" s="47">
        <v>73</v>
      </c>
      <c r="I323" s="47">
        <v>4817</v>
      </c>
      <c r="J323" s="47">
        <v>34</v>
      </c>
      <c r="K323" s="47">
        <v>770</v>
      </c>
      <c r="L323" s="47">
        <v>1026</v>
      </c>
      <c r="M323" s="47">
        <v>248</v>
      </c>
      <c r="N323" s="47">
        <v>1274</v>
      </c>
      <c r="O323" s="47">
        <v>381</v>
      </c>
      <c r="P323" s="47">
        <v>17123</v>
      </c>
      <c r="Q323" s="44" t="s">
        <v>1643</v>
      </c>
      <c r="R323" s="47">
        <v>168</v>
      </c>
      <c r="S323" s="47">
        <v>7363</v>
      </c>
      <c r="T323" s="47">
        <v>254</v>
      </c>
      <c r="U323" s="47">
        <v>16532</v>
      </c>
      <c r="V323" s="47">
        <v>610</v>
      </c>
      <c r="W323" s="47">
        <v>12450</v>
      </c>
      <c r="X323" s="47">
        <v>0</v>
      </c>
      <c r="Y323" s="47">
        <v>0</v>
      </c>
      <c r="Z323" s="47">
        <v>1245</v>
      </c>
      <c r="AA323" s="47">
        <v>46105</v>
      </c>
      <c r="AB323" s="76">
        <f t="shared" si="8"/>
        <v>37.032128514056225</v>
      </c>
      <c r="AC323" s="76">
        <f t="shared" si="9"/>
        <v>0.94907264455834828</v>
      </c>
      <c r="AD323" s="47">
        <v>48579</v>
      </c>
    </row>
    <row r="324" spans="1:30" ht="15.75" thickBot="1" x14ac:dyDescent="0.3">
      <c r="A324" s="44" t="s">
        <v>1025</v>
      </c>
      <c r="B324" s="48" t="s">
        <v>1026</v>
      </c>
      <c r="C324" s="44" t="s">
        <v>822</v>
      </c>
      <c r="D324" s="47">
        <v>146</v>
      </c>
      <c r="E324" s="47">
        <v>1349</v>
      </c>
      <c r="F324" s="47">
        <v>3</v>
      </c>
      <c r="G324" s="47">
        <v>142</v>
      </c>
      <c r="H324" s="47">
        <v>8</v>
      </c>
      <c r="I324" s="47">
        <v>171</v>
      </c>
      <c r="J324" s="47">
        <v>2</v>
      </c>
      <c r="K324" s="47">
        <v>54</v>
      </c>
      <c r="L324" s="47">
        <v>33</v>
      </c>
      <c r="M324" s="47">
        <v>15</v>
      </c>
      <c r="N324" s="47">
        <v>48</v>
      </c>
      <c r="O324" s="47">
        <v>154</v>
      </c>
      <c r="P324" s="47">
        <v>1520</v>
      </c>
      <c r="Q324" s="44" t="s">
        <v>1643</v>
      </c>
      <c r="R324" s="47">
        <v>37</v>
      </c>
      <c r="S324" s="47">
        <v>287</v>
      </c>
      <c r="T324" s="47">
        <v>5</v>
      </c>
      <c r="U324" s="47">
        <v>196</v>
      </c>
      <c r="V324" s="47">
        <v>77</v>
      </c>
      <c r="W324" s="47">
        <v>1243</v>
      </c>
      <c r="X324" s="47">
        <v>12</v>
      </c>
      <c r="Y324" s="47">
        <v>1703</v>
      </c>
      <c r="Z324" s="47">
        <v>248</v>
      </c>
      <c r="AA324" s="47">
        <v>4662</v>
      </c>
      <c r="AB324" s="76">
        <f t="shared" si="8"/>
        <v>18.798387096774192</v>
      </c>
      <c r="AC324" s="76">
        <f t="shared" si="9"/>
        <v>0.14370260773071944</v>
      </c>
      <c r="AD324" s="47">
        <v>32442</v>
      </c>
    </row>
    <row r="325" spans="1:30" ht="15.75" thickBot="1" x14ac:dyDescent="0.3">
      <c r="A325" s="44" t="s">
        <v>1085</v>
      </c>
      <c r="B325" s="48" t="s">
        <v>1086</v>
      </c>
      <c r="C325" s="44" t="s">
        <v>822</v>
      </c>
      <c r="D325" s="47">
        <v>100</v>
      </c>
      <c r="E325" s="47">
        <v>1523</v>
      </c>
      <c r="F325" s="47">
        <v>19</v>
      </c>
      <c r="G325" s="47">
        <v>25</v>
      </c>
      <c r="H325" s="47">
        <v>30</v>
      </c>
      <c r="I325" s="47">
        <v>1201</v>
      </c>
      <c r="J325" s="47">
        <v>3</v>
      </c>
      <c r="K325" s="47">
        <v>6</v>
      </c>
      <c r="L325" s="47">
        <v>336</v>
      </c>
      <c r="M325" s="47">
        <v>52</v>
      </c>
      <c r="N325" s="47">
        <v>388</v>
      </c>
      <c r="O325" s="47">
        <v>130</v>
      </c>
      <c r="P325" s="47">
        <v>2724</v>
      </c>
      <c r="Q325" s="44" t="s">
        <v>1643</v>
      </c>
      <c r="R325" s="47">
        <v>79</v>
      </c>
      <c r="S325" s="47">
        <v>1199</v>
      </c>
      <c r="T325" s="47">
        <v>22</v>
      </c>
      <c r="U325" s="47">
        <v>31</v>
      </c>
      <c r="V325" s="47">
        <v>182</v>
      </c>
      <c r="W325" s="47">
        <v>1466</v>
      </c>
      <c r="X325" s="47">
        <v>6</v>
      </c>
      <c r="Y325" s="47">
        <v>532</v>
      </c>
      <c r="Z325" s="47">
        <v>340</v>
      </c>
      <c r="AA325" s="47">
        <v>4753</v>
      </c>
      <c r="AB325" s="76">
        <f t="shared" ref="AB325:AB388" si="10">AA325/Z325</f>
        <v>13.979411764705882</v>
      </c>
      <c r="AC325" s="76">
        <f t="shared" ref="AC325:AC388" si="11">AA325/AD325</f>
        <v>0.17163801820020222</v>
      </c>
      <c r="AD325" s="47">
        <v>27692</v>
      </c>
    </row>
    <row r="326" spans="1:30" ht="15.75" thickBot="1" x14ac:dyDescent="0.3">
      <c r="A326" s="44" t="s">
        <v>1093</v>
      </c>
      <c r="B326" s="48" t="s">
        <v>1094</v>
      </c>
      <c r="C326" s="44" t="s">
        <v>822</v>
      </c>
      <c r="D326" s="47">
        <v>244</v>
      </c>
      <c r="E326" s="47">
        <v>9024</v>
      </c>
      <c r="F326" s="47">
        <v>15</v>
      </c>
      <c r="G326" s="47">
        <v>376</v>
      </c>
      <c r="H326" s="47">
        <v>41</v>
      </c>
      <c r="I326" s="47">
        <v>1743</v>
      </c>
      <c r="J326" s="47">
        <v>7</v>
      </c>
      <c r="K326" s="47">
        <v>122</v>
      </c>
      <c r="L326" s="47">
        <v>2262</v>
      </c>
      <c r="M326" s="47">
        <v>497</v>
      </c>
      <c r="N326" s="47">
        <v>2759</v>
      </c>
      <c r="O326" s="47">
        <v>285</v>
      </c>
      <c r="P326" s="47">
        <v>10767</v>
      </c>
      <c r="Q326" s="44" t="s">
        <v>1643</v>
      </c>
      <c r="R326" s="47">
        <v>75</v>
      </c>
      <c r="S326" s="47">
        <v>2671</v>
      </c>
      <c r="T326" s="47">
        <v>22</v>
      </c>
      <c r="U326" s="47">
        <v>498</v>
      </c>
      <c r="V326" s="47">
        <v>324</v>
      </c>
      <c r="W326" s="47">
        <v>5519</v>
      </c>
      <c r="X326" s="47">
        <v>0</v>
      </c>
      <c r="Y326" s="47">
        <v>0</v>
      </c>
      <c r="Z326" s="47">
        <v>631</v>
      </c>
      <c r="AA326" s="47">
        <v>16784</v>
      </c>
      <c r="AB326" s="76">
        <f t="shared" si="10"/>
        <v>26.599049128367671</v>
      </c>
      <c r="AC326" s="76">
        <f t="shared" si="11"/>
        <v>0.35722038948600615</v>
      </c>
      <c r="AD326" s="47">
        <v>46985</v>
      </c>
    </row>
    <row r="327" spans="1:30" ht="15.75" thickBot="1" x14ac:dyDescent="0.3">
      <c r="A327" s="44" t="s">
        <v>1113</v>
      </c>
      <c r="B327" s="48" t="s">
        <v>1114</v>
      </c>
      <c r="C327" s="44" t="s">
        <v>822</v>
      </c>
      <c r="D327" s="47">
        <v>140</v>
      </c>
      <c r="E327" s="47">
        <v>6420</v>
      </c>
      <c r="F327" s="47">
        <v>8</v>
      </c>
      <c r="G327" s="47">
        <v>124</v>
      </c>
      <c r="H327" s="47">
        <v>20</v>
      </c>
      <c r="I327" s="47">
        <v>929</v>
      </c>
      <c r="J327" s="47">
        <v>0</v>
      </c>
      <c r="K327" s="47">
        <v>0</v>
      </c>
      <c r="L327" s="47">
        <v>312</v>
      </c>
      <c r="M327" s="47">
        <v>0</v>
      </c>
      <c r="N327" s="47">
        <v>312</v>
      </c>
      <c r="O327" s="47">
        <v>160</v>
      </c>
      <c r="P327" s="47">
        <v>7349</v>
      </c>
      <c r="Q327" s="44" t="s">
        <v>1643</v>
      </c>
      <c r="R327" s="47">
        <v>32</v>
      </c>
      <c r="S327" s="47">
        <v>295</v>
      </c>
      <c r="T327" s="47">
        <v>8</v>
      </c>
      <c r="U327" s="47">
        <v>124</v>
      </c>
      <c r="V327" s="47">
        <v>135</v>
      </c>
      <c r="W327" s="47">
        <v>2350</v>
      </c>
      <c r="X327" s="47">
        <v>3</v>
      </c>
      <c r="Y327" s="47">
        <v>350</v>
      </c>
      <c r="Z327" s="47">
        <v>306</v>
      </c>
      <c r="AA327" s="47">
        <v>10173</v>
      </c>
      <c r="AB327" s="76">
        <f t="shared" si="10"/>
        <v>33.245098039215684</v>
      </c>
      <c r="AC327" s="76">
        <f t="shared" si="11"/>
        <v>0.2487407697197907</v>
      </c>
      <c r="AD327" s="47">
        <v>40898</v>
      </c>
    </row>
    <row r="328" spans="1:30" ht="15.75" thickBot="1" x14ac:dyDescent="0.3">
      <c r="A328" s="44" t="s">
        <v>1171</v>
      </c>
      <c r="B328" s="48" t="s">
        <v>1172</v>
      </c>
      <c r="C328" s="44" t="s">
        <v>822</v>
      </c>
      <c r="D328" s="47">
        <v>107</v>
      </c>
      <c r="E328" s="47">
        <v>4505</v>
      </c>
      <c r="F328" s="47">
        <v>0</v>
      </c>
      <c r="G328" s="47">
        <v>0</v>
      </c>
      <c r="H328" s="47">
        <v>0</v>
      </c>
      <c r="I328" s="47">
        <v>0</v>
      </c>
      <c r="J328" s="47">
        <v>0</v>
      </c>
      <c r="K328" s="47">
        <v>0</v>
      </c>
      <c r="L328" s="47">
        <v>0</v>
      </c>
      <c r="M328" s="47">
        <v>0</v>
      </c>
      <c r="N328" s="47">
        <v>0</v>
      </c>
      <c r="O328" s="47">
        <v>107</v>
      </c>
      <c r="P328" s="47">
        <v>4505</v>
      </c>
      <c r="Q328" s="44" t="s">
        <v>1643</v>
      </c>
      <c r="R328" s="47">
        <v>50</v>
      </c>
      <c r="S328" s="47">
        <v>888</v>
      </c>
      <c r="T328" s="47">
        <v>0</v>
      </c>
      <c r="U328" s="47">
        <v>0</v>
      </c>
      <c r="V328" s="47">
        <v>30</v>
      </c>
      <c r="W328" s="47">
        <v>981</v>
      </c>
      <c r="X328" s="47">
        <v>1</v>
      </c>
      <c r="Y328" s="47">
        <v>50</v>
      </c>
      <c r="Z328" s="47">
        <v>138</v>
      </c>
      <c r="AA328" s="47">
        <v>5536</v>
      </c>
      <c r="AB328" s="76">
        <f t="shared" si="10"/>
        <v>40.115942028985508</v>
      </c>
      <c r="AC328" s="76">
        <f t="shared" si="11"/>
        <v>0.13248456420810797</v>
      </c>
      <c r="AD328" s="47">
        <v>41786</v>
      </c>
    </row>
    <row r="329" spans="1:30" ht="15.75" thickBot="1" x14ac:dyDescent="0.3">
      <c r="A329" s="44" t="s">
        <v>1215</v>
      </c>
      <c r="B329" s="48" t="s">
        <v>1216</v>
      </c>
      <c r="C329" s="44" t="s">
        <v>822</v>
      </c>
      <c r="D329" s="47">
        <v>261</v>
      </c>
      <c r="E329" s="47">
        <v>13098</v>
      </c>
      <c r="F329" s="47">
        <v>43</v>
      </c>
      <c r="G329" s="47">
        <v>552</v>
      </c>
      <c r="H329" s="47">
        <v>41</v>
      </c>
      <c r="I329" s="47">
        <v>1683</v>
      </c>
      <c r="J329" s="47">
        <v>20</v>
      </c>
      <c r="K329" s="47">
        <v>90</v>
      </c>
      <c r="L329" s="47">
        <v>635</v>
      </c>
      <c r="M329" s="47">
        <v>173</v>
      </c>
      <c r="N329" s="47">
        <v>808</v>
      </c>
      <c r="O329" s="47">
        <v>302</v>
      </c>
      <c r="P329" s="47">
        <v>14781</v>
      </c>
      <c r="Q329" s="44" t="s">
        <v>1643</v>
      </c>
      <c r="R329" s="47">
        <v>70</v>
      </c>
      <c r="S329" s="47">
        <v>1200</v>
      </c>
      <c r="T329" s="47">
        <v>63</v>
      </c>
      <c r="U329" s="47">
        <v>642</v>
      </c>
      <c r="V329" s="47">
        <v>229</v>
      </c>
      <c r="W329" s="47">
        <v>2238</v>
      </c>
      <c r="X329" s="47">
        <v>233</v>
      </c>
      <c r="Y329" s="47">
        <v>2399</v>
      </c>
      <c r="Z329" s="47">
        <v>827</v>
      </c>
      <c r="AA329" s="47">
        <v>20060</v>
      </c>
      <c r="AB329" s="76">
        <f t="shared" si="10"/>
        <v>24.25634824667473</v>
      </c>
      <c r="AC329" s="76">
        <f t="shared" si="11"/>
        <v>0.49201638419464816</v>
      </c>
      <c r="AD329" s="47">
        <v>40771</v>
      </c>
    </row>
    <row r="330" spans="1:30" ht="15.75" thickBot="1" x14ac:dyDescent="0.3">
      <c r="A330" s="44" t="s">
        <v>1221</v>
      </c>
      <c r="B330" s="48" t="s">
        <v>1222</v>
      </c>
      <c r="C330" s="44" t="s">
        <v>822</v>
      </c>
      <c r="D330" s="47">
        <v>82</v>
      </c>
      <c r="E330" s="47">
        <v>917</v>
      </c>
      <c r="F330" s="47">
        <v>8</v>
      </c>
      <c r="G330" s="47">
        <v>51</v>
      </c>
      <c r="H330" s="47">
        <v>13</v>
      </c>
      <c r="I330" s="47">
        <v>428</v>
      </c>
      <c r="J330" s="47">
        <v>2</v>
      </c>
      <c r="K330" s="47">
        <v>23</v>
      </c>
      <c r="L330" s="47">
        <v>254</v>
      </c>
      <c r="M330" s="47">
        <v>24</v>
      </c>
      <c r="N330" s="47">
        <v>278</v>
      </c>
      <c r="O330" s="47">
        <v>95</v>
      </c>
      <c r="P330" s="47">
        <v>1345</v>
      </c>
      <c r="Q330" s="44" t="s">
        <v>1643</v>
      </c>
      <c r="R330" s="47">
        <v>14</v>
      </c>
      <c r="S330" s="47">
        <v>102</v>
      </c>
      <c r="T330" s="47">
        <v>10</v>
      </c>
      <c r="U330" s="47">
        <v>74</v>
      </c>
      <c r="V330" s="47">
        <v>102</v>
      </c>
      <c r="W330" s="47">
        <v>714</v>
      </c>
      <c r="X330" s="47">
        <v>3</v>
      </c>
      <c r="Y330" s="47">
        <v>121</v>
      </c>
      <c r="Z330" s="47">
        <v>210</v>
      </c>
      <c r="AA330" s="47">
        <v>2254</v>
      </c>
      <c r="AB330" s="76">
        <f t="shared" si="10"/>
        <v>10.733333333333333</v>
      </c>
      <c r="AC330" s="76">
        <f t="shared" si="11"/>
        <v>5.909186241610738E-2</v>
      </c>
      <c r="AD330" s="47">
        <v>38144</v>
      </c>
    </row>
    <row r="331" spans="1:30" ht="15.75" thickBot="1" x14ac:dyDescent="0.3">
      <c r="A331" s="44" t="s">
        <v>1231</v>
      </c>
      <c r="B331" s="48" t="s">
        <v>1232</v>
      </c>
      <c r="C331" s="44" t="s">
        <v>822</v>
      </c>
      <c r="D331" s="47">
        <v>241</v>
      </c>
      <c r="E331" s="47">
        <v>10979</v>
      </c>
      <c r="F331" s="47">
        <v>52</v>
      </c>
      <c r="G331" s="47">
        <v>445</v>
      </c>
      <c r="H331" s="47">
        <v>8</v>
      </c>
      <c r="I331" s="47">
        <v>955</v>
      </c>
      <c r="J331" s="47">
        <v>10</v>
      </c>
      <c r="K331" s="47">
        <v>104</v>
      </c>
      <c r="L331" s="47">
        <v>1002</v>
      </c>
      <c r="M331" s="47">
        <v>389</v>
      </c>
      <c r="N331" s="47">
        <v>1391</v>
      </c>
      <c r="O331" s="47">
        <v>249</v>
      </c>
      <c r="P331" s="47">
        <v>11934</v>
      </c>
      <c r="Q331" s="44" t="s">
        <v>1643</v>
      </c>
      <c r="R331" s="47">
        <v>120</v>
      </c>
      <c r="S331" s="47">
        <v>4073</v>
      </c>
      <c r="T331" s="47">
        <v>62</v>
      </c>
      <c r="U331" s="47">
        <v>549</v>
      </c>
      <c r="V331" s="47">
        <v>106</v>
      </c>
      <c r="W331" s="47">
        <v>2388</v>
      </c>
      <c r="X331" s="47">
        <v>228</v>
      </c>
      <c r="Y331" s="47">
        <v>7008</v>
      </c>
      <c r="Z331" s="47">
        <v>645</v>
      </c>
      <c r="AA331" s="47">
        <v>21879</v>
      </c>
      <c r="AB331" s="76">
        <f t="shared" si="10"/>
        <v>33.920930232558142</v>
      </c>
      <c r="AC331" s="76">
        <f t="shared" si="11"/>
        <v>0.61561620709060216</v>
      </c>
      <c r="AD331" s="47">
        <v>35540</v>
      </c>
    </row>
    <row r="332" spans="1:30" ht="15.75" thickBot="1" x14ac:dyDescent="0.3">
      <c r="A332" s="44" t="s">
        <v>1247</v>
      </c>
      <c r="B332" s="48" t="s">
        <v>1248</v>
      </c>
      <c r="C332" s="44" t="s">
        <v>822</v>
      </c>
      <c r="D332" s="47">
        <v>53</v>
      </c>
      <c r="E332" s="47">
        <v>931</v>
      </c>
      <c r="F332" s="47">
        <v>1</v>
      </c>
      <c r="G332" s="47">
        <v>35</v>
      </c>
      <c r="H332" s="47">
        <v>11</v>
      </c>
      <c r="I332" s="47">
        <v>392</v>
      </c>
      <c r="J332" s="47">
        <v>1</v>
      </c>
      <c r="K332" s="47">
        <v>2</v>
      </c>
      <c r="L332" s="47">
        <v>131</v>
      </c>
      <c r="M332" s="47">
        <v>8</v>
      </c>
      <c r="N332" s="47">
        <v>139</v>
      </c>
      <c r="O332" s="47">
        <v>64</v>
      </c>
      <c r="P332" s="47">
        <v>1323</v>
      </c>
      <c r="Q332" s="44" t="s">
        <v>1643</v>
      </c>
      <c r="R332" s="47">
        <v>37</v>
      </c>
      <c r="S332" s="47">
        <v>811</v>
      </c>
      <c r="T332" s="47">
        <v>2</v>
      </c>
      <c r="U332" s="47">
        <v>37</v>
      </c>
      <c r="V332" s="47">
        <v>42</v>
      </c>
      <c r="W332" s="47">
        <v>337</v>
      </c>
      <c r="X332" s="47">
        <v>106</v>
      </c>
      <c r="Y332" s="47">
        <v>3892</v>
      </c>
      <c r="Z332" s="47">
        <v>214</v>
      </c>
      <c r="AA332" s="47">
        <v>5589</v>
      </c>
      <c r="AB332" s="76">
        <f t="shared" si="10"/>
        <v>26.116822429906541</v>
      </c>
      <c r="AC332" s="76">
        <f t="shared" si="11"/>
        <v>0.1882198423924025</v>
      </c>
      <c r="AD332" s="47">
        <v>29694</v>
      </c>
    </row>
    <row r="333" spans="1:30" ht="15.75" thickBot="1" x14ac:dyDescent="0.3">
      <c r="A333" s="44" t="s">
        <v>1267</v>
      </c>
      <c r="B333" s="48" t="s">
        <v>1268</v>
      </c>
      <c r="C333" s="44" t="s">
        <v>822</v>
      </c>
      <c r="D333" s="47">
        <v>759</v>
      </c>
      <c r="E333" s="47">
        <v>10388</v>
      </c>
      <c r="F333" s="47">
        <v>551</v>
      </c>
      <c r="G333" s="47">
        <v>6054</v>
      </c>
      <c r="H333" s="47">
        <v>299</v>
      </c>
      <c r="I333" s="47">
        <v>5814</v>
      </c>
      <c r="J333" s="47">
        <v>145</v>
      </c>
      <c r="K333" s="47">
        <v>1735</v>
      </c>
      <c r="L333" s="47">
        <v>261</v>
      </c>
      <c r="M333" s="47">
        <v>56</v>
      </c>
      <c r="N333" s="47">
        <v>317</v>
      </c>
      <c r="O333" s="47">
        <v>1058</v>
      </c>
      <c r="P333" s="47">
        <v>16202</v>
      </c>
      <c r="Q333" s="44" t="s">
        <v>1643</v>
      </c>
      <c r="R333" s="47">
        <v>950</v>
      </c>
      <c r="S333" s="47">
        <v>14197</v>
      </c>
      <c r="T333" s="47">
        <v>696</v>
      </c>
      <c r="U333" s="47">
        <v>7789</v>
      </c>
      <c r="V333" s="47">
        <v>67</v>
      </c>
      <c r="W333" s="47">
        <v>513</v>
      </c>
      <c r="X333" s="47">
        <v>7</v>
      </c>
      <c r="Y333" s="47">
        <v>1956</v>
      </c>
      <c r="Z333" s="47">
        <v>1828</v>
      </c>
      <c r="AA333" s="47">
        <v>26460</v>
      </c>
      <c r="AB333" s="76">
        <f t="shared" si="10"/>
        <v>14.474835886214443</v>
      </c>
      <c r="AC333" s="76">
        <f t="shared" si="11"/>
        <v>0.92368917126300354</v>
      </c>
      <c r="AD333" s="47">
        <v>28646</v>
      </c>
    </row>
    <row r="334" spans="1:30" ht="15.75" thickBot="1" x14ac:dyDescent="0.3">
      <c r="A334" s="44" t="s">
        <v>1323</v>
      </c>
      <c r="B334" s="48" t="s">
        <v>1324</v>
      </c>
      <c r="C334" s="44" t="s">
        <v>822</v>
      </c>
      <c r="D334" s="47">
        <v>223</v>
      </c>
      <c r="E334" s="47">
        <v>7044</v>
      </c>
      <c r="F334" s="47">
        <v>39</v>
      </c>
      <c r="G334" s="47">
        <v>1220</v>
      </c>
      <c r="H334" s="47">
        <v>30</v>
      </c>
      <c r="I334" s="47">
        <v>2368</v>
      </c>
      <c r="J334" s="47">
        <v>9</v>
      </c>
      <c r="K334" s="47">
        <v>189</v>
      </c>
      <c r="L334" s="47">
        <v>718</v>
      </c>
      <c r="M334" s="47">
        <v>207</v>
      </c>
      <c r="N334" s="47">
        <v>925</v>
      </c>
      <c r="O334" s="47">
        <v>253</v>
      </c>
      <c r="P334" s="47">
        <v>9412</v>
      </c>
      <c r="Q334" s="44" t="s">
        <v>1643</v>
      </c>
      <c r="R334" s="47">
        <v>133</v>
      </c>
      <c r="S334" s="47">
        <v>1653</v>
      </c>
      <c r="T334" s="47">
        <v>48</v>
      </c>
      <c r="U334" s="47">
        <v>1409</v>
      </c>
      <c r="V334" s="47">
        <v>161</v>
      </c>
      <c r="W334" s="47">
        <v>3492</v>
      </c>
      <c r="X334" s="47">
        <v>0</v>
      </c>
      <c r="Y334" s="47">
        <v>0</v>
      </c>
      <c r="Z334" s="47">
        <v>462</v>
      </c>
      <c r="AA334" s="47">
        <v>14313</v>
      </c>
      <c r="AB334" s="76">
        <f t="shared" si="10"/>
        <v>30.980519480519479</v>
      </c>
      <c r="AC334" s="76">
        <f t="shared" si="11"/>
        <v>0.41526677691705111</v>
      </c>
      <c r="AD334" s="47">
        <v>34467</v>
      </c>
    </row>
    <row r="335" spans="1:30" ht="15.75" thickBot="1" x14ac:dyDescent="0.3">
      <c r="A335" s="44" t="s">
        <v>1329</v>
      </c>
      <c r="B335" s="48" t="s">
        <v>1330</v>
      </c>
      <c r="C335" s="44" t="s">
        <v>822</v>
      </c>
      <c r="D335" s="47">
        <v>68</v>
      </c>
      <c r="E335" s="47">
        <v>597</v>
      </c>
      <c r="F335" s="47">
        <v>82</v>
      </c>
      <c r="G335" s="47">
        <v>732</v>
      </c>
      <c r="H335" s="47">
        <v>24</v>
      </c>
      <c r="I335" s="47">
        <v>407</v>
      </c>
      <c r="J335" s="47">
        <v>13</v>
      </c>
      <c r="K335" s="47">
        <v>149</v>
      </c>
      <c r="L335" s="47">
        <v>95</v>
      </c>
      <c r="M335" s="47">
        <v>26</v>
      </c>
      <c r="N335" s="47">
        <v>121</v>
      </c>
      <c r="O335" s="47">
        <v>92</v>
      </c>
      <c r="P335" s="47">
        <v>1004</v>
      </c>
      <c r="Q335" s="44" t="s">
        <v>1643</v>
      </c>
      <c r="R335" s="47">
        <v>43</v>
      </c>
      <c r="S335" s="47">
        <v>737</v>
      </c>
      <c r="T335" s="47">
        <v>95</v>
      </c>
      <c r="U335" s="47">
        <v>881</v>
      </c>
      <c r="V335" s="47">
        <v>115</v>
      </c>
      <c r="W335" s="47">
        <v>1229</v>
      </c>
      <c r="X335" s="47">
        <v>14</v>
      </c>
      <c r="Y335" s="47">
        <v>470</v>
      </c>
      <c r="Z335" s="47">
        <v>316</v>
      </c>
      <c r="AA335" s="47">
        <v>3584</v>
      </c>
      <c r="AB335" s="76">
        <f t="shared" si="10"/>
        <v>11.341772151898734</v>
      </c>
      <c r="AC335" s="76">
        <f t="shared" si="11"/>
        <v>0.12224154984822129</v>
      </c>
      <c r="AD335" s="47">
        <v>29319</v>
      </c>
    </row>
    <row r="336" spans="1:30" ht="15.75" thickBot="1" x14ac:dyDescent="0.3">
      <c r="A336" s="44" t="s">
        <v>1335</v>
      </c>
      <c r="B336" s="48" t="s">
        <v>1336</v>
      </c>
      <c r="C336" s="44" t="s">
        <v>822</v>
      </c>
      <c r="D336" s="47">
        <v>405</v>
      </c>
      <c r="E336" s="47">
        <v>13657</v>
      </c>
      <c r="F336" s="47">
        <v>67</v>
      </c>
      <c r="G336" s="47">
        <v>1380</v>
      </c>
      <c r="H336" s="47">
        <v>50</v>
      </c>
      <c r="I336" s="47">
        <v>2421</v>
      </c>
      <c r="J336" s="47">
        <v>11</v>
      </c>
      <c r="K336" s="47">
        <v>139</v>
      </c>
      <c r="L336" s="47">
        <v>797</v>
      </c>
      <c r="M336" s="47">
        <v>307</v>
      </c>
      <c r="N336" s="47">
        <v>1104</v>
      </c>
      <c r="O336" s="47">
        <v>455</v>
      </c>
      <c r="P336" s="47">
        <v>16078</v>
      </c>
      <c r="Q336" s="44" t="s">
        <v>1643</v>
      </c>
      <c r="R336" s="47">
        <v>189</v>
      </c>
      <c r="S336" s="47">
        <v>4125</v>
      </c>
      <c r="T336" s="47">
        <v>78</v>
      </c>
      <c r="U336" s="47">
        <v>1519</v>
      </c>
      <c r="V336" s="47">
        <v>440</v>
      </c>
      <c r="W336" s="47">
        <v>6273</v>
      </c>
      <c r="X336" s="47">
        <v>5</v>
      </c>
      <c r="Y336" s="47">
        <v>2335</v>
      </c>
      <c r="Z336" s="47">
        <v>978</v>
      </c>
      <c r="AA336" s="47">
        <v>26205</v>
      </c>
      <c r="AB336" s="76">
        <f t="shared" si="10"/>
        <v>26.79447852760736</v>
      </c>
      <c r="AC336" s="76">
        <f t="shared" si="11"/>
        <v>0.74037972537718255</v>
      </c>
      <c r="AD336" s="47">
        <v>35394</v>
      </c>
    </row>
    <row r="337" spans="1:30" ht="15.75" thickBot="1" x14ac:dyDescent="0.3">
      <c r="A337" s="44" t="s">
        <v>1363</v>
      </c>
      <c r="B337" s="48" t="s">
        <v>1364</v>
      </c>
      <c r="C337" s="44" t="s">
        <v>822</v>
      </c>
      <c r="D337" s="47">
        <v>318</v>
      </c>
      <c r="E337" s="47">
        <v>9382</v>
      </c>
      <c r="F337" s="47">
        <v>46</v>
      </c>
      <c r="G337" s="47">
        <v>1459</v>
      </c>
      <c r="H337" s="47">
        <v>96</v>
      </c>
      <c r="I337" s="47">
        <v>4304</v>
      </c>
      <c r="J337" s="47">
        <v>20</v>
      </c>
      <c r="K337" s="47">
        <v>404</v>
      </c>
      <c r="L337" s="47">
        <v>685</v>
      </c>
      <c r="M337" s="47">
        <v>97</v>
      </c>
      <c r="N337" s="47">
        <v>782</v>
      </c>
      <c r="O337" s="47">
        <v>414</v>
      </c>
      <c r="P337" s="47">
        <v>13686</v>
      </c>
      <c r="Q337" s="44" t="s">
        <v>1643</v>
      </c>
      <c r="R337" s="47">
        <v>208</v>
      </c>
      <c r="S337" s="47">
        <v>4464</v>
      </c>
      <c r="T337" s="47">
        <v>66</v>
      </c>
      <c r="U337" s="47">
        <v>1863</v>
      </c>
      <c r="V337" s="47">
        <v>211</v>
      </c>
      <c r="W337" s="47">
        <v>6347</v>
      </c>
      <c r="X337" s="47">
        <v>0</v>
      </c>
      <c r="Y337" s="47">
        <v>0</v>
      </c>
      <c r="Z337" s="47">
        <v>691</v>
      </c>
      <c r="AA337" s="47">
        <v>21896</v>
      </c>
      <c r="AB337" s="76">
        <f t="shared" si="10"/>
        <v>31.68740955137482</v>
      </c>
      <c r="AC337" s="76">
        <f t="shared" si="11"/>
        <v>0.60086166680387476</v>
      </c>
      <c r="AD337" s="47">
        <v>36441</v>
      </c>
    </row>
    <row r="338" spans="1:30" ht="15.75" thickBot="1" x14ac:dyDescent="0.3">
      <c r="A338" s="44" t="s">
        <v>1373</v>
      </c>
      <c r="B338" s="48" t="s">
        <v>1374</v>
      </c>
      <c r="C338" s="44" t="s">
        <v>822</v>
      </c>
      <c r="D338" s="47">
        <v>315</v>
      </c>
      <c r="E338" s="47">
        <v>9015</v>
      </c>
      <c r="F338" s="47">
        <v>147</v>
      </c>
      <c r="G338" s="47">
        <v>1342</v>
      </c>
      <c r="H338" s="47">
        <v>56</v>
      </c>
      <c r="I338" s="47">
        <v>1716</v>
      </c>
      <c r="J338" s="47">
        <v>29</v>
      </c>
      <c r="K338" s="47">
        <v>881</v>
      </c>
      <c r="L338" s="47">
        <v>1125</v>
      </c>
      <c r="M338" s="47">
        <v>180</v>
      </c>
      <c r="N338" s="47">
        <v>1305</v>
      </c>
      <c r="O338" s="47">
        <v>371</v>
      </c>
      <c r="P338" s="47">
        <v>10731</v>
      </c>
      <c r="Q338" s="44" t="s">
        <v>1643</v>
      </c>
      <c r="R338" s="47">
        <v>232</v>
      </c>
      <c r="S338" s="47">
        <v>5098</v>
      </c>
      <c r="T338" s="47">
        <v>176</v>
      </c>
      <c r="U338" s="47">
        <v>2223</v>
      </c>
      <c r="V338" s="47">
        <v>197</v>
      </c>
      <c r="W338" s="47">
        <v>3475</v>
      </c>
      <c r="X338" s="47">
        <v>155</v>
      </c>
      <c r="Y338" s="47">
        <v>2394</v>
      </c>
      <c r="Z338" s="47">
        <v>899</v>
      </c>
      <c r="AA338" s="47">
        <v>18823</v>
      </c>
      <c r="AB338" s="76">
        <f t="shared" si="10"/>
        <v>20.937708565072302</v>
      </c>
      <c r="AC338" s="76">
        <f t="shared" si="11"/>
        <v>0.51350392841553905</v>
      </c>
      <c r="AD338" s="47">
        <v>36656</v>
      </c>
    </row>
    <row r="339" spans="1:30" ht="15.75" thickBot="1" x14ac:dyDescent="0.3">
      <c r="A339" s="44" t="s">
        <v>1401</v>
      </c>
      <c r="B339" s="48" t="s">
        <v>1402</v>
      </c>
      <c r="C339" s="44" t="s">
        <v>822</v>
      </c>
      <c r="D339" s="47">
        <v>125</v>
      </c>
      <c r="E339" s="47">
        <v>3118</v>
      </c>
      <c r="F339" s="47">
        <v>29</v>
      </c>
      <c r="G339" s="47">
        <v>176</v>
      </c>
      <c r="H339" s="47">
        <v>39</v>
      </c>
      <c r="I339" s="47">
        <v>1476</v>
      </c>
      <c r="J339" s="47">
        <v>7</v>
      </c>
      <c r="K339" s="47">
        <v>53</v>
      </c>
      <c r="L339" s="47">
        <v>420</v>
      </c>
      <c r="M339" s="47">
        <v>50</v>
      </c>
      <c r="N339" s="47">
        <v>470</v>
      </c>
      <c r="O339" s="47">
        <v>164</v>
      </c>
      <c r="P339" s="47">
        <v>4594</v>
      </c>
      <c r="Q339" s="44" t="s">
        <v>1643</v>
      </c>
      <c r="R339" s="47">
        <v>5</v>
      </c>
      <c r="S339" s="47">
        <v>67</v>
      </c>
      <c r="T339" s="47">
        <v>36</v>
      </c>
      <c r="U339" s="47">
        <v>229</v>
      </c>
      <c r="V339" s="47">
        <v>76</v>
      </c>
      <c r="W339" s="47">
        <v>987</v>
      </c>
      <c r="X339" s="47">
        <v>0</v>
      </c>
      <c r="Y339" s="47">
        <v>0</v>
      </c>
      <c r="Z339" s="47">
        <v>276</v>
      </c>
      <c r="AA339" s="47">
        <v>5810</v>
      </c>
      <c r="AB339" s="76">
        <f t="shared" si="10"/>
        <v>21.05072463768116</v>
      </c>
      <c r="AC339" s="76">
        <f t="shared" si="11"/>
        <v>0.12013564368719243</v>
      </c>
      <c r="AD339" s="47">
        <v>48362</v>
      </c>
    </row>
    <row r="340" spans="1:30" ht="15.75" thickBot="1" x14ac:dyDescent="0.3">
      <c r="A340" s="44" t="s">
        <v>1425</v>
      </c>
      <c r="B340" s="48" t="s">
        <v>1426</v>
      </c>
      <c r="C340" s="44" t="s">
        <v>822</v>
      </c>
      <c r="D340" s="47">
        <v>203</v>
      </c>
      <c r="E340" s="47">
        <v>4660</v>
      </c>
      <c r="F340" s="47">
        <v>68</v>
      </c>
      <c r="G340" s="47">
        <v>1298</v>
      </c>
      <c r="H340" s="47">
        <v>9</v>
      </c>
      <c r="I340" s="47">
        <v>556</v>
      </c>
      <c r="J340" s="47">
        <v>5</v>
      </c>
      <c r="K340" s="47">
        <v>22</v>
      </c>
      <c r="L340" s="47">
        <v>444</v>
      </c>
      <c r="M340" s="47">
        <v>106</v>
      </c>
      <c r="N340" s="47">
        <v>550</v>
      </c>
      <c r="O340" s="47">
        <v>212</v>
      </c>
      <c r="P340" s="47">
        <v>5216</v>
      </c>
      <c r="Q340" s="44" t="s">
        <v>1643</v>
      </c>
      <c r="R340" s="47">
        <v>135</v>
      </c>
      <c r="S340" s="47">
        <v>2564</v>
      </c>
      <c r="T340" s="47">
        <v>73</v>
      </c>
      <c r="U340" s="47">
        <v>1320</v>
      </c>
      <c r="V340" s="47">
        <v>174</v>
      </c>
      <c r="W340" s="47">
        <v>1814</v>
      </c>
      <c r="X340" s="47">
        <v>0</v>
      </c>
      <c r="Y340" s="47">
        <v>0</v>
      </c>
      <c r="Z340" s="47">
        <v>459</v>
      </c>
      <c r="AA340" s="47">
        <v>8350</v>
      </c>
      <c r="AB340" s="76">
        <f t="shared" si="10"/>
        <v>18.191721132897605</v>
      </c>
      <c r="AC340" s="76">
        <f t="shared" si="11"/>
        <v>0.24675670084813381</v>
      </c>
      <c r="AD340" s="47">
        <v>33839</v>
      </c>
    </row>
    <row r="341" spans="1:30" ht="15.75" thickBot="1" x14ac:dyDescent="0.3">
      <c r="A341" s="44" t="s">
        <v>1427</v>
      </c>
      <c r="B341" s="48" t="s">
        <v>1428</v>
      </c>
      <c r="C341" s="44" t="s">
        <v>822</v>
      </c>
      <c r="D341" s="47">
        <v>70</v>
      </c>
      <c r="E341" s="47">
        <v>1545</v>
      </c>
      <c r="F341" s="47">
        <v>9</v>
      </c>
      <c r="G341" s="47">
        <v>54</v>
      </c>
      <c r="H341" s="47">
        <v>7</v>
      </c>
      <c r="I341" s="47">
        <v>619</v>
      </c>
      <c r="J341" s="47">
        <v>3</v>
      </c>
      <c r="K341" s="47">
        <v>28</v>
      </c>
      <c r="L341" s="47">
        <v>276</v>
      </c>
      <c r="M341" s="47">
        <v>20</v>
      </c>
      <c r="N341" s="47">
        <v>296</v>
      </c>
      <c r="O341" s="47">
        <v>77</v>
      </c>
      <c r="P341" s="47">
        <v>2164</v>
      </c>
      <c r="Q341" s="44" t="s">
        <v>1643</v>
      </c>
      <c r="R341" s="47">
        <v>37</v>
      </c>
      <c r="S341" s="47">
        <v>685</v>
      </c>
      <c r="T341" s="47">
        <v>12</v>
      </c>
      <c r="U341" s="47">
        <v>82</v>
      </c>
      <c r="V341" s="47">
        <v>59</v>
      </c>
      <c r="W341" s="47">
        <v>628</v>
      </c>
      <c r="X341" s="47">
        <v>36</v>
      </c>
      <c r="Y341" s="47">
        <v>971</v>
      </c>
      <c r="Z341" s="47">
        <v>184</v>
      </c>
      <c r="AA341" s="47">
        <v>3845</v>
      </c>
      <c r="AB341" s="76">
        <f t="shared" si="10"/>
        <v>20.896739130434781</v>
      </c>
      <c r="AC341" s="76">
        <f t="shared" si="11"/>
        <v>9.6443262767131541E-2</v>
      </c>
      <c r="AD341" s="47">
        <v>39868</v>
      </c>
    </row>
    <row r="342" spans="1:30" ht="15.75" thickBot="1" x14ac:dyDescent="0.3">
      <c r="A342" s="44" t="s">
        <v>1431</v>
      </c>
      <c r="B342" s="48" t="s">
        <v>1432</v>
      </c>
      <c r="C342" s="44" t="s">
        <v>822</v>
      </c>
      <c r="D342" s="47">
        <v>61</v>
      </c>
      <c r="E342" s="47">
        <v>676</v>
      </c>
      <c r="F342" s="47">
        <v>63</v>
      </c>
      <c r="G342" s="47">
        <v>506</v>
      </c>
      <c r="H342" s="47">
        <v>28</v>
      </c>
      <c r="I342" s="47">
        <v>588</v>
      </c>
      <c r="J342" s="47">
        <v>14</v>
      </c>
      <c r="K342" s="47">
        <v>85</v>
      </c>
      <c r="L342" s="47">
        <v>172</v>
      </c>
      <c r="M342" s="47">
        <v>53</v>
      </c>
      <c r="N342" s="47">
        <v>225</v>
      </c>
      <c r="O342" s="47">
        <v>89</v>
      </c>
      <c r="P342" s="47">
        <v>1264</v>
      </c>
      <c r="Q342" s="44" t="s">
        <v>1643</v>
      </c>
      <c r="R342" s="47">
        <v>38</v>
      </c>
      <c r="S342" s="47">
        <v>280</v>
      </c>
      <c r="T342" s="47">
        <v>77</v>
      </c>
      <c r="U342" s="47">
        <v>591</v>
      </c>
      <c r="V342" s="47">
        <v>69</v>
      </c>
      <c r="W342" s="47">
        <v>842</v>
      </c>
      <c r="X342" s="47">
        <v>25</v>
      </c>
      <c r="Y342" s="47">
        <v>151</v>
      </c>
      <c r="Z342" s="47">
        <v>260</v>
      </c>
      <c r="AA342" s="47">
        <v>2848</v>
      </c>
      <c r="AB342" s="76">
        <f t="shared" si="10"/>
        <v>10.953846153846154</v>
      </c>
      <c r="AC342" s="76">
        <f t="shared" si="11"/>
        <v>6.0212689486035649E-2</v>
      </c>
      <c r="AD342" s="47">
        <v>47299</v>
      </c>
    </row>
    <row r="343" spans="1:30" ht="15.75" thickBot="1" x14ac:dyDescent="0.3">
      <c r="A343" s="44" t="s">
        <v>1449</v>
      </c>
      <c r="B343" s="48" t="s">
        <v>1450</v>
      </c>
      <c r="C343" s="44" t="s">
        <v>822</v>
      </c>
      <c r="D343" s="47">
        <v>359</v>
      </c>
      <c r="E343" s="47">
        <v>7593</v>
      </c>
      <c r="F343" s="47">
        <v>65</v>
      </c>
      <c r="G343" s="47">
        <v>2331</v>
      </c>
      <c r="H343" s="47">
        <v>96</v>
      </c>
      <c r="I343" s="47">
        <v>3934</v>
      </c>
      <c r="J343" s="47">
        <v>28</v>
      </c>
      <c r="K343" s="47">
        <v>607</v>
      </c>
      <c r="L343" s="47">
        <v>1127</v>
      </c>
      <c r="M343" s="47">
        <v>139</v>
      </c>
      <c r="N343" s="47">
        <v>1266</v>
      </c>
      <c r="O343" s="47">
        <v>455</v>
      </c>
      <c r="P343" s="47">
        <v>11527</v>
      </c>
      <c r="Q343" s="44" t="s">
        <v>1643</v>
      </c>
      <c r="R343" s="47">
        <v>230</v>
      </c>
      <c r="S343" s="47">
        <v>4314</v>
      </c>
      <c r="T343" s="47">
        <v>93</v>
      </c>
      <c r="U343" s="47">
        <v>2938</v>
      </c>
      <c r="V343" s="47">
        <v>224</v>
      </c>
      <c r="W343" s="47">
        <v>4920</v>
      </c>
      <c r="X343" s="47">
        <v>3</v>
      </c>
      <c r="Y343" s="47">
        <v>493</v>
      </c>
      <c r="Z343" s="47">
        <v>775</v>
      </c>
      <c r="AA343" s="47">
        <v>19878</v>
      </c>
      <c r="AB343" s="76">
        <f t="shared" si="10"/>
        <v>25.649032258064516</v>
      </c>
      <c r="AC343" s="76">
        <f t="shared" si="11"/>
        <v>0.75363967242948138</v>
      </c>
      <c r="AD343" s="47">
        <v>26376</v>
      </c>
    </row>
    <row r="344" spans="1:30" ht="15.75" thickBot="1" x14ac:dyDescent="0.3">
      <c r="A344" s="44" t="s">
        <v>1474</v>
      </c>
      <c r="B344" s="48" t="s">
        <v>1475</v>
      </c>
      <c r="C344" s="44" t="s">
        <v>822</v>
      </c>
      <c r="D344" s="47">
        <v>249</v>
      </c>
      <c r="E344" s="47">
        <v>8222</v>
      </c>
      <c r="F344" s="47">
        <v>0</v>
      </c>
      <c r="G344" s="47">
        <v>0</v>
      </c>
      <c r="H344" s="47">
        <v>61</v>
      </c>
      <c r="I344" s="47">
        <v>2283</v>
      </c>
      <c r="J344" s="47">
        <v>0</v>
      </c>
      <c r="K344" s="47">
        <v>0</v>
      </c>
      <c r="L344" s="47">
        <v>225</v>
      </c>
      <c r="M344" s="47">
        <v>4</v>
      </c>
      <c r="N344" s="47">
        <v>229</v>
      </c>
      <c r="O344" s="47">
        <v>310</v>
      </c>
      <c r="P344" s="47">
        <v>10505</v>
      </c>
      <c r="Q344" s="44" t="s">
        <v>1643</v>
      </c>
      <c r="R344" s="47">
        <v>55</v>
      </c>
      <c r="S344" s="47">
        <v>852</v>
      </c>
      <c r="T344" s="47">
        <v>0</v>
      </c>
      <c r="U344" s="47">
        <v>0</v>
      </c>
      <c r="V344" s="47">
        <v>38</v>
      </c>
      <c r="W344" s="47">
        <v>920</v>
      </c>
      <c r="X344" s="47">
        <v>0</v>
      </c>
      <c r="Y344" s="47">
        <v>0</v>
      </c>
      <c r="Z344" s="47">
        <v>348</v>
      </c>
      <c r="AA344" s="47">
        <v>11425</v>
      </c>
      <c r="AB344" s="76">
        <f t="shared" si="10"/>
        <v>32.830459770114942</v>
      </c>
      <c r="AC344" s="76">
        <f t="shared" si="11"/>
        <v>0.40920487106017189</v>
      </c>
      <c r="AD344" s="47">
        <v>27920</v>
      </c>
    </row>
    <row r="345" spans="1:30" ht="15.75" thickBot="1" x14ac:dyDescent="0.3">
      <c r="A345" s="44" t="s">
        <v>1484</v>
      </c>
      <c r="B345" s="48" t="s">
        <v>1485</v>
      </c>
      <c r="C345" s="44" t="s">
        <v>822</v>
      </c>
      <c r="D345" s="47">
        <v>88</v>
      </c>
      <c r="E345" s="47">
        <v>125</v>
      </c>
      <c r="F345" s="47">
        <v>8</v>
      </c>
      <c r="G345" s="47">
        <v>31</v>
      </c>
      <c r="H345" s="47">
        <v>7</v>
      </c>
      <c r="I345" s="47">
        <v>359</v>
      </c>
      <c r="J345" s="47">
        <v>0</v>
      </c>
      <c r="K345" s="47">
        <v>0</v>
      </c>
      <c r="L345" s="47">
        <v>372</v>
      </c>
      <c r="M345" s="47">
        <v>16</v>
      </c>
      <c r="N345" s="47">
        <v>388</v>
      </c>
      <c r="O345" s="47">
        <v>95</v>
      </c>
      <c r="P345" s="47">
        <v>484</v>
      </c>
      <c r="Q345" s="44" t="s">
        <v>1644</v>
      </c>
      <c r="R345" s="47">
        <v>0</v>
      </c>
      <c r="S345" s="47">
        <v>0</v>
      </c>
      <c r="T345" s="47">
        <v>8</v>
      </c>
      <c r="U345" s="47">
        <v>31</v>
      </c>
      <c r="V345" s="47">
        <v>22</v>
      </c>
      <c r="W345" s="47">
        <v>145</v>
      </c>
      <c r="X345" s="47">
        <v>0</v>
      </c>
      <c r="Y345" s="47">
        <v>0</v>
      </c>
      <c r="Z345" s="47">
        <v>125</v>
      </c>
      <c r="AA345" s="47">
        <v>660</v>
      </c>
      <c r="AB345" s="76">
        <f t="shared" si="10"/>
        <v>5.28</v>
      </c>
      <c r="AC345" s="76">
        <f t="shared" si="11"/>
        <v>2.196558724664692E-2</v>
      </c>
      <c r="AD345" s="47">
        <v>30047</v>
      </c>
    </row>
    <row r="346" spans="1:30" ht="15.75" thickBot="1" x14ac:dyDescent="0.3">
      <c r="A346" s="44" t="s">
        <v>1502</v>
      </c>
      <c r="B346" s="48" t="s">
        <v>1503</v>
      </c>
      <c r="C346" s="44" t="s">
        <v>822</v>
      </c>
      <c r="D346" s="47">
        <v>338</v>
      </c>
      <c r="E346" s="47">
        <v>10036</v>
      </c>
      <c r="F346" s="47">
        <v>175</v>
      </c>
      <c r="G346" s="47">
        <v>1050</v>
      </c>
      <c r="H346" s="47">
        <v>154</v>
      </c>
      <c r="I346" s="47">
        <v>10650</v>
      </c>
      <c r="J346" s="47">
        <v>49</v>
      </c>
      <c r="K346" s="47">
        <v>980</v>
      </c>
      <c r="L346" s="47">
        <v>2300</v>
      </c>
      <c r="M346" s="47">
        <v>345</v>
      </c>
      <c r="N346" s="47">
        <v>2645</v>
      </c>
      <c r="O346" s="47">
        <v>492</v>
      </c>
      <c r="P346" s="47">
        <v>20686</v>
      </c>
      <c r="Q346" s="44" t="s">
        <v>1643</v>
      </c>
      <c r="R346" s="47">
        <v>75</v>
      </c>
      <c r="S346" s="47">
        <v>1286</v>
      </c>
      <c r="T346" s="47">
        <v>224</v>
      </c>
      <c r="U346" s="47">
        <v>2030</v>
      </c>
      <c r="V346" s="47">
        <v>624</v>
      </c>
      <c r="W346" s="47">
        <v>11232</v>
      </c>
      <c r="X346" s="47">
        <v>95</v>
      </c>
      <c r="Y346" s="47">
        <v>3325</v>
      </c>
      <c r="Z346" s="47">
        <v>1435</v>
      </c>
      <c r="AA346" s="47">
        <v>37273</v>
      </c>
      <c r="AB346" s="76">
        <f t="shared" si="10"/>
        <v>25.974216027874565</v>
      </c>
      <c r="AC346" s="76">
        <f t="shared" si="11"/>
        <v>0.86618949129697198</v>
      </c>
      <c r="AD346" s="47">
        <v>43031</v>
      </c>
    </row>
    <row r="347" spans="1:30" ht="15.75" thickBot="1" x14ac:dyDescent="0.3">
      <c r="A347" s="44" t="s">
        <v>1546</v>
      </c>
      <c r="B347" s="48" t="s">
        <v>1547</v>
      </c>
      <c r="C347" s="44" t="s">
        <v>822</v>
      </c>
      <c r="D347" s="47">
        <v>961</v>
      </c>
      <c r="E347" s="47">
        <v>9456</v>
      </c>
      <c r="F347" s="47">
        <v>68</v>
      </c>
      <c r="G347" s="47">
        <v>298</v>
      </c>
      <c r="H347" s="47">
        <v>114</v>
      </c>
      <c r="I347" s="47">
        <v>2285</v>
      </c>
      <c r="J347" s="47">
        <v>7</v>
      </c>
      <c r="K347" s="47">
        <v>50</v>
      </c>
      <c r="L347" s="47">
        <v>960</v>
      </c>
      <c r="M347" s="47">
        <v>160</v>
      </c>
      <c r="N347" s="47">
        <v>1120</v>
      </c>
      <c r="O347" s="47">
        <v>1075</v>
      </c>
      <c r="P347" s="47">
        <v>11741</v>
      </c>
      <c r="Q347" s="44" t="s">
        <v>1643</v>
      </c>
      <c r="R347" s="47">
        <v>644</v>
      </c>
      <c r="S347" s="47">
        <v>4876</v>
      </c>
      <c r="T347" s="47">
        <v>75</v>
      </c>
      <c r="U347" s="47">
        <v>348</v>
      </c>
      <c r="V347" s="47">
        <v>518</v>
      </c>
      <c r="W347" s="47">
        <v>3764</v>
      </c>
      <c r="X347" s="47">
        <v>196</v>
      </c>
      <c r="Y347" s="47">
        <v>2485</v>
      </c>
      <c r="Z347" s="47">
        <v>1864</v>
      </c>
      <c r="AA347" s="47">
        <v>18338</v>
      </c>
      <c r="AB347" s="76">
        <f t="shared" si="10"/>
        <v>9.8379828326180263</v>
      </c>
      <c r="AC347" s="76">
        <f t="shared" si="11"/>
        <v>0.41427764599570766</v>
      </c>
      <c r="AD347" s="47">
        <v>44265</v>
      </c>
    </row>
    <row r="348" spans="1:30" ht="15.75" thickBot="1" x14ac:dyDescent="0.3">
      <c r="A348" s="44" t="s">
        <v>1586</v>
      </c>
      <c r="B348" s="48" t="s">
        <v>1587</v>
      </c>
      <c r="C348" s="44" t="s">
        <v>822</v>
      </c>
      <c r="D348" s="47">
        <v>182</v>
      </c>
      <c r="E348" s="47">
        <v>5586</v>
      </c>
      <c r="F348" s="47">
        <v>27</v>
      </c>
      <c r="G348" s="47">
        <v>987</v>
      </c>
      <c r="H348" s="47">
        <v>52</v>
      </c>
      <c r="I348" s="47">
        <v>2558</v>
      </c>
      <c r="J348" s="47">
        <v>12</v>
      </c>
      <c r="K348" s="47">
        <v>171</v>
      </c>
      <c r="L348" s="47">
        <v>760</v>
      </c>
      <c r="M348" s="47">
        <v>209</v>
      </c>
      <c r="N348" s="47">
        <v>969</v>
      </c>
      <c r="O348" s="47">
        <v>234</v>
      </c>
      <c r="P348" s="47">
        <v>8144</v>
      </c>
      <c r="Q348" s="44" t="s">
        <v>1643</v>
      </c>
      <c r="R348" s="47">
        <v>85</v>
      </c>
      <c r="S348" s="47">
        <v>3191</v>
      </c>
      <c r="T348" s="47">
        <v>39</v>
      </c>
      <c r="U348" s="47">
        <v>1158</v>
      </c>
      <c r="V348" s="47">
        <v>100</v>
      </c>
      <c r="W348" s="47">
        <v>1581</v>
      </c>
      <c r="X348" s="47">
        <v>2</v>
      </c>
      <c r="Y348" s="47">
        <v>200</v>
      </c>
      <c r="Z348" s="47">
        <v>375</v>
      </c>
      <c r="AA348" s="47">
        <v>11083</v>
      </c>
      <c r="AB348" s="76">
        <f t="shared" si="10"/>
        <v>29.554666666666666</v>
      </c>
      <c r="AC348" s="76">
        <f t="shared" si="11"/>
        <v>0.36919950697891335</v>
      </c>
      <c r="AD348" s="47">
        <v>30019</v>
      </c>
    </row>
    <row r="349" spans="1:30" ht="15.75" thickBot="1" x14ac:dyDescent="0.3">
      <c r="A349" s="44" t="s">
        <v>835</v>
      </c>
      <c r="B349" s="48" t="s">
        <v>836</v>
      </c>
      <c r="C349" s="44" t="s">
        <v>837</v>
      </c>
      <c r="D349" s="47">
        <v>1171</v>
      </c>
      <c r="E349" s="47">
        <v>78363</v>
      </c>
      <c r="F349" s="47">
        <v>144</v>
      </c>
      <c r="G349" s="47">
        <v>7609</v>
      </c>
      <c r="H349" s="47">
        <v>198</v>
      </c>
      <c r="I349" s="47">
        <v>27046</v>
      </c>
      <c r="J349" s="47">
        <v>36</v>
      </c>
      <c r="K349" s="47">
        <v>1835</v>
      </c>
      <c r="L349" s="47">
        <v>11692</v>
      </c>
      <c r="M349" s="47">
        <v>10614</v>
      </c>
      <c r="N349" s="47">
        <v>22306</v>
      </c>
      <c r="O349" s="47">
        <v>1369</v>
      </c>
      <c r="P349" s="47">
        <v>105409</v>
      </c>
      <c r="Q349" s="44" t="s">
        <v>1643</v>
      </c>
      <c r="R349" s="47">
        <v>870</v>
      </c>
      <c r="S349" s="47">
        <v>53188</v>
      </c>
      <c r="T349" s="47">
        <v>180</v>
      </c>
      <c r="U349" s="47">
        <v>9444</v>
      </c>
      <c r="V349" s="47">
        <v>1000</v>
      </c>
      <c r="W349" s="47">
        <v>54145</v>
      </c>
      <c r="X349" s="47">
        <v>0</v>
      </c>
      <c r="Y349" s="47">
        <v>0</v>
      </c>
      <c r="Z349" s="47">
        <v>2549</v>
      </c>
      <c r="AA349" s="47">
        <v>168998</v>
      </c>
      <c r="AB349" s="76">
        <f t="shared" si="10"/>
        <v>66.299725382502942</v>
      </c>
      <c r="AC349" s="76">
        <f t="shared" si="11"/>
        <v>1.033058255394584</v>
      </c>
      <c r="AD349" s="47">
        <v>163590</v>
      </c>
    </row>
    <row r="350" spans="1:30" ht="15.75" thickBot="1" x14ac:dyDescent="0.3">
      <c r="A350" s="44" t="s">
        <v>861</v>
      </c>
      <c r="B350" s="48" t="s">
        <v>862</v>
      </c>
      <c r="C350" s="44" t="s">
        <v>837</v>
      </c>
      <c r="D350" s="47">
        <v>1197</v>
      </c>
      <c r="E350" s="47">
        <v>47307</v>
      </c>
      <c r="F350" s="47">
        <v>206</v>
      </c>
      <c r="G350" s="47">
        <v>4975</v>
      </c>
      <c r="H350" s="47">
        <v>355</v>
      </c>
      <c r="I350" s="47">
        <v>21361</v>
      </c>
      <c r="J350" s="47">
        <v>90</v>
      </c>
      <c r="K350" s="47">
        <v>2794</v>
      </c>
      <c r="L350" s="47">
        <v>5091</v>
      </c>
      <c r="M350" s="47">
        <v>0</v>
      </c>
      <c r="N350" s="47">
        <v>5091</v>
      </c>
      <c r="O350" s="47">
        <v>1552</v>
      </c>
      <c r="P350" s="47">
        <v>68668</v>
      </c>
      <c r="Q350" s="44" t="s">
        <v>1643</v>
      </c>
      <c r="R350" s="47">
        <v>0</v>
      </c>
      <c r="S350" s="47">
        <v>0</v>
      </c>
      <c r="T350" s="47">
        <v>296</v>
      </c>
      <c r="U350" s="47">
        <v>7769</v>
      </c>
      <c r="V350" s="47">
        <v>380</v>
      </c>
      <c r="W350" s="47">
        <v>12065</v>
      </c>
      <c r="X350" s="47">
        <v>0</v>
      </c>
      <c r="Y350" s="47">
        <v>0</v>
      </c>
      <c r="Z350" s="47">
        <v>2228</v>
      </c>
      <c r="AA350" s="47">
        <v>88502</v>
      </c>
      <c r="AB350" s="76">
        <f t="shared" si="10"/>
        <v>39.722621184919213</v>
      </c>
      <c r="AC350" s="76">
        <f t="shared" si="11"/>
        <v>0.82189058422562944</v>
      </c>
      <c r="AD350" s="47">
        <v>107681</v>
      </c>
    </row>
    <row r="351" spans="1:30" ht="15.75" thickBot="1" x14ac:dyDescent="0.3">
      <c r="A351" s="44" t="s">
        <v>923</v>
      </c>
      <c r="B351" s="48" t="s">
        <v>924</v>
      </c>
      <c r="C351" s="44" t="s">
        <v>837</v>
      </c>
      <c r="D351" s="47">
        <v>628</v>
      </c>
      <c r="E351" s="47">
        <v>19626</v>
      </c>
      <c r="F351" s="47">
        <v>46</v>
      </c>
      <c r="G351" s="47">
        <v>1520</v>
      </c>
      <c r="H351" s="47">
        <v>62</v>
      </c>
      <c r="I351" s="47">
        <v>1649</v>
      </c>
      <c r="J351" s="47">
        <v>46</v>
      </c>
      <c r="K351" s="47">
        <v>718</v>
      </c>
      <c r="L351" s="47">
        <v>1649</v>
      </c>
      <c r="M351" s="47">
        <v>266</v>
      </c>
      <c r="N351" s="47">
        <v>1915</v>
      </c>
      <c r="O351" s="47">
        <v>690</v>
      </c>
      <c r="P351" s="47">
        <v>21275</v>
      </c>
      <c r="Q351" s="44" t="s">
        <v>1643</v>
      </c>
      <c r="R351" s="47">
        <v>383</v>
      </c>
      <c r="S351" s="47">
        <v>6542</v>
      </c>
      <c r="T351" s="47">
        <v>92</v>
      </c>
      <c r="U351" s="47">
        <v>2238</v>
      </c>
      <c r="V351" s="47">
        <v>243</v>
      </c>
      <c r="W351" s="47">
        <v>4016</v>
      </c>
      <c r="X351" s="47">
        <v>110</v>
      </c>
      <c r="Y351" s="47">
        <v>1373</v>
      </c>
      <c r="Z351" s="47">
        <v>1135</v>
      </c>
      <c r="AA351" s="47">
        <v>28902</v>
      </c>
      <c r="AB351" s="76">
        <f t="shared" si="10"/>
        <v>25.464317180616739</v>
      </c>
      <c r="AC351" s="76">
        <f t="shared" si="11"/>
        <v>0.32051722799507615</v>
      </c>
      <c r="AD351" s="47">
        <v>90173</v>
      </c>
    </row>
    <row r="352" spans="1:30" ht="15.75" thickBot="1" x14ac:dyDescent="0.3">
      <c r="A352" s="44" t="s">
        <v>925</v>
      </c>
      <c r="B352" s="48" t="s">
        <v>926</v>
      </c>
      <c r="C352" s="44" t="s">
        <v>837</v>
      </c>
      <c r="D352" s="47">
        <v>1960</v>
      </c>
      <c r="E352" s="47">
        <v>27913</v>
      </c>
      <c r="F352" s="47">
        <v>211</v>
      </c>
      <c r="G352" s="47">
        <v>2018</v>
      </c>
      <c r="H352" s="47">
        <v>722</v>
      </c>
      <c r="I352" s="47">
        <v>19843</v>
      </c>
      <c r="J352" s="47">
        <v>65</v>
      </c>
      <c r="K352" s="47">
        <v>731</v>
      </c>
      <c r="L352" s="47">
        <v>4521</v>
      </c>
      <c r="M352" s="47">
        <v>1485</v>
      </c>
      <c r="N352" s="47">
        <v>6006</v>
      </c>
      <c r="O352" s="47">
        <v>2682</v>
      </c>
      <c r="P352" s="47">
        <v>47756</v>
      </c>
      <c r="Q352" s="44" t="s">
        <v>1643</v>
      </c>
      <c r="R352" s="47">
        <v>955</v>
      </c>
      <c r="S352" s="47">
        <v>16473</v>
      </c>
      <c r="T352" s="47">
        <v>276</v>
      </c>
      <c r="U352" s="47">
        <v>2749</v>
      </c>
      <c r="V352" s="47">
        <v>1914</v>
      </c>
      <c r="W352" s="47">
        <v>6840</v>
      </c>
      <c r="X352" s="47">
        <v>15</v>
      </c>
      <c r="Y352" s="47">
        <v>2956</v>
      </c>
      <c r="Z352" s="47">
        <v>4887</v>
      </c>
      <c r="AA352" s="47">
        <v>60301</v>
      </c>
      <c r="AB352" s="76">
        <f t="shared" si="10"/>
        <v>12.339062819725804</v>
      </c>
      <c r="AC352" s="76">
        <f t="shared" si="11"/>
        <v>0.25245437684994076</v>
      </c>
      <c r="AD352" s="47">
        <v>238859</v>
      </c>
    </row>
    <row r="353" spans="1:30" ht="15.75" thickBot="1" x14ac:dyDescent="0.3">
      <c r="A353" s="44" t="s">
        <v>955</v>
      </c>
      <c r="B353" s="48" t="s">
        <v>956</v>
      </c>
      <c r="C353" s="44" t="s">
        <v>837</v>
      </c>
      <c r="D353" s="47">
        <v>798</v>
      </c>
      <c r="E353" s="47">
        <v>12159</v>
      </c>
      <c r="F353" s="47">
        <v>36</v>
      </c>
      <c r="G353" s="47">
        <v>532</v>
      </c>
      <c r="H353" s="47">
        <v>114</v>
      </c>
      <c r="I353" s="47">
        <v>2235</v>
      </c>
      <c r="J353" s="47">
        <v>10</v>
      </c>
      <c r="K353" s="47">
        <v>170</v>
      </c>
      <c r="L353" s="47">
        <v>1250</v>
      </c>
      <c r="M353" s="47">
        <v>315</v>
      </c>
      <c r="N353" s="47">
        <v>1565</v>
      </c>
      <c r="O353" s="47">
        <v>912</v>
      </c>
      <c r="P353" s="47">
        <v>14394</v>
      </c>
      <c r="Q353" s="44" t="s">
        <v>1643</v>
      </c>
      <c r="R353" s="47">
        <v>266</v>
      </c>
      <c r="S353" s="47">
        <v>4297</v>
      </c>
      <c r="T353" s="47">
        <v>46</v>
      </c>
      <c r="U353" s="47">
        <v>702</v>
      </c>
      <c r="V353" s="47">
        <v>31</v>
      </c>
      <c r="W353" s="47">
        <v>506</v>
      </c>
      <c r="X353" s="47">
        <v>101</v>
      </c>
      <c r="Y353" s="47">
        <v>5481</v>
      </c>
      <c r="Z353" s="47">
        <v>1090</v>
      </c>
      <c r="AA353" s="47">
        <v>21083</v>
      </c>
      <c r="AB353" s="76">
        <f t="shared" si="10"/>
        <v>19.342201834862387</v>
      </c>
      <c r="AC353" s="76">
        <f t="shared" si="11"/>
        <v>0.40826878388845855</v>
      </c>
      <c r="AD353" s="47">
        <v>51640</v>
      </c>
    </row>
    <row r="354" spans="1:30" ht="15.75" thickBot="1" x14ac:dyDescent="0.3">
      <c r="A354" s="44" t="s">
        <v>961</v>
      </c>
      <c r="B354" s="48" t="s">
        <v>962</v>
      </c>
      <c r="C354" s="44" t="s">
        <v>837</v>
      </c>
      <c r="D354" s="47">
        <v>676</v>
      </c>
      <c r="E354" s="47">
        <v>46915</v>
      </c>
      <c r="F354" s="47">
        <v>224</v>
      </c>
      <c r="G354" s="47">
        <v>11433</v>
      </c>
      <c r="H354" s="47">
        <v>159</v>
      </c>
      <c r="I354" s="47">
        <v>15634</v>
      </c>
      <c r="J354" s="47">
        <v>70</v>
      </c>
      <c r="K354" s="47">
        <v>836</v>
      </c>
      <c r="L354" s="47">
        <v>2135</v>
      </c>
      <c r="M354" s="47">
        <v>578</v>
      </c>
      <c r="N354" s="47">
        <v>2713</v>
      </c>
      <c r="O354" s="47">
        <v>835</v>
      </c>
      <c r="P354" s="47">
        <v>62549</v>
      </c>
      <c r="Q354" s="44" t="s">
        <v>1643</v>
      </c>
      <c r="R354" s="47">
        <v>218</v>
      </c>
      <c r="S354" s="47">
        <v>6441</v>
      </c>
      <c r="T354" s="47">
        <v>294</v>
      </c>
      <c r="U354" s="47">
        <v>12269</v>
      </c>
      <c r="V354" s="47">
        <v>369</v>
      </c>
      <c r="W354" s="47">
        <v>11982</v>
      </c>
      <c r="X354" s="47">
        <v>0</v>
      </c>
      <c r="Y354" s="47">
        <v>0</v>
      </c>
      <c r="Z354" s="47">
        <v>1498</v>
      </c>
      <c r="AA354" s="47">
        <v>86800</v>
      </c>
      <c r="AB354" s="76">
        <f t="shared" si="10"/>
        <v>57.943925233644862</v>
      </c>
      <c r="AC354" s="76">
        <f t="shared" si="11"/>
        <v>0.51109030635977692</v>
      </c>
      <c r="AD354" s="47">
        <v>169833</v>
      </c>
    </row>
    <row r="355" spans="1:30" ht="15.75" thickBot="1" x14ac:dyDescent="0.3">
      <c r="A355" s="44" t="s">
        <v>995</v>
      </c>
      <c r="B355" s="48" t="s">
        <v>996</v>
      </c>
      <c r="C355" s="44" t="s">
        <v>837</v>
      </c>
      <c r="D355" s="47">
        <v>184</v>
      </c>
      <c r="E355" s="47">
        <v>4356</v>
      </c>
      <c r="F355" s="47">
        <v>41</v>
      </c>
      <c r="G355" s="47">
        <v>504</v>
      </c>
      <c r="H355" s="47">
        <v>71</v>
      </c>
      <c r="I355" s="47">
        <v>2321</v>
      </c>
      <c r="J355" s="47">
        <v>28</v>
      </c>
      <c r="K355" s="47">
        <v>503</v>
      </c>
      <c r="L355" s="47">
        <v>503</v>
      </c>
      <c r="M355" s="47">
        <v>223</v>
      </c>
      <c r="N355" s="47">
        <v>726</v>
      </c>
      <c r="O355" s="47">
        <v>255</v>
      </c>
      <c r="P355" s="47">
        <v>6677</v>
      </c>
      <c r="Q355" s="44" t="s">
        <v>1643</v>
      </c>
      <c r="R355" s="47">
        <v>65</v>
      </c>
      <c r="S355" s="47">
        <v>1875</v>
      </c>
      <c r="T355" s="47">
        <v>69</v>
      </c>
      <c r="U355" s="47">
        <v>1007</v>
      </c>
      <c r="V355" s="47">
        <v>252</v>
      </c>
      <c r="W355" s="47">
        <v>7520</v>
      </c>
      <c r="X355" s="47">
        <v>770</v>
      </c>
      <c r="Y355" s="47">
        <v>3420</v>
      </c>
      <c r="Z355" s="47">
        <v>1346</v>
      </c>
      <c r="AA355" s="47">
        <v>18624</v>
      </c>
      <c r="AB355" s="76">
        <f t="shared" si="10"/>
        <v>13.836552748885588</v>
      </c>
      <c r="AC355" s="76">
        <f t="shared" si="11"/>
        <v>0.32235953889292762</v>
      </c>
      <c r="AD355" s="47">
        <v>57774</v>
      </c>
    </row>
    <row r="356" spans="1:30" ht="15.75" thickBot="1" x14ac:dyDescent="0.3">
      <c r="A356" s="44" t="s">
        <v>997</v>
      </c>
      <c r="B356" s="48" t="s">
        <v>998</v>
      </c>
      <c r="C356" s="44" t="s">
        <v>837</v>
      </c>
      <c r="D356" s="47">
        <v>263</v>
      </c>
      <c r="E356" s="47">
        <v>8788</v>
      </c>
      <c r="F356" s="47">
        <v>32</v>
      </c>
      <c r="G356" s="47">
        <v>325</v>
      </c>
      <c r="H356" s="47">
        <v>2</v>
      </c>
      <c r="I356" s="47">
        <v>131</v>
      </c>
      <c r="J356" s="47">
        <v>0</v>
      </c>
      <c r="K356" s="47">
        <v>0</v>
      </c>
      <c r="L356" s="47">
        <v>558</v>
      </c>
      <c r="M356" s="47">
        <v>196</v>
      </c>
      <c r="N356" s="47">
        <v>754</v>
      </c>
      <c r="O356" s="47">
        <v>265</v>
      </c>
      <c r="P356" s="47">
        <v>8919</v>
      </c>
      <c r="Q356" s="44" t="s">
        <v>1643</v>
      </c>
      <c r="R356" s="47">
        <v>51</v>
      </c>
      <c r="S356" s="47">
        <v>1570</v>
      </c>
      <c r="T356" s="47">
        <v>32</v>
      </c>
      <c r="U356" s="47">
        <v>325</v>
      </c>
      <c r="V356" s="47">
        <v>230</v>
      </c>
      <c r="W356" s="47">
        <v>5255</v>
      </c>
      <c r="X356" s="47">
        <v>230</v>
      </c>
      <c r="Y356" s="47">
        <v>2555</v>
      </c>
      <c r="Z356" s="47">
        <v>757</v>
      </c>
      <c r="AA356" s="47">
        <v>17054</v>
      </c>
      <c r="AB356" s="76">
        <f t="shared" si="10"/>
        <v>22.528401585204755</v>
      </c>
      <c r="AC356" s="76">
        <f t="shared" si="11"/>
        <v>0.17374914674029321</v>
      </c>
      <c r="AD356" s="47">
        <v>98153</v>
      </c>
    </row>
    <row r="357" spans="1:30" ht="15.75" thickBot="1" x14ac:dyDescent="0.3">
      <c r="A357" s="44" t="s">
        <v>1005</v>
      </c>
      <c r="B357" s="48" t="s">
        <v>1006</v>
      </c>
      <c r="C357" s="44" t="s">
        <v>837</v>
      </c>
      <c r="D357" s="47">
        <v>5432</v>
      </c>
      <c r="E357" s="47">
        <v>108475</v>
      </c>
      <c r="F357" s="47">
        <v>907</v>
      </c>
      <c r="G357" s="47">
        <v>7889</v>
      </c>
      <c r="H357" s="47">
        <v>290</v>
      </c>
      <c r="I357" s="47">
        <v>7250</v>
      </c>
      <c r="J357" s="47">
        <v>50</v>
      </c>
      <c r="K357" s="47">
        <v>475</v>
      </c>
      <c r="L357" s="47">
        <v>2413</v>
      </c>
      <c r="M357" s="47">
        <v>315</v>
      </c>
      <c r="N357" s="47">
        <v>2728</v>
      </c>
      <c r="O357" s="47">
        <v>5722</v>
      </c>
      <c r="P357" s="47">
        <v>115725</v>
      </c>
      <c r="Q357" s="44" t="s">
        <v>1643</v>
      </c>
      <c r="R357" s="47">
        <v>1270</v>
      </c>
      <c r="S357" s="47">
        <v>16515</v>
      </c>
      <c r="T357" s="47">
        <v>957</v>
      </c>
      <c r="U357" s="47">
        <v>8364</v>
      </c>
      <c r="V357" s="47">
        <v>15038</v>
      </c>
      <c r="W357" s="47">
        <v>135361</v>
      </c>
      <c r="X357" s="47">
        <v>560</v>
      </c>
      <c r="Y357" s="47">
        <v>12599</v>
      </c>
      <c r="Z357" s="47">
        <v>22277</v>
      </c>
      <c r="AA357" s="47">
        <v>272049</v>
      </c>
      <c r="AB357" s="76">
        <f t="shared" si="10"/>
        <v>12.212102168155496</v>
      </c>
      <c r="AC357" s="76">
        <f t="shared" si="11"/>
        <v>0.3811400479421444</v>
      </c>
      <c r="AD357" s="47">
        <v>713777</v>
      </c>
    </row>
    <row r="358" spans="1:30" ht="15.75" thickBot="1" x14ac:dyDescent="0.3">
      <c r="A358" s="44" t="s">
        <v>1051</v>
      </c>
      <c r="B358" s="48" t="s">
        <v>1052</v>
      </c>
      <c r="C358" s="44" t="s">
        <v>837</v>
      </c>
      <c r="D358" s="47">
        <v>627</v>
      </c>
      <c r="E358" s="47">
        <v>25624</v>
      </c>
      <c r="F358" s="47">
        <v>80</v>
      </c>
      <c r="G358" s="47">
        <v>4778</v>
      </c>
      <c r="H358" s="47">
        <v>139</v>
      </c>
      <c r="I358" s="47">
        <v>9458</v>
      </c>
      <c r="J358" s="47">
        <v>13</v>
      </c>
      <c r="K358" s="47">
        <v>242</v>
      </c>
      <c r="L358" s="47">
        <v>2711</v>
      </c>
      <c r="M358" s="47">
        <v>207</v>
      </c>
      <c r="N358" s="47">
        <v>2918</v>
      </c>
      <c r="O358" s="47">
        <v>766</v>
      </c>
      <c r="P358" s="47">
        <v>35082</v>
      </c>
      <c r="Q358" s="44" t="s">
        <v>1643</v>
      </c>
      <c r="R358" s="47">
        <v>521</v>
      </c>
      <c r="S358" s="47">
        <v>22998</v>
      </c>
      <c r="T358" s="47">
        <v>93</v>
      </c>
      <c r="U358" s="47">
        <v>5020</v>
      </c>
      <c r="V358" s="47">
        <v>515</v>
      </c>
      <c r="W358" s="47">
        <v>10510</v>
      </c>
      <c r="X358" s="47">
        <v>377</v>
      </c>
      <c r="Y358" s="47">
        <v>4702</v>
      </c>
      <c r="Z358" s="47">
        <v>1751</v>
      </c>
      <c r="AA358" s="47">
        <v>55314</v>
      </c>
      <c r="AB358" s="76">
        <f t="shared" si="10"/>
        <v>31.589948600799541</v>
      </c>
      <c r="AC358" s="76">
        <f t="shared" si="11"/>
        <v>0.61383611505681823</v>
      </c>
      <c r="AD358" s="47">
        <v>90112</v>
      </c>
    </row>
    <row r="359" spans="1:30" ht="15.75" thickBot="1" x14ac:dyDescent="0.3">
      <c r="A359" s="44" t="s">
        <v>1063</v>
      </c>
      <c r="B359" s="48" t="s">
        <v>1064</v>
      </c>
      <c r="C359" s="44" t="s">
        <v>837</v>
      </c>
      <c r="D359" s="47">
        <v>222</v>
      </c>
      <c r="E359" s="47">
        <v>7421</v>
      </c>
      <c r="F359" s="47">
        <v>48</v>
      </c>
      <c r="G359" s="47">
        <v>1386</v>
      </c>
      <c r="H359" s="47">
        <v>178</v>
      </c>
      <c r="I359" s="47">
        <v>3509</v>
      </c>
      <c r="J359" s="47">
        <v>30</v>
      </c>
      <c r="K359" s="47">
        <v>517</v>
      </c>
      <c r="L359" s="47">
        <v>2158</v>
      </c>
      <c r="M359" s="47">
        <v>128</v>
      </c>
      <c r="N359" s="47">
        <v>2286</v>
      </c>
      <c r="O359" s="47">
        <v>400</v>
      </c>
      <c r="P359" s="47">
        <v>10930</v>
      </c>
      <c r="Q359" s="44" t="s">
        <v>1643</v>
      </c>
      <c r="R359" s="47">
        <v>78</v>
      </c>
      <c r="S359" s="47">
        <v>2200</v>
      </c>
      <c r="T359" s="47">
        <v>78</v>
      </c>
      <c r="U359" s="47">
        <v>1903</v>
      </c>
      <c r="V359" s="47">
        <v>143</v>
      </c>
      <c r="W359" s="47">
        <v>9242</v>
      </c>
      <c r="X359" s="47">
        <v>6</v>
      </c>
      <c r="Y359" s="47">
        <v>4038</v>
      </c>
      <c r="Z359" s="47">
        <v>627</v>
      </c>
      <c r="AA359" s="47">
        <v>26113</v>
      </c>
      <c r="AB359" s="76">
        <f t="shared" si="10"/>
        <v>41.647527910685803</v>
      </c>
      <c r="AC359" s="76">
        <f t="shared" si="11"/>
        <v>0.25492512251791399</v>
      </c>
      <c r="AD359" s="47">
        <v>102434</v>
      </c>
    </row>
    <row r="360" spans="1:30" ht="15.75" thickBot="1" x14ac:dyDescent="0.3">
      <c r="A360" s="44" t="s">
        <v>1089</v>
      </c>
      <c r="B360" s="48" t="s">
        <v>1090</v>
      </c>
      <c r="C360" s="44" t="s">
        <v>837</v>
      </c>
      <c r="D360" s="47">
        <v>466</v>
      </c>
      <c r="E360" s="47">
        <v>6257</v>
      </c>
      <c r="F360" s="47">
        <v>26</v>
      </c>
      <c r="G360" s="47">
        <v>311</v>
      </c>
      <c r="H360" s="47">
        <v>212</v>
      </c>
      <c r="I360" s="47">
        <v>2889</v>
      </c>
      <c r="J360" s="47">
        <v>6</v>
      </c>
      <c r="K360" s="47">
        <v>264</v>
      </c>
      <c r="L360" s="47">
        <v>4351</v>
      </c>
      <c r="M360" s="47">
        <v>512</v>
      </c>
      <c r="N360" s="47">
        <v>4863</v>
      </c>
      <c r="O360" s="47">
        <v>678</v>
      </c>
      <c r="P360" s="47">
        <v>9146</v>
      </c>
      <c r="Q360" s="44" t="s">
        <v>1643</v>
      </c>
      <c r="R360" s="47">
        <v>330</v>
      </c>
      <c r="S360" s="47">
        <v>6591</v>
      </c>
      <c r="T360" s="47">
        <v>32</v>
      </c>
      <c r="U360" s="47">
        <v>575</v>
      </c>
      <c r="V360" s="47">
        <v>432</v>
      </c>
      <c r="W360" s="47">
        <v>6603</v>
      </c>
      <c r="X360" s="47">
        <v>490</v>
      </c>
      <c r="Y360" s="47">
        <v>18620</v>
      </c>
      <c r="Z360" s="47">
        <v>1632</v>
      </c>
      <c r="AA360" s="47">
        <v>34944</v>
      </c>
      <c r="AB360" s="76">
        <f t="shared" si="10"/>
        <v>21.411764705882351</v>
      </c>
      <c r="AC360" s="76">
        <f t="shared" si="11"/>
        <v>0.1050735641239209</v>
      </c>
      <c r="AD360" s="47">
        <v>332567</v>
      </c>
    </row>
    <row r="361" spans="1:30" ht="15.75" thickBot="1" x14ac:dyDescent="0.3">
      <c r="A361" s="44" t="s">
        <v>1103</v>
      </c>
      <c r="B361" s="48" t="s">
        <v>1104</v>
      </c>
      <c r="C361" s="44" t="s">
        <v>837</v>
      </c>
      <c r="D361" s="47">
        <v>162</v>
      </c>
      <c r="E361" s="47">
        <v>7734</v>
      </c>
      <c r="F361" s="47">
        <v>52</v>
      </c>
      <c r="G361" s="47">
        <v>861</v>
      </c>
      <c r="H361" s="47">
        <v>56</v>
      </c>
      <c r="I361" s="47">
        <v>4142</v>
      </c>
      <c r="J361" s="47">
        <v>11</v>
      </c>
      <c r="K361" s="47">
        <v>292</v>
      </c>
      <c r="L361" s="47">
        <v>2295</v>
      </c>
      <c r="M361" s="47">
        <v>1011</v>
      </c>
      <c r="N361" s="47">
        <v>3306</v>
      </c>
      <c r="O361" s="47">
        <v>218</v>
      </c>
      <c r="P361" s="47">
        <v>11876</v>
      </c>
      <c r="Q361" s="44" t="s">
        <v>1643</v>
      </c>
      <c r="R361" s="47">
        <v>97</v>
      </c>
      <c r="S361" s="47">
        <v>2492</v>
      </c>
      <c r="T361" s="47">
        <v>63</v>
      </c>
      <c r="U361" s="47">
        <v>1153</v>
      </c>
      <c r="V361" s="47">
        <v>175</v>
      </c>
      <c r="W361" s="47">
        <v>3684</v>
      </c>
      <c r="X361" s="47">
        <v>0</v>
      </c>
      <c r="Y361" s="47">
        <v>0</v>
      </c>
      <c r="Z361" s="47">
        <v>456</v>
      </c>
      <c r="AA361" s="47">
        <v>16713</v>
      </c>
      <c r="AB361" s="76">
        <f t="shared" si="10"/>
        <v>36.651315789473685</v>
      </c>
      <c r="AC361" s="76">
        <f t="shared" si="11"/>
        <v>0.21788102780711016</v>
      </c>
      <c r="AD361" s="47">
        <v>76707</v>
      </c>
    </row>
    <row r="362" spans="1:30" ht="15.75" thickBot="1" x14ac:dyDescent="0.3">
      <c r="A362" s="44" t="s">
        <v>1107</v>
      </c>
      <c r="B362" s="48" t="s">
        <v>1108</v>
      </c>
      <c r="C362" s="44" t="s">
        <v>837</v>
      </c>
      <c r="D362" s="47">
        <v>779</v>
      </c>
      <c r="E362" s="47">
        <v>9182</v>
      </c>
      <c r="F362" s="47">
        <v>136</v>
      </c>
      <c r="G362" s="47">
        <v>2812</v>
      </c>
      <c r="H362" s="47">
        <v>110</v>
      </c>
      <c r="I362" s="47">
        <v>3917</v>
      </c>
      <c r="J362" s="47">
        <v>42</v>
      </c>
      <c r="K362" s="47">
        <v>253</v>
      </c>
      <c r="L362" s="47">
        <v>2752</v>
      </c>
      <c r="M362" s="47">
        <v>753</v>
      </c>
      <c r="N362" s="47">
        <v>3505</v>
      </c>
      <c r="O362" s="47">
        <v>889</v>
      </c>
      <c r="P362" s="47">
        <v>13099</v>
      </c>
      <c r="Q362" s="44" t="s">
        <v>1643</v>
      </c>
      <c r="R362" s="47">
        <v>305</v>
      </c>
      <c r="S362" s="47">
        <v>6167</v>
      </c>
      <c r="T362" s="47">
        <v>178</v>
      </c>
      <c r="U362" s="47">
        <v>3065</v>
      </c>
      <c r="V362" s="47">
        <v>276</v>
      </c>
      <c r="W362" s="47">
        <v>11413</v>
      </c>
      <c r="X362" s="47">
        <v>0</v>
      </c>
      <c r="Y362" s="47">
        <v>0</v>
      </c>
      <c r="Z362" s="47">
        <v>1343</v>
      </c>
      <c r="AA362" s="47">
        <v>27577</v>
      </c>
      <c r="AB362" s="76">
        <f t="shared" si="10"/>
        <v>20.533879374534624</v>
      </c>
      <c r="AC362" s="76">
        <f t="shared" si="11"/>
        <v>0.14665496702829187</v>
      </c>
      <c r="AD362" s="47">
        <v>188040</v>
      </c>
    </row>
    <row r="363" spans="1:30" ht="15.75" thickBot="1" x14ac:dyDescent="0.3">
      <c r="A363" s="44" t="s">
        <v>1111</v>
      </c>
      <c r="B363" s="48" t="s">
        <v>1112</v>
      </c>
      <c r="C363" s="44" t="s">
        <v>837</v>
      </c>
      <c r="D363" s="47">
        <v>521</v>
      </c>
      <c r="E363" s="47">
        <v>35276</v>
      </c>
      <c r="F363" s="47">
        <v>47</v>
      </c>
      <c r="G363" s="47">
        <v>4210</v>
      </c>
      <c r="H363" s="47">
        <v>89</v>
      </c>
      <c r="I363" s="47">
        <v>7559</v>
      </c>
      <c r="J363" s="47">
        <v>10</v>
      </c>
      <c r="K363" s="47">
        <v>127</v>
      </c>
      <c r="L363" s="47">
        <v>1643</v>
      </c>
      <c r="M363" s="47">
        <v>146</v>
      </c>
      <c r="N363" s="47">
        <v>1789</v>
      </c>
      <c r="O363" s="47">
        <v>610</v>
      </c>
      <c r="P363" s="47">
        <v>42835</v>
      </c>
      <c r="Q363" s="44" t="s">
        <v>1643</v>
      </c>
      <c r="R363" s="47">
        <v>272</v>
      </c>
      <c r="S363" s="47">
        <v>5842</v>
      </c>
      <c r="T363" s="47">
        <v>57</v>
      </c>
      <c r="U363" s="47">
        <v>4337</v>
      </c>
      <c r="V363" s="47">
        <v>153</v>
      </c>
      <c r="W363" s="47">
        <v>5778</v>
      </c>
      <c r="X363" s="47">
        <v>109</v>
      </c>
      <c r="Y363" s="47">
        <v>10670</v>
      </c>
      <c r="Z363" s="47">
        <v>929</v>
      </c>
      <c r="AA363" s="47">
        <v>63620</v>
      </c>
      <c r="AB363" s="76">
        <f t="shared" si="10"/>
        <v>68.482238966630788</v>
      </c>
      <c r="AC363" s="76">
        <f t="shared" si="11"/>
        <v>1.2442062855690064</v>
      </c>
      <c r="AD363" s="47">
        <v>51133</v>
      </c>
    </row>
    <row r="364" spans="1:30" ht="15.75" thickBot="1" x14ac:dyDescent="0.3">
      <c r="A364" s="44" t="s">
        <v>1137</v>
      </c>
      <c r="B364" s="48" t="s">
        <v>1138</v>
      </c>
      <c r="C364" s="44" t="s">
        <v>837</v>
      </c>
      <c r="D364" s="47">
        <v>541</v>
      </c>
      <c r="E364" s="47">
        <v>20363</v>
      </c>
      <c r="F364" s="47">
        <v>138</v>
      </c>
      <c r="G364" s="47">
        <v>2973</v>
      </c>
      <c r="H364" s="47">
        <v>79</v>
      </c>
      <c r="I364" s="47">
        <v>4130</v>
      </c>
      <c r="J364" s="47">
        <v>42</v>
      </c>
      <c r="K364" s="47">
        <v>696</v>
      </c>
      <c r="L364" s="47">
        <v>1788</v>
      </c>
      <c r="M364" s="47">
        <v>465</v>
      </c>
      <c r="N364" s="47">
        <v>2253</v>
      </c>
      <c r="O364" s="47">
        <v>620</v>
      </c>
      <c r="P364" s="47">
        <v>24493</v>
      </c>
      <c r="Q364" s="44" t="s">
        <v>1643</v>
      </c>
      <c r="R364" s="47">
        <v>397</v>
      </c>
      <c r="S364" s="47">
        <v>13832</v>
      </c>
      <c r="T364" s="47">
        <v>180</v>
      </c>
      <c r="U364" s="47">
        <v>3669</v>
      </c>
      <c r="V364" s="47">
        <v>267</v>
      </c>
      <c r="W364" s="47">
        <v>2638</v>
      </c>
      <c r="X364" s="47">
        <v>15</v>
      </c>
      <c r="Y364" s="47">
        <v>6430</v>
      </c>
      <c r="Z364" s="47">
        <v>1082</v>
      </c>
      <c r="AA364" s="47">
        <v>37230</v>
      </c>
      <c r="AB364" s="76">
        <f t="shared" si="10"/>
        <v>34.408502772643253</v>
      </c>
      <c r="AC364" s="76">
        <f t="shared" si="11"/>
        <v>0.36349257490993236</v>
      </c>
      <c r="AD364" s="47">
        <v>102423</v>
      </c>
    </row>
    <row r="365" spans="1:30" ht="15.75" thickBot="1" x14ac:dyDescent="0.3">
      <c r="A365" s="44" t="s">
        <v>1159</v>
      </c>
      <c r="B365" s="48" t="s">
        <v>1160</v>
      </c>
      <c r="C365" s="44" t="s">
        <v>837</v>
      </c>
      <c r="D365" s="47">
        <v>510</v>
      </c>
      <c r="E365" s="47">
        <v>15993</v>
      </c>
      <c r="F365" s="47">
        <v>152</v>
      </c>
      <c r="G365" s="47">
        <v>375</v>
      </c>
      <c r="H365" s="47">
        <v>137</v>
      </c>
      <c r="I365" s="47">
        <v>3863</v>
      </c>
      <c r="J365" s="47">
        <v>9</v>
      </c>
      <c r="K365" s="47">
        <v>307</v>
      </c>
      <c r="L365" s="47">
        <v>803</v>
      </c>
      <c r="M365" s="47">
        <v>175</v>
      </c>
      <c r="N365" s="47">
        <v>978</v>
      </c>
      <c r="O365" s="47">
        <v>647</v>
      </c>
      <c r="P365" s="47">
        <v>19856</v>
      </c>
      <c r="Q365" s="44" t="s">
        <v>1643</v>
      </c>
      <c r="R365" s="47">
        <v>253</v>
      </c>
      <c r="S365" s="47">
        <v>8196</v>
      </c>
      <c r="T365" s="47">
        <v>161</v>
      </c>
      <c r="U365" s="47">
        <v>682</v>
      </c>
      <c r="V365" s="47">
        <v>220</v>
      </c>
      <c r="W365" s="47">
        <v>3326</v>
      </c>
      <c r="X365" s="47">
        <v>0</v>
      </c>
      <c r="Y365" s="47">
        <v>0</v>
      </c>
      <c r="Z365" s="47">
        <v>1028</v>
      </c>
      <c r="AA365" s="47">
        <v>23864</v>
      </c>
      <c r="AB365" s="76">
        <f t="shared" si="10"/>
        <v>23.214007782101167</v>
      </c>
      <c r="AC365" s="76">
        <f t="shared" si="11"/>
        <v>0.45430143349387958</v>
      </c>
      <c r="AD365" s="47">
        <v>52529</v>
      </c>
    </row>
    <row r="366" spans="1:30" ht="15.75" thickBot="1" x14ac:dyDescent="0.3">
      <c r="A366" s="44" t="s">
        <v>1179</v>
      </c>
      <c r="B366" s="48" t="s">
        <v>1180</v>
      </c>
      <c r="C366" s="44" t="s">
        <v>837</v>
      </c>
      <c r="D366" s="47">
        <v>1515</v>
      </c>
      <c r="E366" s="47">
        <v>48596</v>
      </c>
      <c r="F366" s="47">
        <v>76</v>
      </c>
      <c r="G366" s="47">
        <v>1272</v>
      </c>
      <c r="H366" s="47">
        <v>312</v>
      </c>
      <c r="I366" s="47">
        <v>8190</v>
      </c>
      <c r="J366" s="47">
        <v>3</v>
      </c>
      <c r="K366" s="47">
        <v>402</v>
      </c>
      <c r="L366" s="47">
        <v>1551</v>
      </c>
      <c r="M366" s="47">
        <v>346</v>
      </c>
      <c r="N366" s="47">
        <v>1897</v>
      </c>
      <c r="O366" s="47">
        <v>1827</v>
      </c>
      <c r="P366" s="47">
        <v>56786</v>
      </c>
      <c r="Q366" s="44" t="s">
        <v>1643</v>
      </c>
      <c r="R366" s="47">
        <v>868</v>
      </c>
      <c r="S366" s="47">
        <v>11319</v>
      </c>
      <c r="T366" s="47">
        <v>79</v>
      </c>
      <c r="U366" s="47">
        <v>1674</v>
      </c>
      <c r="V366" s="47">
        <v>1095</v>
      </c>
      <c r="W366" s="47">
        <v>14324</v>
      </c>
      <c r="X366" s="47">
        <v>292</v>
      </c>
      <c r="Y366" s="47">
        <v>10721</v>
      </c>
      <c r="Z366" s="47">
        <v>3293</v>
      </c>
      <c r="AA366" s="47">
        <v>83505</v>
      </c>
      <c r="AB366" s="76">
        <f t="shared" si="10"/>
        <v>25.35833586395384</v>
      </c>
      <c r="AC366" s="76">
        <f t="shared" si="11"/>
        <v>0.52109854725175975</v>
      </c>
      <c r="AD366" s="47">
        <v>160248</v>
      </c>
    </row>
    <row r="367" spans="1:30" ht="15.75" thickBot="1" x14ac:dyDescent="0.3">
      <c r="A367" s="44" t="s">
        <v>1187</v>
      </c>
      <c r="B367" s="48" t="s">
        <v>1188</v>
      </c>
      <c r="C367" s="44" t="s">
        <v>837</v>
      </c>
      <c r="D367" s="47">
        <v>988</v>
      </c>
      <c r="E367" s="47">
        <v>32140</v>
      </c>
      <c r="F367" s="47">
        <v>138</v>
      </c>
      <c r="G367" s="47">
        <v>5698</v>
      </c>
      <c r="H367" s="47">
        <v>399</v>
      </c>
      <c r="I367" s="47">
        <v>10733</v>
      </c>
      <c r="J367" s="47">
        <v>106</v>
      </c>
      <c r="K367" s="47">
        <v>2293</v>
      </c>
      <c r="L367" s="47">
        <v>3121</v>
      </c>
      <c r="M367" s="47">
        <v>1568</v>
      </c>
      <c r="N367" s="47">
        <v>4689</v>
      </c>
      <c r="O367" s="47">
        <v>1387</v>
      </c>
      <c r="P367" s="47">
        <v>42873</v>
      </c>
      <c r="Q367" s="44" t="s">
        <v>1643</v>
      </c>
      <c r="R367" s="47">
        <v>781</v>
      </c>
      <c r="S367" s="47">
        <v>14784</v>
      </c>
      <c r="T367" s="47">
        <v>244</v>
      </c>
      <c r="U367" s="47">
        <v>7991</v>
      </c>
      <c r="V367" s="47">
        <v>414</v>
      </c>
      <c r="W367" s="47">
        <v>10530</v>
      </c>
      <c r="X367" s="47">
        <v>0</v>
      </c>
      <c r="Y367" s="47">
        <v>0</v>
      </c>
      <c r="Z367" s="47">
        <v>2045</v>
      </c>
      <c r="AA367" s="47">
        <v>61394</v>
      </c>
      <c r="AB367" s="76">
        <f t="shared" si="10"/>
        <v>30.021515892420538</v>
      </c>
      <c r="AC367" s="76">
        <f t="shared" si="11"/>
        <v>0.52723603417922627</v>
      </c>
      <c r="AD367" s="47">
        <v>116445</v>
      </c>
    </row>
    <row r="368" spans="1:30" ht="15.75" thickBot="1" x14ac:dyDescent="0.3">
      <c r="A368" s="44" t="s">
        <v>1191</v>
      </c>
      <c r="B368" s="48" t="s">
        <v>1192</v>
      </c>
      <c r="C368" s="44" t="s">
        <v>837</v>
      </c>
      <c r="D368" s="47">
        <v>2356</v>
      </c>
      <c r="E368" s="47">
        <v>42604</v>
      </c>
      <c r="F368" s="47">
        <v>241</v>
      </c>
      <c r="G368" s="47">
        <v>5047</v>
      </c>
      <c r="H368" s="47">
        <v>905</v>
      </c>
      <c r="I368" s="47">
        <v>58889</v>
      </c>
      <c r="J368" s="47">
        <v>157</v>
      </c>
      <c r="K368" s="47">
        <v>2760</v>
      </c>
      <c r="L368" s="47">
        <v>11228</v>
      </c>
      <c r="M368" s="47">
        <v>3211</v>
      </c>
      <c r="N368" s="47">
        <v>14439</v>
      </c>
      <c r="O368" s="47">
        <v>3261</v>
      </c>
      <c r="P368" s="47">
        <v>101493</v>
      </c>
      <c r="Q368" s="44" t="s">
        <v>1643</v>
      </c>
      <c r="R368" s="47">
        <v>2673</v>
      </c>
      <c r="S368" s="47">
        <v>80672</v>
      </c>
      <c r="T368" s="47">
        <v>398</v>
      </c>
      <c r="U368" s="47">
        <v>7807</v>
      </c>
      <c r="V368" s="47">
        <v>984</v>
      </c>
      <c r="W368" s="47">
        <v>11624</v>
      </c>
      <c r="X368" s="47">
        <v>414</v>
      </c>
      <c r="Y368" s="47">
        <v>52299</v>
      </c>
      <c r="Z368" s="47">
        <v>5057</v>
      </c>
      <c r="AA368" s="47">
        <v>173223</v>
      </c>
      <c r="AB368" s="76">
        <f t="shared" si="10"/>
        <v>34.254103223254894</v>
      </c>
      <c r="AC368" s="76">
        <f t="shared" si="11"/>
        <v>0.4378077136935753</v>
      </c>
      <c r="AD368" s="47">
        <v>395660</v>
      </c>
    </row>
    <row r="369" spans="1:30" ht="15.75" thickBot="1" x14ac:dyDescent="0.3">
      <c r="A369" s="44" t="s">
        <v>1201</v>
      </c>
      <c r="B369" s="48" t="s">
        <v>1202</v>
      </c>
      <c r="C369" s="44" t="s">
        <v>837</v>
      </c>
      <c r="D369" s="47">
        <v>568</v>
      </c>
      <c r="E369" s="47">
        <v>9146</v>
      </c>
      <c r="F369" s="47">
        <v>32</v>
      </c>
      <c r="G369" s="47">
        <v>235</v>
      </c>
      <c r="H369" s="47">
        <v>143</v>
      </c>
      <c r="I369" s="47">
        <v>3373</v>
      </c>
      <c r="J369" s="47">
        <v>12</v>
      </c>
      <c r="K369" s="47">
        <v>85</v>
      </c>
      <c r="L369" s="47">
        <v>443</v>
      </c>
      <c r="M369" s="47">
        <v>82</v>
      </c>
      <c r="N369" s="47">
        <v>525</v>
      </c>
      <c r="O369" s="47">
        <v>711</v>
      </c>
      <c r="P369" s="47">
        <v>12519</v>
      </c>
      <c r="Q369" s="44" t="s">
        <v>1643</v>
      </c>
      <c r="R369" s="47">
        <v>334</v>
      </c>
      <c r="S369" s="47">
        <v>2190</v>
      </c>
      <c r="T369" s="47">
        <v>44</v>
      </c>
      <c r="U369" s="47">
        <v>320</v>
      </c>
      <c r="V369" s="47">
        <v>281</v>
      </c>
      <c r="W369" s="47">
        <v>2054</v>
      </c>
      <c r="X369" s="47">
        <v>302</v>
      </c>
      <c r="Y369" s="47">
        <v>10881</v>
      </c>
      <c r="Z369" s="47">
        <v>1338</v>
      </c>
      <c r="AA369" s="47">
        <v>25774</v>
      </c>
      <c r="AB369" s="76">
        <f t="shared" si="10"/>
        <v>19.263079222720478</v>
      </c>
      <c r="AC369" s="76">
        <f t="shared" si="11"/>
        <v>0.42952371429523717</v>
      </c>
      <c r="AD369" s="47">
        <v>60006</v>
      </c>
    </row>
    <row r="370" spans="1:30" ht="15.75" thickBot="1" x14ac:dyDescent="0.3">
      <c r="A370" s="44" t="s">
        <v>1227</v>
      </c>
      <c r="B370" s="48" t="s">
        <v>1228</v>
      </c>
      <c r="C370" s="44" t="s">
        <v>837</v>
      </c>
      <c r="D370" s="47">
        <v>438</v>
      </c>
      <c r="E370" s="47">
        <v>16236</v>
      </c>
      <c r="F370" s="47">
        <v>107</v>
      </c>
      <c r="G370" s="47">
        <v>2106</v>
      </c>
      <c r="H370" s="47">
        <v>53</v>
      </c>
      <c r="I370" s="47">
        <v>6955</v>
      </c>
      <c r="J370" s="47">
        <v>11</v>
      </c>
      <c r="K370" s="47">
        <v>576</v>
      </c>
      <c r="L370" s="47">
        <v>1549</v>
      </c>
      <c r="M370" s="47">
        <v>273</v>
      </c>
      <c r="N370" s="47">
        <v>1822</v>
      </c>
      <c r="O370" s="47">
        <v>491</v>
      </c>
      <c r="P370" s="47">
        <v>23191</v>
      </c>
      <c r="Q370" s="44" t="s">
        <v>1643</v>
      </c>
      <c r="R370" s="47">
        <v>53</v>
      </c>
      <c r="S370" s="47">
        <v>6955</v>
      </c>
      <c r="T370" s="47">
        <v>118</v>
      </c>
      <c r="U370" s="47">
        <v>2682</v>
      </c>
      <c r="V370" s="47">
        <v>177</v>
      </c>
      <c r="W370" s="47">
        <v>3900</v>
      </c>
      <c r="X370" s="47">
        <v>4</v>
      </c>
      <c r="Y370" s="47">
        <v>286</v>
      </c>
      <c r="Z370" s="47">
        <v>790</v>
      </c>
      <c r="AA370" s="47">
        <v>30059</v>
      </c>
      <c r="AB370" s="76">
        <f t="shared" si="10"/>
        <v>38.049367088607596</v>
      </c>
      <c r="AC370" s="76">
        <f t="shared" si="11"/>
        <v>0.31007200181551858</v>
      </c>
      <c r="AD370" s="47">
        <v>96942</v>
      </c>
    </row>
    <row r="371" spans="1:30" ht="15.75" thickBot="1" x14ac:dyDescent="0.3">
      <c r="A371" s="44" t="s">
        <v>1293</v>
      </c>
      <c r="B371" s="48" t="s">
        <v>1294</v>
      </c>
      <c r="C371" s="44" t="s">
        <v>837</v>
      </c>
      <c r="D371" s="47">
        <v>2453</v>
      </c>
      <c r="E371" s="47">
        <v>72010</v>
      </c>
      <c r="F371" s="47">
        <v>208</v>
      </c>
      <c r="G371" s="47">
        <v>2851</v>
      </c>
      <c r="H371" s="47">
        <v>245</v>
      </c>
      <c r="I371" s="47">
        <v>5619</v>
      </c>
      <c r="J371" s="47">
        <v>41</v>
      </c>
      <c r="K371" s="47">
        <v>558</v>
      </c>
      <c r="L371" s="47">
        <v>5619</v>
      </c>
      <c r="M371" s="47">
        <v>558</v>
      </c>
      <c r="N371" s="47">
        <v>6177</v>
      </c>
      <c r="O371" s="47">
        <v>2698</v>
      </c>
      <c r="P371" s="47">
        <v>77629</v>
      </c>
      <c r="Q371" s="44" t="s">
        <v>1643</v>
      </c>
      <c r="R371" s="47">
        <v>2453</v>
      </c>
      <c r="S371" s="47">
        <v>72010</v>
      </c>
      <c r="T371" s="47">
        <v>249</v>
      </c>
      <c r="U371" s="47">
        <v>3409</v>
      </c>
      <c r="V371" s="47">
        <v>1258</v>
      </c>
      <c r="W371" s="47">
        <v>33839</v>
      </c>
      <c r="X371" s="47">
        <v>273</v>
      </c>
      <c r="Y371" s="47">
        <v>7487</v>
      </c>
      <c r="Z371" s="47">
        <v>4478</v>
      </c>
      <c r="AA371" s="47">
        <v>122364</v>
      </c>
      <c r="AB371" s="76">
        <f t="shared" si="10"/>
        <v>27.325591782045556</v>
      </c>
      <c r="AC371" s="76">
        <f t="shared" si="11"/>
        <v>0.81600480144043208</v>
      </c>
      <c r="AD371" s="47">
        <v>149955</v>
      </c>
    </row>
    <row r="372" spans="1:30" ht="15.75" thickBot="1" x14ac:dyDescent="0.3">
      <c r="A372" s="44" t="s">
        <v>1307</v>
      </c>
      <c r="B372" s="48" t="s">
        <v>1308</v>
      </c>
      <c r="C372" s="44" t="s">
        <v>837</v>
      </c>
      <c r="D372" s="47">
        <v>729</v>
      </c>
      <c r="E372" s="47">
        <v>18106</v>
      </c>
      <c r="F372" s="47">
        <v>80</v>
      </c>
      <c r="G372" s="47">
        <v>725</v>
      </c>
      <c r="H372" s="47">
        <v>130</v>
      </c>
      <c r="I372" s="47">
        <v>6116</v>
      </c>
      <c r="J372" s="47">
        <v>27</v>
      </c>
      <c r="K372" s="47">
        <v>171</v>
      </c>
      <c r="L372" s="47">
        <v>731</v>
      </c>
      <c r="M372" s="47">
        <v>186</v>
      </c>
      <c r="N372" s="47">
        <v>917</v>
      </c>
      <c r="O372" s="47">
        <v>859</v>
      </c>
      <c r="P372" s="47">
        <v>24222</v>
      </c>
      <c r="Q372" s="44" t="s">
        <v>1643</v>
      </c>
      <c r="R372" s="47">
        <v>439</v>
      </c>
      <c r="S372" s="47">
        <v>7493</v>
      </c>
      <c r="T372" s="47">
        <v>107</v>
      </c>
      <c r="U372" s="47">
        <v>896</v>
      </c>
      <c r="V372" s="47">
        <v>428</v>
      </c>
      <c r="W372" s="47">
        <v>9967</v>
      </c>
      <c r="X372" s="47">
        <v>0</v>
      </c>
      <c r="Y372" s="47">
        <v>0</v>
      </c>
      <c r="Z372" s="47">
        <v>1394</v>
      </c>
      <c r="AA372" s="47">
        <v>35085</v>
      </c>
      <c r="AB372" s="76">
        <f t="shared" si="10"/>
        <v>25.16857962697274</v>
      </c>
      <c r="AC372" s="76">
        <f t="shared" si="11"/>
        <v>0.33145334996032194</v>
      </c>
      <c r="AD372" s="47">
        <v>105852</v>
      </c>
    </row>
    <row r="373" spans="1:30" ht="15.75" thickBot="1" x14ac:dyDescent="0.3">
      <c r="A373" s="44" t="s">
        <v>1327</v>
      </c>
      <c r="B373" s="48" t="s">
        <v>1328</v>
      </c>
      <c r="C373" s="44" t="s">
        <v>837</v>
      </c>
      <c r="D373" s="47">
        <v>503</v>
      </c>
      <c r="E373" s="47">
        <v>35759</v>
      </c>
      <c r="F373" s="47">
        <v>214</v>
      </c>
      <c r="G373" s="47">
        <v>5878</v>
      </c>
      <c r="H373" s="47">
        <v>33</v>
      </c>
      <c r="I373" s="47">
        <v>4525</v>
      </c>
      <c r="J373" s="47">
        <v>9</v>
      </c>
      <c r="K373" s="47">
        <v>308</v>
      </c>
      <c r="L373" s="47">
        <v>1345</v>
      </c>
      <c r="M373" s="47">
        <v>603</v>
      </c>
      <c r="N373" s="47">
        <v>1948</v>
      </c>
      <c r="O373" s="47">
        <v>536</v>
      </c>
      <c r="P373" s="47">
        <v>40284</v>
      </c>
      <c r="Q373" s="44" t="s">
        <v>1643</v>
      </c>
      <c r="R373" s="47">
        <v>386</v>
      </c>
      <c r="S373" s="47">
        <v>15899</v>
      </c>
      <c r="T373" s="47">
        <v>223</v>
      </c>
      <c r="U373" s="47">
        <v>6186</v>
      </c>
      <c r="V373" s="47">
        <v>454</v>
      </c>
      <c r="W373" s="47">
        <v>2177</v>
      </c>
      <c r="X373" s="47">
        <v>671</v>
      </c>
      <c r="Y373" s="47">
        <v>8710</v>
      </c>
      <c r="Z373" s="47">
        <v>1884</v>
      </c>
      <c r="AA373" s="47">
        <v>57357</v>
      </c>
      <c r="AB373" s="76">
        <f t="shared" si="10"/>
        <v>30.444267515923567</v>
      </c>
      <c r="AC373" s="76">
        <f t="shared" si="11"/>
        <v>1.0358110304475023</v>
      </c>
      <c r="AD373" s="47">
        <v>55374</v>
      </c>
    </row>
    <row r="374" spans="1:30" ht="15.75" thickBot="1" x14ac:dyDescent="0.3">
      <c r="A374" s="44" t="s">
        <v>1375</v>
      </c>
      <c r="B374" s="48" t="s">
        <v>1376</v>
      </c>
      <c r="C374" s="44" t="s">
        <v>837</v>
      </c>
      <c r="D374" s="47">
        <v>476</v>
      </c>
      <c r="E374" s="47">
        <v>4369</v>
      </c>
      <c r="F374" s="47">
        <v>39</v>
      </c>
      <c r="G374" s="47">
        <v>904</v>
      </c>
      <c r="H374" s="47">
        <v>41</v>
      </c>
      <c r="I374" s="47">
        <v>337</v>
      </c>
      <c r="J374" s="47">
        <v>22</v>
      </c>
      <c r="K374" s="47">
        <v>479</v>
      </c>
      <c r="L374" s="47">
        <v>81</v>
      </c>
      <c r="M374" s="47">
        <v>31</v>
      </c>
      <c r="N374" s="47">
        <v>112</v>
      </c>
      <c r="O374" s="47">
        <v>517</v>
      </c>
      <c r="P374" s="47">
        <v>4706</v>
      </c>
      <c r="Q374" s="44" t="s">
        <v>1643</v>
      </c>
      <c r="R374" s="47">
        <v>40</v>
      </c>
      <c r="S374" s="47">
        <v>102</v>
      </c>
      <c r="T374" s="47">
        <v>61</v>
      </c>
      <c r="U374" s="47">
        <v>1383</v>
      </c>
      <c r="V374" s="47">
        <v>118</v>
      </c>
      <c r="W374" s="47">
        <v>248</v>
      </c>
      <c r="X374" s="47">
        <v>11</v>
      </c>
      <c r="Y374" s="47">
        <v>800</v>
      </c>
      <c r="Z374" s="47">
        <v>707</v>
      </c>
      <c r="AA374" s="47">
        <v>7137</v>
      </c>
      <c r="AB374" s="76">
        <f t="shared" si="10"/>
        <v>10.094766619519095</v>
      </c>
      <c r="AC374" s="76">
        <f t="shared" si="11"/>
        <v>0.1199193480635134</v>
      </c>
      <c r="AD374" s="47">
        <v>59515</v>
      </c>
    </row>
    <row r="375" spans="1:30" ht="15.75" thickBot="1" x14ac:dyDescent="0.3">
      <c r="A375" s="44" t="s">
        <v>1379</v>
      </c>
      <c r="B375" s="48" t="s">
        <v>1380</v>
      </c>
      <c r="C375" s="44" t="s">
        <v>837</v>
      </c>
      <c r="D375" s="47">
        <v>263</v>
      </c>
      <c r="E375" s="47">
        <v>13861</v>
      </c>
      <c r="F375" s="47">
        <v>90</v>
      </c>
      <c r="G375" s="47">
        <v>2436</v>
      </c>
      <c r="H375" s="47">
        <v>62</v>
      </c>
      <c r="I375" s="47">
        <v>6779</v>
      </c>
      <c r="J375" s="47">
        <v>21</v>
      </c>
      <c r="K375" s="47">
        <v>1194</v>
      </c>
      <c r="L375" s="47">
        <v>2733</v>
      </c>
      <c r="M375" s="47">
        <v>404</v>
      </c>
      <c r="N375" s="47">
        <v>3137</v>
      </c>
      <c r="O375" s="47">
        <v>325</v>
      </c>
      <c r="P375" s="47">
        <v>20640</v>
      </c>
      <c r="Q375" s="44" t="s">
        <v>1643</v>
      </c>
      <c r="R375" s="47">
        <v>243</v>
      </c>
      <c r="S375" s="47">
        <v>9416</v>
      </c>
      <c r="T375" s="47">
        <v>111</v>
      </c>
      <c r="U375" s="47">
        <v>3630</v>
      </c>
      <c r="V375" s="47">
        <v>70</v>
      </c>
      <c r="W375" s="47">
        <v>1594</v>
      </c>
      <c r="X375" s="47">
        <v>155</v>
      </c>
      <c r="Y375" s="47">
        <v>4789</v>
      </c>
      <c r="Z375" s="47">
        <v>661</v>
      </c>
      <c r="AA375" s="47">
        <v>30653</v>
      </c>
      <c r="AB375" s="76">
        <f t="shared" si="10"/>
        <v>46.373676248108929</v>
      </c>
      <c r="AC375" s="76">
        <f t="shared" si="11"/>
        <v>0.58755990032585781</v>
      </c>
      <c r="AD375" s="47">
        <v>52170</v>
      </c>
    </row>
    <row r="376" spans="1:30" ht="15.75" thickBot="1" x14ac:dyDescent="0.3">
      <c r="A376" s="44" t="s">
        <v>1389</v>
      </c>
      <c r="B376" s="48" t="s">
        <v>1390</v>
      </c>
      <c r="C376" s="44" t="s">
        <v>837</v>
      </c>
      <c r="D376" s="47">
        <v>371</v>
      </c>
      <c r="E376" s="47">
        <v>8291</v>
      </c>
      <c r="F376" s="47">
        <v>151</v>
      </c>
      <c r="G376" s="47">
        <v>1741</v>
      </c>
      <c r="H376" s="47">
        <v>49</v>
      </c>
      <c r="I376" s="47">
        <v>1871</v>
      </c>
      <c r="J376" s="47">
        <v>29</v>
      </c>
      <c r="K376" s="47">
        <v>338</v>
      </c>
      <c r="L376" s="47">
        <v>2543</v>
      </c>
      <c r="M376" s="47">
        <v>689</v>
      </c>
      <c r="N376" s="47">
        <v>3232</v>
      </c>
      <c r="O376" s="47">
        <v>420</v>
      </c>
      <c r="P376" s="47">
        <v>10162</v>
      </c>
      <c r="Q376" s="44" t="s">
        <v>1643</v>
      </c>
      <c r="R376" s="47">
        <v>114</v>
      </c>
      <c r="S376" s="47">
        <v>1964</v>
      </c>
      <c r="T376" s="47">
        <v>180</v>
      </c>
      <c r="U376" s="47">
        <v>2079</v>
      </c>
      <c r="V376" s="47">
        <v>152</v>
      </c>
      <c r="W376" s="47">
        <v>1741</v>
      </c>
      <c r="X376" s="47">
        <v>71</v>
      </c>
      <c r="Y376" s="47">
        <v>7758</v>
      </c>
      <c r="Z376" s="47">
        <v>823</v>
      </c>
      <c r="AA376" s="47">
        <v>21740</v>
      </c>
      <c r="AB376" s="76">
        <f t="shared" si="10"/>
        <v>26.415552855407046</v>
      </c>
      <c r="AC376" s="76">
        <f t="shared" si="11"/>
        <v>0.17435239393696367</v>
      </c>
      <c r="AD376" s="47">
        <v>124690</v>
      </c>
    </row>
    <row r="377" spans="1:30" ht="15.75" thickBot="1" x14ac:dyDescent="0.3">
      <c r="A377" s="44" t="s">
        <v>1423</v>
      </c>
      <c r="B377" s="48" t="s">
        <v>1424</v>
      </c>
      <c r="C377" s="44" t="s">
        <v>837</v>
      </c>
      <c r="D377" s="47">
        <v>423</v>
      </c>
      <c r="E377" s="47">
        <v>18970</v>
      </c>
      <c r="F377" s="47">
        <v>0</v>
      </c>
      <c r="G377" s="47">
        <v>0</v>
      </c>
      <c r="H377" s="47">
        <v>93</v>
      </c>
      <c r="I377" s="47">
        <v>3596</v>
      </c>
      <c r="J377" s="47">
        <v>20</v>
      </c>
      <c r="K377" s="47">
        <v>331</v>
      </c>
      <c r="L377" s="47">
        <v>1500</v>
      </c>
      <c r="M377" s="47">
        <v>122</v>
      </c>
      <c r="N377" s="47">
        <v>1622</v>
      </c>
      <c r="O377" s="47">
        <v>516</v>
      </c>
      <c r="P377" s="47">
        <v>22566</v>
      </c>
      <c r="Q377" s="44" t="s">
        <v>1643</v>
      </c>
      <c r="R377" s="47">
        <v>258</v>
      </c>
      <c r="S377" s="47">
        <v>7144</v>
      </c>
      <c r="T377" s="47">
        <v>20</v>
      </c>
      <c r="U377" s="47">
        <v>331</v>
      </c>
      <c r="V377" s="47">
        <v>423</v>
      </c>
      <c r="W377" s="47">
        <v>11862</v>
      </c>
      <c r="X377" s="47">
        <v>0</v>
      </c>
      <c r="Y377" s="47">
        <v>0</v>
      </c>
      <c r="Z377" s="47">
        <v>959</v>
      </c>
      <c r="AA377" s="47">
        <v>34759</v>
      </c>
      <c r="AB377" s="76">
        <f t="shared" si="10"/>
        <v>36.245046923879038</v>
      </c>
      <c r="AC377" s="76">
        <f t="shared" si="11"/>
        <v>0.34591232522267007</v>
      </c>
      <c r="AD377" s="47">
        <v>100485</v>
      </c>
    </row>
    <row r="378" spans="1:30" ht="15.75" thickBot="1" x14ac:dyDescent="0.3">
      <c r="A378" s="44" t="s">
        <v>1433</v>
      </c>
      <c r="B378" s="48" t="s">
        <v>1434</v>
      </c>
      <c r="C378" s="44" t="s">
        <v>837</v>
      </c>
      <c r="D378" s="47">
        <v>309</v>
      </c>
      <c r="E378" s="47">
        <v>15141</v>
      </c>
      <c r="F378" s="47">
        <v>62</v>
      </c>
      <c r="G378" s="47">
        <v>836</v>
      </c>
      <c r="H378" s="47">
        <v>73</v>
      </c>
      <c r="I378" s="47">
        <v>5411</v>
      </c>
      <c r="J378" s="47">
        <v>10</v>
      </c>
      <c r="K378" s="47">
        <v>139</v>
      </c>
      <c r="L378" s="47">
        <v>1472</v>
      </c>
      <c r="M378" s="47">
        <v>179</v>
      </c>
      <c r="N378" s="47">
        <v>1651</v>
      </c>
      <c r="O378" s="47">
        <v>382</v>
      </c>
      <c r="P378" s="47">
        <v>20552</v>
      </c>
      <c r="Q378" s="44" t="s">
        <v>1643</v>
      </c>
      <c r="R378" s="47">
        <v>130</v>
      </c>
      <c r="S378" s="47">
        <v>5025</v>
      </c>
      <c r="T378" s="47">
        <v>72</v>
      </c>
      <c r="U378" s="47">
        <v>975</v>
      </c>
      <c r="V378" s="47">
        <v>126</v>
      </c>
      <c r="W378" s="47">
        <v>3292</v>
      </c>
      <c r="X378" s="47">
        <v>0</v>
      </c>
      <c r="Y378" s="47">
        <v>0</v>
      </c>
      <c r="Z378" s="47">
        <v>580</v>
      </c>
      <c r="AA378" s="47">
        <v>24819</v>
      </c>
      <c r="AB378" s="76">
        <f t="shared" si="10"/>
        <v>42.79137931034483</v>
      </c>
      <c r="AC378" s="76">
        <f t="shared" si="11"/>
        <v>0.43362569012509611</v>
      </c>
      <c r="AD378" s="47">
        <v>57236</v>
      </c>
    </row>
    <row r="379" spans="1:30" ht="15.75" thickBot="1" x14ac:dyDescent="0.3">
      <c r="A379" s="44" t="s">
        <v>1439</v>
      </c>
      <c r="B379" s="48" t="s">
        <v>1440</v>
      </c>
      <c r="C379" s="44" t="s">
        <v>837</v>
      </c>
      <c r="D379" s="47">
        <v>806</v>
      </c>
      <c r="E379" s="47">
        <v>17091</v>
      </c>
      <c r="F379" s="47">
        <v>176</v>
      </c>
      <c r="G379" s="47">
        <v>1461</v>
      </c>
      <c r="H379" s="47">
        <v>208</v>
      </c>
      <c r="I379" s="47">
        <v>4746</v>
      </c>
      <c r="J379" s="47">
        <v>33</v>
      </c>
      <c r="K379" s="47">
        <v>298</v>
      </c>
      <c r="L379" s="47">
        <v>1472</v>
      </c>
      <c r="M379" s="47">
        <v>354</v>
      </c>
      <c r="N379" s="47">
        <v>1826</v>
      </c>
      <c r="O379" s="47">
        <v>1014</v>
      </c>
      <c r="P379" s="47">
        <v>21837</v>
      </c>
      <c r="Q379" s="44" t="s">
        <v>1643</v>
      </c>
      <c r="R379" s="47">
        <v>474</v>
      </c>
      <c r="S379" s="47">
        <v>9173</v>
      </c>
      <c r="T379" s="47">
        <v>209</v>
      </c>
      <c r="U379" s="47">
        <v>1759</v>
      </c>
      <c r="V379" s="47">
        <v>696</v>
      </c>
      <c r="W379" s="47">
        <v>6454</v>
      </c>
      <c r="X379" s="47">
        <v>94</v>
      </c>
      <c r="Y379" s="47">
        <v>2326</v>
      </c>
      <c r="Z379" s="47">
        <v>2013</v>
      </c>
      <c r="AA379" s="47">
        <v>32376</v>
      </c>
      <c r="AB379" s="76">
        <f t="shared" si="10"/>
        <v>16.083457526080476</v>
      </c>
      <c r="AC379" s="76">
        <f t="shared" si="11"/>
        <v>0.20195618543839514</v>
      </c>
      <c r="AD379" s="47">
        <v>160312</v>
      </c>
    </row>
    <row r="380" spans="1:30" ht="15.75" thickBot="1" x14ac:dyDescent="0.3">
      <c r="A380" s="44" t="s">
        <v>1441</v>
      </c>
      <c r="B380" s="48" t="s">
        <v>1442</v>
      </c>
      <c r="C380" s="44" t="s">
        <v>837</v>
      </c>
      <c r="D380" s="47">
        <v>352</v>
      </c>
      <c r="E380" s="47">
        <v>16405</v>
      </c>
      <c r="F380" s="47">
        <v>19</v>
      </c>
      <c r="G380" s="47">
        <v>167</v>
      </c>
      <c r="H380" s="47">
        <v>20</v>
      </c>
      <c r="I380" s="47">
        <v>1456</v>
      </c>
      <c r="J380" s="47">
        <v>2</v>
      </c>
      <c r="K380" s="47">
        <v>24</v>
      </c>
      <c r="L380" s="47">
        <v>606</v>
      </c>
      <c r="M380" s="47">
        <v>68</v>
      </c>
      <c r="N380" s="47">
        <v>674</v>
      </c>
      <c r="O380" s="47">
        <v>372</v>
      </c>
      <c r="P380" s="47">
        <v>17861</v>
      </c>
      <c r="Q380" s="44" t="s">
        <v>1643</v>
      </c>
      <c r="R380" s="47">
        <v>326</v>
      </c>
      <c r="S380" s="47">
        <v>14924</v>
      </c>
      <c r="T380" s="47">
        <v>21</v>
      </c>
      <c r="U380" s="47">
        <v>191</v>
      </c>
      <c r="V380" s="47">
        <v>241</v>
      </c>
      <c r="W380" s="47">
        <v>3791</v>
      </c>
      <c r="X380" s="47">
        <v>0</v>
      </c>
      <c r="Y380" s="47">
        <v>0</v>
      </c>
      <c r="Z380" s="47">
        <v>634</v>
      </c>
      <c r="AA380" s="47">
        <v>21843</v>
      </c>
      <c r="AB380" s="76">
        <f t="shared" si="10"/>
        <v>34.452681388012621</v>
      </c>
      <c r="AC380" s="76">
        <f t="shared" si="11"/>
        <v>0.36578749058025622</v>
      </c>
      <c r="AD380" s="47">
        <v>59715</v>
      </c>
    </row>
    <row r="381" spans="1:30" ht="15.75" thickBot="1" x14ac:dyDescent="0.3">
      <c r="A381" s="44" t="s">
        <v>1470</v>
      </c>
      <c r="B381" s="48" t="s">
        <v>1471</v>
      </c>
      <c r="C381" s="44" t="s">
        <v>837</v>
      </c>
      <c r="D381" s="47">
        <v>155</v>
      </c>
      <c r="E381" s="47">
        <v>6912</v>
      </c>
      <c r="F381" s="47">
        <v>52</v>
      </c>
      <c r="G381" s="47">
        <v>2150</v>
      </c>
      <c r="H381" s="47">
        <v>18</v>
      </c>
      <c r="I381" s="47">
        <v>1708</v>
      </c>
      <c r="J381" s="47">
        <v>12</v>
      </c>
      <c r="K381" s="47">
        <v>197</v>
      </c>
      <c r="L381" s="47">
        <v>579</v>
      </c>
      <c r="M381" s="47">
        <v>246</v>
      </c>
      <c r="N381" s="47">
        <v>825</v>
      </c>
      <c r="O381" s="47">
        <v>173</v>
      </c>
      <c r="P381" s="47">
        <v>8620</v>
      </c>
      <c r="Q381" s="44" t="s">
        <v>1643</v>
      </c>
      <c r="R381" s="47">
        <v>129</v>
      </c>
      <c r="S381" s="47">
        <v>3196</v>
      </c>
      <c r="T381" s="47">
        <v>64</v>
      </c>
      <c r="U381" s="47">
        <v>2347</v>
      </c>
      <c r="V381" s="47">
        <v>159</v>
      </c>
      <c r="W381" s="47">
        <v>1832</v>
      </c>
      <c r="X381" s="47">
        <v>0</v>
      </c>
      <c r="Y381" s="47">
        <v>0</v>
      </c>
      <c r="Z381" s="47">
        <v>396</v>
      </c>
      <c r="AA381" s="47">
        <v>12799</v>
      </c>
      <c r="AB381" s="76">
        <f t="shared" si="10"/>
        <v>32.320707070707073</v>
      </c>
      <c r="AC381" s="76">
        <f t="shared" si="11"/>
        <v>0.17341878488970788</v>
      </c>
      <c r="AD381" s="47">
        <v>73804</v>
      </c>
    </row>
    <row r="382" spans="1:30" ht="15.75" thickBot="1" x14ac:dyDescent="0.3">
      <c r="A382" s="44" t="s">
        <v>1482</v>
      </c>
      <c r="B382" s="48" t="s">
        <v>1483</v>
      </c>
      <c r="C382" s="44" t="s">
        <v>837</v>
      </c>
      <c r="D382" s="47">
        <v>153</v>
      </c>
      <c r="E382" s="47">
        <v>8058</v>
      </c>
      <c r="F382" s="47">
        <v>23</v>
      </c>
      <c r="G382" s="47">
        <v>674</v>
      </c>
      <c r="H382" s="47">
        <v>15</v>
      </c>
      <c r="I382" s="47">
        <v>794</v>
      </c>
      <c r="J382" s="47">
        <v>3</v>
      </c>
      <c r="K382" s="47">
        <v>18</v>
      </c>
      <c r="L382" s="47">
        <v>281</v>
      </c>
      <c r="M382" s="47">
        <v>95</v>
      </c>
      <c r="N382" s="47">
        <v>376</v>
      </c>
      <c r="O382" s="47">
        <v>168</v>
      </c>
      <c r="P382" s="47">
        <v>8852</v>
      </c>
      <c r="Q382" s="44" t="s">
        <v>1643</v>
      </c>
      <c r="R382" s="47">
        <v>172</v>
      </c>
      <c r="S382" s="47">
        <v>2220</v>
      </c>
      <c r="T382" s="47">
        <v>26</v>
      </c>
      <c r="U382" s="47">
        <v>692</v>
      </c>
      <c r="V382" s="47">
        <v>96</v>
      </c>
      <c r="W382" s="47">
        <v>2441</v>
      </c>
      <c r="X382" s="47">
        <v>125</v>
      </c>
      <c r="Y382" s="47">
        <v>8191</v>
      </c>
      <c r="Z382" s="47">
        <v>415</v>
      </c>
      <c r="AA382" s="47">
        <v>20176</v>
      </c>
      <c r="AB382" s="76">
        <f t="shared" si="10"/>
        <v>48.616867469879516</v>
      </c>
      <c r="AC382" s="76">
        <f t="shared" si="11"/>
        <v>0.26612499010736801</v>
      </c>
      <c r="AD382" s="47">
        <v>75814</v>
      </c>
    </row>
    <row r="383" spans="1:30" ht="15.75" thickBot="1" x14ac:dyDescent="0.3">
      <c r="A383" s="44" t="s">
        <v>1496</v>
      </c>
      <c r="B383" s="48" t="s">
        <v>1497</v>
      </c>
      <c r="C383" s="44" t="s">
        <v>837</v>
      </c>
      <c r="D383" s="47">
        <v>224</v>
      </c>
      <c r="E383" s="47">
        <v>11708</v>
      </c>
      <c r="F383" s="47">
        <v>36</v>
      </c>
      <c r="G383" s="47">
        <v>1539</v>
      </c>
      <c r="H383" s="47">
        <v>73</v>
      </c>
      <c r="I383" s="47">
        <v>8555</v>
      </c>
      <c r="J383" s="47">
        <v>17</v>
      </c>
      <c r="K383" s="47">
        <v>702</v>
      </c>
      <c r="L383" s="47">
        <v>3709</v>
      </c>
      <c r="M383" s="47">
        <v>515</v>
      </c>
      <c r="N383" s="47">
        <v>4224</v>
      </c>
      <c r="O383" s="47">
        <v>297</v>
      </c>
      <c r="P383" s="47">
        <v>20263</v>
      </c>
      <c r="Q383" s="44" t="s">
        <v>1643</v>
      </c>
      <c r="R383" s="47">
        <v>144</v>
      </c>
      <c r="S383" s="47">
        <v>4324</v>
      </c>
      <c r="T383" s="47">
        <v>53</v>
      </c>
      <c r="U383" s="47">
        <v>2241</v>
      </c>
      <c r="V383" s="47">
        <v>277</v>
      </c>
      <c r="W383" s="47">
        <v>11220</v>
      </c>
      <c r="X383" s="47">
        <v>0</v>
      </c>
      <c r="Y383" s="47">
        <v>0</v>
      </c>
      <c r="Z383" s="47">
        <v>627</v>
      </c>
      <c r="AA383" s="47">
        <v>33724</v>
      </c>
      <c r="AB383" s="76">
        <f t="shared" si="10"/>
        <v>53.78628389154705</v>
      </c>
      <c r="AC383" s="76">
        <f t="shared" si="11"/>
        <v>0.26001742496087094</v>
      </c>
      <c r="AD383" s="47">
        <v>129699</v>
      </c>
    </row>
    <row r="384" spans="1:30" ht="15.75" thickBot="1" x14ac:dyDescent="0.3">
      <c r="A384" s="44" t="s">
        <v>1512</v>
      </c>
      <c r="B384" s="48" t="s">
        <v>1513</v>
      </c>
      <c r="C384" s="44" t="s">
        <v>837</v>
      </c>
      <c r="D384" s="47">
        <v>61</v>
      </c>
      <c r="E384" s="47">
        <v>1684</v>
      </c>
      <c r="F384" s="47">
        <v>16</v>
      </c>
      <c r="G384" s="47">
        <v>126</v>
      </c>
      <c r="H384" s="47">
        <v>13</v>
      </c>
      <c r="I384" s="47">
        <v>1615</v>
      </c>
      <c r="J384" s="47">
        <v>3</v>
      </c>
      <c r="K384" s="47">
        <v>30</v>
      </c>
      <c r="L384" s="47">
        <v>329</v>
      </c>
      <c r="M384" s="47">
        <v>67</v>
      </c>
      <c r="N384" s="47">
        <v>396</v>
      </c>
      <c r="O384" s="47">
        <v>74</v>
      </c>
      <c r="P384" s="47">
        <v>3299</v>
      </c>
      <c r="Q384" s="44" t="s">
        <v>1643</v>
      </c>
      <c r="R384" s="47">
        <v>36</v>
      </c>
      <c r="S384" s="47">
        <v>1009</v>
      </c>
      <c r="T384" s="47">
        <v>19</v>
      </c>
      <c r="U384" s="47">
        <v>156</v>
      </c>
      <c r="V384" s="47">
        <v>175</v>
      </c>
      <c r="W384" s="47">
        <v>2097</v>
      </c>
      <c r="X384" s="47">
        <v>25</v>
      </c>
      <c r="Y384" s="47">
        <v>394</v>
      </c>
      <c r="Z384" s="47">
        <v>293</v>
      </c>
      <c r="AA384" s="47">
        <v>5946</v>
      </c>
      <c r="AB384" s="76">
        <f t="shared" si="10"/>
        <v>20.293515358361773</v>
      </c>
      <c r="AC384" s="76">
        <f t="shared" si="11"/>
        <v>9.4185107158131498E-2</v>
      </c>
      <c r="AD384" s="47">
        <v>63131</v>
      </c>
    </row>
    <row r="385" spans="1:30" ht="15.75" thickBot="1" x14ac:dyDescent="0.3">
      <c r="A385" s="44" t="s">
        <v>1538</v>
      </c>
      <c r="B385" s="48" t="s">
        <v>1539</v>
      </c>
      <c r="C385" s="44" t="s">
        <v>837</v>
      </c>
      <c r="D385" s="47">
        <v>791</v>
      </c>
      <c r="E385" s="47">
        <v>21845</v>
      </c>
      <c r="F385" s="47">
        <v>252</v>
      </c>
      <c r="G385" s="47">
        <v>1892</v>
      </c>
      <c r="H385" s="47">
        <v>105</v>
      </c>
      <c r="I385" s="47">
        <v>4316</v>
      </c>
      <c r="J385" s="47">
        <v>27</v>
      </c>
      <c r="K385" s="47">
        <v>356</v>
      </c>
      <c r="L385" s="47">
        <v>1539</v>
      </c>
      <c r="M385" s="47">
        <v>195</v>
      </c>
      <c r="N385" s="47">
        <v>1734</v>
      </c>
      <c r="O385" s="47">
        <v>896</v>
      </c>
      <c r="P385" s="47">
        <v>26161</v>
      </c>
      <c r="Q385" s="44" t="s">
        <v>1643</v>
      </c>
      <c r="R385" s="47">
        <v>441</v>
      </c>
      <c r="S385" s="47">
        <v>9805</v>
      </c>
      <c r="T385" s="47">
        <v>279</v>
      </c>
      <c r="U385" s="47">
        <v>2248</v>
      </c>
      <c r="V385" s="47">
        <v>323</v>
      </c>
      <c r="W385" s="47">
        <v>4667</v>
      </c>
      <c r="X385" s="47">
        <v>116</v>
      </c>
      <c r="Y385" s="47">
        <v>7057</v>
      </c>
      <c r="Z385" s="47">
        <v>1614</v>
      </c>
      <c r="AA385" s="47">
        <v>40133</v>
      </c>
      <c r="AB385" s="76">
        <f t="shared" si="10"/>
        <v>24.865551425030979</v>
      </c>
      <c r="AC385" s="76">
        <f t="shared" si="11"/>
        <v>0.41206004353361536</v>
      </c>
      <c r="AD385" s="47">
        <v>97396</v>
      </c>
    </row>
    <row r="386" spans="1:30" ht="15.75" thickBot="1" x14ac:dyDescent="0.3">
      <c r="A386" s="44" t="s">
        <v>1540</v>
      </c>
      <c r="B386" s="48" t="s">
        <v>1541</v>
      </c>
      <c r="C386" s="44" t="s">
        <v>837</v>
      </c>
      <c r="D386" s="47">
        <v>119</v>
      </c>
      <c r="E386" s="47">
        <v>2491</v>
      </c>
      <c r="F386" s="47">
        <v>0</v>
      </c>
      <c r="G386" s="47">
        <v>0</v>
      </c>
      <c r="H386" s="47">
        <v>7</v>
      </c>
      <c r="I386" s="47">
        <v>1139</v>
      </c>
      <c r="J386" s="47">
        <v>3</v>
      </c>
      <c r="K386" s="47">
        <v>36</v>
      </c>
      <c r="L386" s="47">
        <v>402</v>
      </c>
      <c r="M386" s="47">
        <v>128</v>
      </c>
      <c r="N386" s="47">
        <v>530</v>
      </c>
      <c r="O386" s="47">
        <v>126</v>
      </c>
      <c r="P386" s="47">
        <v>3630</v>
      </c>
      <c r="Q386" s="44" t="s">
        <v>1643</v>
      </c>
      <c r="R386" s="47">
        <v>92</v>
      </c>
      <c r="S386" s="47">
        <v>1962</v>
      </c>
      <c r="T386" s="47">
        <v>3</v>
      </c>
      <c r="U386" s="47">
        <v>36</v>
      </c>
      <c r="V386" s="47">
        <v>46</v>
      </c>
      <c r="W386" s="47">
        <v>277</v>
      </c>
      <c r="X386" s="47">
        <v>4</v>
      </c>
      <c r="Y386" s="47">
        <v>592</v>
      </c>
      <c r="Z386" s="47">
        <v>179</v>
      </c>
      <c r="AA386" s="47">
        <v>4535</v>
      </c>
      <c r="AB386" s="76">
        <f t="shared" si="10"/>
        <v>25.335195530726256</v>
      </c>
      <c r="AC386" s="76">
        <f t="shared" si="11"/>
        <v>6.2357341253471935E-2</v>
      </c>
      <c r="AD386" s="47">
        <v>72726</v>
      </c>
    </row>
    <row r="387" spans="1:30" ht="15.75" thickBot="1" x14ac:dyDescent="0.3">
      <c r="A387" s="44" t="s">
        <v>1542</v>
      </c>
      <c r="B387" s="48" t="s">
        <v>1543</v>
      </c>
      <c r="C387" s="44" t="s">
        <v>837</v>
      </c>
      <c r="D387" s="47">
        <v>394</v>
      </c>
      <c r="E387" s="47">
        <v>16283</v>
      </c>
      <c r="F387" s="47">
        <v>89</v>
      </c>
      <c r="G387" s="47">
        <v>2293</v>
      </c>
      <c r="H387" s="47">
        <v>54</v>
      </c>
      <c r="I387" s="47">
        <v>4203</v>
      </c>
      <c r="J387" s="47">
        <v>27</v>
      </c>
      <c r="K387" s="47">
        <v>675</v>
      </c>
      <c r="L387" s="47">
        <v>1348</v>
      </c>
      <c r="M387" s="47">
        <v>232</v>
      </c>
      <c r="N387" s="47">
        <v>1580</v>
      </c>
      <c r="O387" s="47">
        <v>448</v>
      </c>
      <c r="P387" s="47">
        <v>20486</v>
      </c>
      <c r="Q387" s="44" t="s">
        <v>1644</v>
      </c>
      <c r="R387" s="47">
        <v>0</v>
      </c>
      <c r="S387" s="47">
        <v>0</v>
      </c>
      <c r="T387" s="47">
        <v>116</v>
      </c>
      <c r="U387" s="47">
        <v>2968</v>
      </c>
      <c r="V387" s="47">
        <v>127</v>
      </c>
      <c r="W387" s="47">
        <v>4322</v>
      </c>
      <c r="X387" s="47">
        <v>5</v>
      </c>
      <c r="Y387" s="47">
        <v>6558</v>
      </c>
      <c r="Z387" s="47">
        <v>696</v>
      </c>
      <c r="AA387" s="47">
        <v>34334</v>
      </c>
      <c r="AB387" s="76">
        <f t="shared" si="10"/>
        <v>49.330459770114942</v>
      </c>
      <c r="AC387" s="76">
        <f t="shared" si="11"/>
        <v>0.42398122993331688</v>
      </c>
      <c r="AD387" s="47">
        <v>80980</v>
      </c>
    </row>
    <row r="388" spans="1:30" ht="15.75" thickBot="1" x14ac:dyDescent="0.3">
      <c r="A388" s="44" t="s">
        <v>1564</v>
      </c>
      <c r="B388" s="48" t="s">
        <v>1565</v>
      </c>
      <c r="C388" s="44" t="s">
        <v>837</v>
      </c>
      <c r="D388" s="47">
        <v>280</v>
      </c>
      <c r="E388" s="47">
        <v>5666</v>
      </c>
      <c r="F388" s="47">
        <v>67</v>
      </c>
      <c r="G388" s="47">
        <v>764</v>
      </c>
      <c r="H388" s="47">
        <v>67</v>
      </c>
      <c r="I388" s="47">
        <v>1675</v>
      </c>
      <c r="J388" s="47">
        <v>13</v>
      </c>
      <c r="K388" s="47">
        <v>76</v>
      </c>
      <c r="L388" s="47">
        <v>647</v>
      </c>
      <c r="M388" s="47">
        <v>162</v>
      </c>
      <c r="N388" s="47">
        <v>809</v>
      </c>
      <c r="O388" s="47">
        <v>347</v>
      </c>
      <c r="P388" s="47">
        <v>7341</v>
      </c>
      <c r="Q388" s="44" t="s">
        <v>1643</v>
      </c>
      <c r="R388" s="47">
        <v>281</v>
      </c>
      <c r="S388" s="47">
        <v>5288</v>
      </c>
      <c r="T388" s="47">
        <v>80</v>
      </c>
      <c r="U388" s="47">
        <v>840</v>
      </c>
      <c r="V388" s="47">
        <v>165</v>
      </c>
      <c r="W388" s="47">
        <v>3212</v>
      </c>
      <c r="X388" s="47">
        <v>182</v>
      </c>
      <c r="Y388" s="47">
        <v>6380</v>
      </c>
      <c r="Z388" s="47">
        <v>774</v>
      </c>
      <c r="AA388" s="47">
        <v>17773</v>
      </c>
      <c r="AB388" s="76">
        <f t="shared" si="10"/>
        <v>22.962532299741603</v>
      </c>
      <c r="AC388" s="76">
        <f t="shared" si="11"/>
        <v>0.13257892224145135</v>
      </c>
      <c r="AD388" s="47">
        <v>134056</v>
      </c>
    </row>
    <row r="389" spans="1:30" ht="15.75" thickBot="1" x14ac:dyDescent="0.3">
      <c r="A389" s="44" t="s">
        <v>1566</v>
      </c>
      <c r="B389" s="48" t="s">
        <v>1567</v>
      </c>
      <c r="C389" s="44" t="s">
        <v>837</v>
      </c>
      <c r="D389" s="47">
        <v>168</v>
      </c>
      <c r="E389" s="47">
        <v>4258</v>
      </c>
      <c r="F389" s="47">
        <v>27</v>
      </c>
      <c r="G389" s="47">
        <v>284</v>
      </c>
      <c r="H389" s="47">
        <v>43</v>
      </c>
      <c r="I389" s="47">
        <v>2415</v>
      </c>
      <c r="J389" s="47">
        <v>5</v>
      </c>
      <c r="K389" s="47">
        <v>80</v>
      </c>
      <c r="L389" s="47">
        <v>506</v>
      </c>
      <c r="M389" s="47">
        <v>37</v>
      </c>
      <c r="N389" s="47">
        <v>543</v>
      </c>
      <c r="O389" s="47">
        <v>211</v>
      </c>
      <c r="P389" s="47">
        <v>6673</v>
      </c>
      <c r="Q389" s="44" t="s">
        <v>1643</v>
      </c>
      <c r="R389" s="47">
        <v>112</v>
      </c>
      <c r="S389" s="47">
        <v>3884</v>
      </c>
      <c r="T389" s="47">
        <v>32</v>
      </c>
      <c r="U389" s="47">
        <v>364</v>
      </c>
      <c r="V389" s="47">
        <v>227</v>
      </c>
      <c r="W389" s="47">
        <v>2934</v>
      </c>
      <c r="X389" s="47">
        <v>0</v>
      </c>
      <c r="Y389" s="47">
        <v>0</v>
      </c>
      <c r="Z389" s="47">
        <v>470</v>
      </c>
      <c r="AA389" s="47">
        <v>9971</v>
      </c>
      <c r="AB389" s="76">
        <f t="shared" ref="AB389:AB393" si="12">AA389/Z389</f>
        <v>21.214893617021275</v>
      </c>
      <c r="AC389" s="76">
        <f t="shared" ref="AC389:AC393" si="13">AA389/AD389</f>
        <v>0.13849188160617804</v>
      </c>
      <c r="AD389" s="47">
        <v>71997</v>
      </c>
    </row>
    <row r="390" spans="1:30" ht="15.75" thickBot="1" x14ac:dyDescent="0.3">
      <c r="A390" s="44" t="s">
        <v>1574</v>
      </c>
      <c r="B390" s="48" t="s">
        <v>1575</v>
      </c>
      <c r="C390" s="44" t="s">
        <v>837</v>
      </c>
      <c r="D390" s="47">
        <v>541</v>
      </c>
      <c r="E390" s="47">
        <v>32182</v>
      </c>
      <c r="F390" s="47">
        <v>159</v>
      </c>
      <c r="G390" s="47">
        <v>5273</v>
      </c>
      <c r="H390" s="47">
        <v>127</v>
      </c>
      <c r="I390" s="47">
        <v>19081</v>
      </c>
      <c r="J390" s="47">
        <v>66</v>
      </c>
      <c r="K390" s="47">
        <v>2597</v>
      </c>
      <c r="L390" s="47">
        <v>2706</v>
      </c>
      <c r="M390" s="47">
        <v>381</v>
      </c>
      <c r="N390" s="47">
        <v>3087</v>
      </c>
      <c r="O390" s="47">
        <v>668</v>
      </c>
      <c r="P390" s="47">
        <v>51263</v>
      </c>
      <c r="Q390" s="44" t="s">
        <v>1643</v>
      </c>
      <c r="R390" s="47">
        <v>494</v>
      </c>
      <c r="S390" s="47">
        <v>25402</v>
      </c>
      <c r="T390" s="47">
        <v>225</v>
      </c>
      <c r="U390" s="47">
        <v>7870</v>
      </c>
      <c r="V390" s="47">
        <v>522</v>
      </c>
      <c r="W390" s="47">
        <v>14629</v>
      </c>
      <c r="X390" s="47">
        <v>0</v>
      </c>
      <c r="Y390" s="47">
        <v>0</v>
      </c>
      <c r="Z390" s="47">
        <v>1415</v>
      </c>
      <c r="AA390" s="47">
        <v>73762</v>
      </c>
      <c r="AB390" s="76">
        <f t="shared" si="12"/>
        <v>52.128621908127208</v>
      </c>
      <c r="AC390" s="76">
        <f t="shared" si="13"/>
        <v>1.027970176294335</v>
      </c>
      <c r="AD390" s="47">
        <v>71755</v>
      </c>
    </row>
    <row r="391" spans="1:30" ht="15.75" thickBot="1" x14ac:dyDescent="0.3">
      <c r="A391" s="44" t="s">
        <v>1594</v>
      </c>
      <c r="B391" s="48" t="s">
        <v>1595</v>
      </c>
      <c r="C391" s="44" t="s">
        <v>837</v>
      </c>
      <c r="D391" s="47">
        <v>210</v>
      </c>
      <c r="E391" s="47">
        <v>11316</v>
      </c>
      <c r="F391" s="47">
        <v>50</v>
      </c>
      <c r="G391" s="47">
        <v>1633</v>
      </c>
      <c r="H391" s="47">
        <v>83</v>
      </c>
      <c r="I391" s="47">
        <v>4825</v>
      </c>
      <c r="J391" s="47">
        <v>3</v>
      </c>
      <c r="K391" s="47">
        <v>153</v>
      </c>
      <c r="L391" s="47">
        <v>618</v>
      </c>
      <c r="M391" s="47">
        <v>190</v>
      </c>
      <c r="N391" s="47">
        <v>808</v>
      </c>
      <c r="O391" s="47">
        <v>293</v>
      </c>
      <c r="P391" s="47">
        <v>16141</v>
      </c>
      <c r="Q391" s="44" t="s">
        <v>1643</v>
      </c>
      <c r="R391" s="47">
        <v>212</v>
      </c>
      <c r="S391" s="47">
        <v>10480</v>
      </c>
      <c r="T391" s="47">
        <v>53</v>
      </c>
      <c r="U391" s="47">
        <v>1786</v>
      </c>
      <c r="V391" s="47">
        <v>231</v>
      </c>
      <c r="W391" s="47">
        <v>4272</v>
      </c>
      <c r="X391" s="47">
        <v>0</v>
      </c>
      <c r="Y391" s="47">
        <v>0</v>
      </c>
      <c r="Z391" s="47">
        <v>577</v>
      </c>
      <c r="AA391" s="47">
        <v>22199</v>
      </c>
      <c r="AB391" s="76">
        <f t="shared" si="12"/>
        <v>38.473136915077987</v>
      </c>
      <c r="AC391" s="76">
        <f t="shared" si="13"/>
        <v>0.24726272290847526</v>
      </c>
      <c r="AD391" s="47">
        <v>89779</v>
      </c>
    </row>
    <row r="392" spans="1:30" ht="15.75" thickBot="1" x14ac:dyDescent="0.3">
      <c r="A392" s="44" t="s">
        <v>1596</v>
      </c>
      <c r="B392" s="48" t="s">
        <v>1597</v>
      </c>
      <c r="C392" s="44" t="s">
        <v>837</v>
      </c>
      <c r="D392" s="47">
        <v>373</v>
      </c>
      <c r="E392" s="47">
        <v>20532</v>
      </c>
      <c r="F392" s="47">
        <v>40</v>
      </c>
      <c r="G392" s="47">
        <v>375</v>
      </c>
      <c r="H392" s="47">
        <v>48</v>
      </c>
      <c r="I392" s="47">
        <v>4461</v>
      </c>
      <c r="J392" s="47">
        <v>10</v>
      </c>
      <c r="K392" s="47">
        <v>197</v>
      </c>
      <c r="L392" s="47">
        <v>973</v>
      </c>
      <c r="M392" s="47">
        <v>213</v>
      </c>
      <c r="N392" s="47">
        <v>1186</v>
      </c>
      <c r="O392" s="47">
        <v>421</v>
      </c>
      <c r="P392" s="47">
        <v>24993</v>
      </c>
      <c r="Q392" s="44" t="s">
        <v>1643</v>
      </c>
      <c r="R392" s="47">
        <v>182</v>
      </c>
      <c r="S392" s="47">
        <v>4858</v>
      </c>
      <c r="T392" s="47">
        <v>50</v>
      </c>
      <c r="U392" s="47">
        <v>572</v>
      </c>
      <c r="V392" s="47">
        <v>558</v>
      </c>
      <c r="W392" s="47">
        <v>5234</v>
      </c>
      <c r="X392" s="44">
        <v>0</v>
      </c>
      <c r="Y392" s="44">
        <v>0</v>
      </c>
      <c r="Z392" s="47">
        <v>1029</v>
      </c>
      <c r="AA392" s="47">
        <v>30799</v>
      </c>
      <c r="AB392" s="76">
        <f t="shared" si="12"/>
        <v>29.931000971817298</v>
      </c>
      <c r="AC392" s="76">
        <f t="shared" si="13"/>
        <v>0.36624491640307277</v>
      </c>
      <c r="AD392" s="47">
        <v>84094</v>
      </c>
    </row>
    <row r="393" spans="1:30" ht="15.75" thickBot="1" x14ac:dyDescent="0.3">
      <c r="A393" s="44" t="s">
        <v>1602</v>
      </c>
      <c r="B393" s="58" t="s">
        <v>1603</v>
      </c>
      <c r="C393" s="44" t="s">
        <v>837</v>
      </c>
      <c r="D393" s="47">
        <v>1911</v>
      </c>
      <c r="E393" s="47">
        <v>37663</v>
      </c>
      <c r="F393" s="47">
        <v>177</v>
      </c>
      <c r="G393" s="47">
        <v>1668</v>
      </c>
      <c r="H393" s="47">
        <v>491</v>
      </c>
      <c r="I393" s="47">
        <v>12369</v>
      </c>
      <c r="J393" s="47">
        <v>51</v>
      </c>
      <c r="K393" s="47">
        <v>556</v>
      </c>
      <c r="L393" s="47">
        <v>2284</v>
      </c>
      <c r="M393" s="47">
        <v>302</v>
      </c>
      <c r="N393" s="47">
        <v>2586</v>
      </c>
      <c r="O393" s="47">
        <v>2402</v>
      </c>
      <c r="P393" s="47">
        <v>50032</v>
      </c>
      <c r="Q393" s="44" t="s">
        <v>1643</v>
      </c>
      <c r="R393" s="47">
        <v>258</v>
      </c>
      <c r="S393" s="47">
        <v>8905</v>
      </c>
      <c r="T393" s="47">
        <v>228</v>
      </c>
      <c r="U393" s="47">
        <v>2224</v>
      </c>
      <c r="V393" s="47">
        <v>747</v>
      </c>
      <c r="W393" s="47">
        <v>5125</v>
      </c>
      <c r="X393" s="47">
        <v>1</v>
      </c>
      <c r="Y393" s="47">
        <v>800</v>
      </c>
      <c r="Z393" s="47">
        <v>3378</v>
      </c>
      <c r="AA393" s="47">
        <v>58181</v>
      </c>
      <c r="AB393" s="76">
        <f t="shared" si="12"/>
        <v>17.223505032563647</v>
      </c>
      <c r="AC393" s="76">
        <f t="shared" si="13"/>
        <v>0.70119555523416977</v>
      </c>
      <c r="AD393" s="47">
        <v>82974</v>
      </c>
    </row>
    <row r="394" spans="1:30" ht="18.75" thickBot="1" x14ac:dyDescent="0.3">
      <c r="A394" s="128"/>
      <c r="B394" s="147" t="s">
        <v>3450</v>
      </c>
      <c r="C394" s="148">
        <f>SUBTOTAL(103,C4:C393)</f>
        <v>390</v>
      </c>
      <c r="D394" s="144"/>
      <c r="E394" s="144"/>
      <c r="F394" s="144"/>
      <c r="G394" s="144"/>
      <c r="H394" s="144"/>
      <c r="I394" s="144"/>
      <c r="J394" s="144"/>
      <c r="K394" s="144"/>
      <c r="L394" s="144"/>
      <c r="M394" s="144"/>
      <c r="N394" s="144"/>
      <c r="O394" s="144"/>
      <c r="P394" s="144"/>
      <c r="Q394" s="128"/>
      <c r="R394" s="144"/>
      <c r="S394" s="144"/>
      <c r="T394" s="144"/>
      <c r="U394" s="144"/>
      <c r="V394" s="144"/>
      <c r="W394" s="144"/>
      <c r="X394" s="144"/>
      <c r="Y394" s="144"/>
      <c r="Z394" s="144"/>
      <c r="AA394" s="144"/>
      <c r="AB394" s="145"/>
      <c r="AC394" s="145"/>
      <c r="AD394" s="144"/>
    </row>
    <row r="395" spans="1:30" ht="18.75" thickBot="1" x14ac:dyDescent="0.3">
      <c r="A395" s="128"/>
      <c r="B395" s="146"/>
      <c r="C395" s="149" t="s">
        <v>3464</v>
      </c>
      <c r="D395" s="150">
        <f>SUBTOTAL(109,D4:D393)</f>
        <v>70840</v>
      </c>
      <c r="E395" s="150">
        <f t="shared" ref="E395:AD395" si="14">SUBTOTAL(109,E4:E393)</f>
        <v>1897321</v>
      </c>
      <c r="F395" s="150">
        <f t="shared" si="14"/>
        <v>12516</v>
      </c>
      <c r="G395" s="150">
        <f t="shared" si="14"/>
        <v>211957</v>
      </c>
      <c r="H395" s="150">
        <f t="shared" si="14"/>
        <v>15040</v>
      </c>
      <c r="I395" s="150">
        <f t="shared" si="14"/>
        <v>635498</v>
      </c>
      <c r="J395" s="150">
        <f t="shared" si="14"/>
        <v>3210</v>
      </c>
      <c r="K395" s="150">
        <f t="shared" si="14"/>
        <v>55314</v>
      </c>
      <c r="L395" s="150">
        <f t="shared" si="14"/>
        <v>179647</v>
      </c>
      <c r="M395" s="150">
        <f t="shared" si="14"/>
        <v>45869</v>
      </c>
      <c r="N395" s="150">
        <f t="shared" si="14"/>
        <v>225516</v>
      </c>
      <c r="O395" s="150">
        <f t="shared" si="14"/>
        <v>85880</v>
      </c>
      <c r="P395" s="150">
        <f t="shared" si="14"/>
        <v>2532819</v>
      </c>
      <c r="Q395" s="153"/>
      <c r="R395" s="150">
        <f t="shared" si="14"/>
        <v>39114</v>
      </c>
      <c r="S395" s="150">
        <f t="shared" si="14"/>
        <v>896185</v>
      </c>
      <c r="T395" s="150">
        <f t="shared" si="14"/>
        <v>15726</v>
      </c>
      <c r="U395" s="150">
        <f t="shared" si="14"/>
        <v>267271</v>
      </c>
      <c r="V395" s="150">
        <f t="shared" si="14"/>
        <v>59109</v>
      </c>
      <c r="W395" s="150">
        <f t="shared" si="14"/>
        <v>832207</v>
      </c>
      <c r="X395" s="150">
        <f t="shared" si="14"/>
        <v>15621</v>
      </c>
      <c r="Y395" s="150">
        <f t="shared" si="14"/>
        <v>463570</v>
      </c>
      <c r="Z395" s="150">
        <f t="shared" si="14"/>
        <v>176336</v>
      </c>
      <c r="AA395" s="150">
        <f t="shared" si="14"/>
        <v>4095867</v>
      </c>
      <c r="AB395" s="150">
        <f t="shared" si="14"/>
        <v>8539.38478174591</v>
      </c>
      <c r="AC395" s="150"/>
      <c r="AD395" s="151">
        <f t="shared" si="14"/>
        <v>9838063</v>
      </c>
    </row>
    <row r="396" spans="1:30" ht="18.75" thickBot="1" x14ac:dyDescent="0.3">
      <c r="A396" s="128"/>
      <c r="B396" s="146"/>
      <c r="C396" s="149" t="s">
        <v>3465</v>
      </c>
      <c r="D396" s="150">
        <f>SUBTOTAL(101,D4:D393)</f>
        <v>181.64102564102564</v>
      </c>
      <c r="E396" s="150">
        <f t="shared" ref="E396:AD396" si="15">SUBTOTAL(101,E4:E393)</f>
        <v>4864.9256410256412</v>
      </c>
      <c r="F396" s="150">
        <f t="shared" si="15"/>
        <v>32.092307692307692</v>
      </c>
      <c r="G396" s="150">
        <f t="shared" si="15"/>
        <v>543.47948717948714</v>
      </c>
      <c r="H396" s="150">
        <f t="shared" si="15"/>
        <v>38.564102564102562</v>
      </c>
      <c r="I396" s="150">
        <f t="shared" si="15"/>
        <v>1629.4820512820513</v>
      </c>
      <c r="J396" s="150">
        <f t="shared" si="15"/>
        <v>8.2307692307692299</v>
      </c>
      <c r="K396" s="150">
        <f t="shared" si="15"/>
        <v>141.83076923076922</v>
      </c>
      <c r="L396" s="150">
        <f t="shared" si="15"/>
        <v>460.63333333333333</v>
      </c>
      <c r="M396" s="150">
        <f t="shared" si="15"/>
        <v>117.61282051282052</v>
      </c>
      <c r="N396" s="150">
        <f t="shared" si="15"/>
        <v>578.2461538461539</v>
      </c>
      <c r="O396" s="150">
        <f t="shared" si="15"/>
        <v>220.2051282051282</v>
      </c>
      <c r="P396" s="150">
        <f t="shared" si="15"/>
        <v>6494.4076923076927</v>
      </c>
      <c r="Q396" s="153"/>
      <c r="R396" s="150">
        <f t="shared" si="15"/>
        <v>100.29230769230769</v>
      </c>
      <c r="S396" s="150">
        <f t="shared" si="15"/>
        <v>2297.9102564102564</v>
      </c>
      <c r="T396" s="150">
        <f t="shared" si="15"/>
        <v>40.323076923076925</v>
      </c>
      <c r="U396" s="150">
        <f t="shared" si="15"/>
        <v>685.31025641025644</v>
      </c>
      <c r="V396" s="150">
        <f t="shared" si="15"/>
        <v>151.56153846153848</v>
      </c>
      <c r="W396" s="150">
        <f t="shared" si="15"/>
        <v>2133.8641025641027</v>
      </c>
      <c r="X396" s="150">
        <f t="shared" si="15"/>
        <v>40.053846153846152</v>
      </c>
      <c r="Y396" s="150">
        <f t="shared" si="15"/>
        <v>1188.6410256410256</v>
      </c>
      <c r="Z396" s="150">
        <f t="shared" si="15"/>
        <v>452.14358974358976</v>
      </c>
      <c r="AA396" s="150">
        <f t="shared" si="15"/>
        <v>10502.223076923077</v>
      </c>
      <c r="AB396" s="152">
        <f t="shared" si="15"/>
        <v>21.895858414733102</v>
      </c>
      <c r="AC396" s="152">
        <f t="shared" si="15"/>
        <v>0.44540954306925834</v>
      </c>
      <c r="AD396" s="151">
        <f t="shared" si="15"/>
        <v>25225.802564102563</v>
      </c>
    </row>
  </sheetData>
  <sortState xmlns:xlrd2="http://schemas.microsoft.com/office/spreadsheetml/2017/richdata2" ref="A4:AD393">
    <sortCondition ref="C4:C393"/>
    <sortCondition ref="B4:B393"/>
  </sortState>
  <hyperlinks>
    <hyperlink ref="H1" location="'Table of Contents'!A1" display="Return to Table of Contents" xr:uid="{94C087D3-8E87-4E94-9732-4DF763B1118B}"/>
  </hyperlinks>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4FE81-4A4D-4534-B868-239536881F88}">
  <sheetPr>
    <tabColor theme="3" tint="0.59999389629810485"/>
  </sheetPr>
  <dimension ref="A1:N404"/>
  <sheetViews>
    <sheetView workbookViewId="0">
      <pane ySplit="3" topLeftCell="A4" activePane="bottomLeft" state="frozen"/>
      <selection activeCell="B1" sqref="B1"/>
      <selection pane="bottomLeft" activeCell="B4" sqref="B4"/>
    </sheetView>
  </sheetViews>
  <sheetFormatPr defaultRowHeight="15" x14ac:dyDescent="0.25"/>
  <cols>
    <col min="1" max="1" width="15.28515625" customWidth="1"/>
    <col min="2" max="2" width="49" bestFit="1" customWidth="1"/>
    <col min="3" max="3" width="25.85546875" bestFit="1" customWidth="1"/>
    <col min="4" max="4" width="17.140625" customWidth="1"/>
    <col min="5" max="5" width="10.28515625" customWidth="1"/>
    <col min="6" max="6" width="20.7109375" customWidth="1"/>
    <col min="7" max="7" width="13.140625" customWidth="1"/>
    <col min="8" max="8" width="12.5703125" customWidth="1"/>
    <col min="9" max="9" width="19.85546875" customWidth="1"/>
    <col min="10" max="10" width="10.140625" customWidth="1"/>
    <col min="11" max="11" width="13" customWidth="1"/>
    <col min="12" max="12" width="11.140625" customWidth="1"/>
    <col min="13" max="13" width="14.85546875" customWidth="1"/>
    <col min="14" max="14" width="18.28515625" customWidth="1"/>
  </cols>
  <sheetData>
    <row r="1" spans="1:14" ht="18.75" x14ac:dyDescent="0.3">
      <c r="B1" s="56" t="s">
        <v>3449</v>
      </c>
      <c r="E1" s="54" t="s">
        <v>5</v>
      </c>
      <c r="H1" s="55" t="s">
        <v>13</v>
      </c>
    </row>
    <row r="3" spans="1:14" s="39" customFormat="1" ht="103.5" thickBot="1" x14ac:dyDescent="0.3">
      <c r="A3" s="57" t="s">
        <v>784</v>
      </c>
      <c r="B3" s="57" t="s">
        <v>785</v>
      </c>
      <c r="C3" s="123" t="s">
        <v>786</v>
      </c>
      <c r="D3" s="123" t="s">
        <v>1668</v>
      </c>
      <c r="E3" s="123" t="s">
        <v>1669</v>
      </c>
      <c r="F3" s="123" t="s">
        <v>1670</v>
      </c>
      <c r="G3" s="123" t="s">
        <v>1671</v>
      </c>
      <c r="H3" s="123" t="s">
        <v>1672</v>
      </c>
      <c r="I3" s="123" t="s">
        <v>1673</v>
      </c>
      <c r="J3" s="123" t="s">
        <v>1674</v>
      </c>
      <c r="K3" s="123" t="s">
        <v>1675</v>
      </c>
      <c r="L3" s="123" t="s">
        <v>1676</v>
      </c>
      <c r="M3" s="123" t="s">
        <v>1677</v>
      </c>
      <c r="N3" s="123" t="s">
        <v>1640</v>
      </c>
    </row>
    <row r="4" spans="1:14" ht="15.75" thickBot="1" x14ac:dyDescent="0.3">
      <c r="A4" s="44" t="s">
        <v>815</v>
      </c>
      <c r="B4" s="107" t="s">
        <v>816</v>
      </c>
      <c r="C4" s="78" t="s">
        <v>817</v>
      </c>
      <c r="D4" s="108">
        <v>6</v>
      </c>
      <c r="E4" s="108">
        <v>14</v>
      </c>
      <c r="F4" s="78" t="s">
        <v>1643</v>
      </c>
      <c r="G4" s="78" t="s">
        <v>1684</v>
      </c>
      <c r="H4" s="78" t="s">
        <v>1643</v>
      </c>
      <c r="I4" s="78" t="s">
        <v>1684</v>
      </c>
      <c r="J4" s="78" t="s">
        <v>1643</v>
      </c>
      <c r="K4" s="78" t="s">
        <v>1643</v>
      </c>
      <c r="L4" s="78" t="s">
        <v>1644</v>
      </c>
      <c r="M4" s="78" t="s">
        <v>1644</v>
      </c>
      <c r="N4" s="78" t="s">
        <v>1643</v>
      </c>
    </row>
    <row r="5" spans="1:14" ht="15.75" thickBot="1" x14ac:dyDescent="0.3">
      <c r="A5" s="44" t="s">
        <v>840</v>
      </c>
      <c r="B5" s="107" t="s">
        <v>841</v>
      </c>
      <c r="C5" s="78" t="s">
        <v>817</v>
      </c>
      <c r="D5" s="108">
        <v>2</v>
      </c>
      <c r="E5" s="108">
        <v>12</v>
      </c>
      <c r="F5" s="78" t="s">
        <v>1643</v>
      </c>
      <c r="G5" s="78" t="s">
        <v>1695</v>
      </c>
      <c r="H5" s="78" t="s">
        <v>1643</v>
      </c>
      <c r="I5" s="78" t="s">
        <v>1696</v>
      </c>
      <c r="J5" s="78" t="s">
        <v>1643</v>
      </c>
      <c r="K5" s="78" t="s">
        <v>1643</v>
      </c>
      <c r="L5" s="78" t="s">
        <v>1644</v>
      </c>
      <c r="M5" s="78" t="s">
        <v>1644</v>
      </c>
      <c r="N5" s="78" t="s">
        <v>1643</v>
      </c>
    </row>
    <row r="6" spans="1:14" ht="15.75" thickBot="1" x14ac:dyDescent="0.3">
      <c r="A6" s="44" t="s">
        <v>863</v>
      </c>
      <c r="B6" s="107" t="s">
        <v>864</v>
      </c>
      <c r="C6" s="78" t="s">
        <v>817</v>
      </c>
      <c r="D6" s="108">
        <v>3</v>
      </c>
      <c r="E6" s="108">
        <v>5</v>
      </c>
      <c r="F6" s="78" t="s">
        <v>1643</v>
      </c>
      <c r="G6" s="78" t="s">
        <v>1706</v>
      </c>
      <c r="H6" s="78" t="s">
        <v>1643</v>
      </c>
      <c r="I6" s="78" t="s">
        <v>1706</v>
      </c>
      <c r="J6" s="78" t="s">
        <v>1644</v>
      </c>
      <c r="K6" s="78" t="s">
        <v>1643</v>
      </c>
      <c r="L6" s="78" t="s">
        <v>1644</v>
      </c>
      <c r="M6" s="78" t="s">
        <v>1644</v>
      </c>
      <c r="N6" s="78" t="s">
        <v>1643</v>
      </c>
    </row>
    <row r="7" spans="1:14" ht="15.75" thickBot="1" x14ac:dyDescent="0.3">
      <c r="A7" s="44" t="s">
        <v>865</v>
      </c>
      <c r="B7" s="107" t="s">
        <v>866</v>
      </c>
      <c r="C7" s="78" t="s">
        <v>817</v>
      </c>
      <c r="D7" s="108">
        <v>4</v>
      </c>
      <c r="E7" s="108">
        <v>7</v>
      </c>
      <c r="F7" s="78" t="s">
        <v>1643</v>
      </c>
      <c r="G7" s="78" t="s">
        <v>1707</v>
      </c>
      <c r="H7" s="78" t="s">
        <v>1643</v>
      </c>
      <c r="I7" s="78" t="s">
        <v>1707</v>
      </c>
      <c r="J7" s="78" t="s">
        <v>1643</v>
      </c>
      <c r="K7" s="78" t="s">
        <v>1643</v>
      </c>
      <c r="L7" s="78" t="s">
        <v>1644</v>
      </c>
      <c r="M7" s="78" t="s">
        <v>1644</v>
      </c>
      <c r="N7" s="78" t="s">
        <v>1643</v>
      </c>
    </row>
    <row r="8" spans="1:14" ht="15.75" thickBot="1" x14ac:dyDescent="0.3">
      <c r="A8" s="44" t="s">
        <v>869</v>
      </c>
      <c r="B8" s="107" t="s">
        <v>870</v>
      </c>
      <c r="C8" s="78" t="s">
        <v>817</v>
      </c>
      <c r="D8" s="108">
        <v>1</v>
      </c>
      <c r="E8" s="108">
        <v>5</v>
      </c>
      <c r="F8" s="78" t="s">
        <v>1643</v>
      </c>
      <c r="G8" s="78" t="s">
        <v>1708</v>
      </c>
      <c r="H8" s="78" t="s">
        <v>1643</v>
      </c>
      <c r="I8" s="78" t="s">
        <v>1708</v>
      </c>
      <c r="J8" s="78" t="s">
        <v>1643</v>
      </c>
      <c r="K8" s="78" t="s">
        <v>1643</v>
      </c>
      <c r="L8" s="78" t="s">
        <v>1644</v>
      </c>
      <c r="M8" s="78" t="s">
        <v>1643</v>
      </c>
      <c r="N8" s="78" t="s">
        <v>1643</v>
      </c>
    </row>
    <row r="9" spans="1:14" ht="15.75" thickBot="1" x14ac:dyDescent="0.3">
      <c r="A9" s="44" t="s">
        <v>873</v>
      </c>
      <c r="B9" s="107" t="s">
        <v>874</v>
      </c>
      <c r="C9" s="78" t="s">
        <v>817</v>
      </c>
      <c r="D9" s="108">
        <v>9</v>
      </c>
      <c r="E9" s="108">
        <v>11</v>
      </c>
      <c r="F9" s="78" t="s">
        <v>1643</v>
      </c>
      <c r="G9" s="78" t="s">
        <v>1682</v>
      </c>
      <c r="H9" s="78" t="s">
        <v>1643</v>
      </c>
      <c r="I9" s="78" t="s">
        <v>1682</v>
      </c>
      <c r="J9" s="78" t="s">
        <v>1643</v>
      </c>
      <c r="K9" s="78" t="s">
        <v>1643</v>
      </c>
      <c r="L9" s="78" t="s">
        <v>1644</v>
      </c>
      <c r="M9" s="78" t="s">
        <v>1644</v>
      </c>
      <c r="N9" s="78" t="s">
        <v>1643</v>
      </c>
    </row>
    <row r="10" spans="1:14" ht="15.75" thickBot="1" x14ac:dyDescent="0.3">
      <c r="A10" s="44" t="s">
        <v>875</v>
      </c>
      <c r="B10" s="107" t="s">
        <v>876</v>
      </c>
      <c r="C10" s="78" t="s">
        <v>817</v>
      </c>
      <c r="D10" s="108">
        <v>3</v>
      </c>
      <c r="E10" s="108">
        <v>7</v>
      </c>
      <c r="F10" s="78" t="s">
        <v>1643</v>
      </c>
      <c r="G10" s="78" t="s">
        <v>1710</v>
      </c>
      <c r="H10" s="78" t="s">
        <v>1643</v>
      </c>
      <c r="I10" s="78" t="s">
        <v>1710</v>
      </c>
      <c r="J10" s="78" t="s">
        <v>1643</v>
      </c>
      <c r="K10" s="78" t="s">
        <v>1643</v>
      </c>
      <c r="L10" s="78" t="s">
        <v>1644</v>
      </c>
      <c r="M10" s="78" t="s">
        <v>1644</v>
      </c>
      <c r="N10" s="78" t="s">
        <v>1643</v>
      </c>
    </row>
    <row r="11" spans="1:14" ht="15.75" thickBot="1" x14ac:dyDescent="0.3">
      <c r="A11" s="44" t="s">
        <v>883</v>
      </c>
      <c r="B11" s="107" t="s">
        <v>884</v>
      </c>
      <c r="C11" s="78" t="s">
        <v>817</v>
      </c>
      <c r="D11" s="108">
        <v>2</v>
      </c>
      <c r="E11" s="108">
        <v>8</v>
      </c>
      <c r="F11" s="78" t="s">
        <v>1643</v>
      </c>
      <c r="G11" s="78" t="s">
        <v>1713</v>
      </c>
      <c r="H11" s="78" t="s">
        <v>1643</v>
      </c>
      <c r="I11" s="78" t="s">
        <v>1713</v>
      </c>
      <c r="J11" s="78" t="s">
        <v>1643</v>
      </c>
      <c r="K11" s="78" t="s">
        <v>1643</v>
      </c>
      <c r="L11" s="78" t="s">
        <v>1644</v>
      </c>
      <c r="M11" s="78" t="s">
        <v>1644</v>
      </c>
      <c r="N11" s="78" t="s">
        <v>1643</v>
      </c>
    </row>
    <row r="12" spans="1:14" ht="15.75" thickBot="1" x14ac:dyDescent="0.3">
      <c r="A12" s="44" t="s">
        <v>915</v>
      </c>
      <c r="B12" s="107" t="s">
        <v>916</v>
      </c>
      <c r="C12" s="78" t="s">
        <v>817</v>
      </c>
      <c r="D12" s="108">
        <v>2</v>
      </c>
      <c r="E12" s="108">
        <v>5</v>
      </c>
      <c r="F12" s="78" t="s">
        <v>1643</v>
      </c>
      <c r="G12" s="78" t="s">
        <v>1721</v>
      </c>
      <c r="H12" s="78" t="s">
        <v>1643</v>
      </c>
      <c r="I12" s="78" t="s">
        <v>1721</v>
      </c>
      <c r="J12" s="78" t="s">
        <v>1643</v>
      </c>
      <c r="K12" s="78" t="s">
        <v>1644</v>
      </c>
      <c r="L12" s="78" t="s">
        <v>1644</v>
      </c>
      <c r="M12" s="78" t="s">
        <v>1644</v>
      </c>
      <c r="N12" s="78" t="s">
        <v>1643</v>
      </c>
    </row>
    <row r="13" spans="1:14" ht="15.75" thickBot="1" x14ac:dyDescent="0.3">
      <c r="A13" s="44" t="s">
        <v>929</v>
      </c>
      <c r="B13" s="107" t="s">
        <v>930</v>
      </c>
      <c r="C13" s="78" t="s">
        <v>817</v>
      </c>
      <c r="D13" s="108">
        <v>1</v>
      </c>
      <c r="E13" s="108">
        <v>8</v>
      </c>
      <c r="F13" s="78" t="s">
        <v>1643</v>
      </c>
      <c r="G13" s="78" t="s">
        <v>1683</v>
      </c>
      <c r="H13" s="78" t="s">
        <v>1643</v>
      </c>
      <c r="I13" s="78" t="s">
        <v>1712</v>
      </c>
      <c r="J13" s="78" t="s">
        <v>1644</v>
      </c>
      <c r="K13" s="78" t="s">
        <v>1643</v>
      </c>
      <c r="L13" s="78" t="s">
        <v>1644</v>
      </c>
      <c r="M13" s="78" t="s">
        <v>1643</v>
      </c>
      <c r="N13" s="78" t="s">
        <v>1643</v>
      </c>
    </row>
    <row r="14" spans="1:14" ht="15.75" thickBot="1" x14ac:dyDescent="0.3">
      <c r="A14" s="44" t="s">
        <v>939</v>
      </c>
      <c r="B14" s="107" t="s">
        <v>940</v>
      </c>
      <c r="C14" s="78" t="s">
        <v>817</v>
      </c>
      <c r="D14" s="108">
        <v>5</v>
      </c>
      <c r="E14" s="108">
        <v>9</v>
      </c>
      <c r="F14" s="78" t="s">
        <v>1643</v>
      </c>
      <c r="G14" s="78" t="s">
        <v>1727</v>
      </c>
      <c r="H14" s="78" t="s">
        <v>1643</v>
      </c>
      <c r="I14" s="78" t="s">
        <v>1727</v>
      </c>
      <c r="J14" s="78" t="s">
        <v>1643</v>
      </c>
      <c r="K14" s="78" t="s">
        <v>1643</v>
      </c>
      <c r="L14" s="78" t="s">
        <v>1644</v>
      </c>
      <c r="M14" s="78" t="s">
        <v>1644</v>
      </c>
      <c r="N14" s="78" t="s">
        <v>1643</v>
      </c>
    </row>
    <row r="15" spans="1:14" ht="15.75" thickBot="1" x14ac:dyDescent="0.3">
      <c r="A15" s="44" t="s">
        <v>947</v>
      </c>
      <c r="B15" s="107" t="s">
        <v>948</v>
      </c>
      <c r="C15" s="78" t="s">
        <v>817</v>
      </c>
      <c r="D15" s="108">
        <v>1</v>
      </c>
      <c r="E15" s="108">
        <v>9</v>
      </c>
      <c r="F15" s="78" t="s">
        <v>1644</v>
      </c>
      <c r="G15" s="78" t="s">
        <v>1951</v>
      </c>
      <c r="H15" s="78" t="s">
        <v>1644</v>
      </c>
      <c r="I15" s="78" t="s">
        <v>1951</v>
      </c>
      <c r="J15" s="78" t="s">
        <v>1644</v>
      </c>
      <c r="K15" s="78" t="s">
        <v>1644</v>
      </c>
      <c r="L15" s="78" t="s">
        <v>1644</v>
      </c>
      <c r="M15" s="78" t="s">
        <v>1644</v>
      </c>
      <c r="N15" s="78" t="s">
        <v>1643</v>
      </c>
    </row>
    <row r="16" spans="1:14" ht="15.75" thickBot="1" x14ac:dyDescent="0.3">
      <c r="A16" s="44" t="s">
        <v>959</v>
      </c>
      <c r="B16" s="107" t="s">
        <v>960</v>
      </c>
      <c r="C16" s="78" t="s">
        <v>817</v>
      </c>
      <c r="D16" s="108">
        <v>4</v>
      </c>
      <c r="E16" s="108">
        <v>11</v>
      </c>
      <c r="F16" s="78" t="s">
        <v>1643</v>
      </c>
      <c r="G16" s="78" t="s">
        <v>1734</v>
      </c>
      <c r="H16" s="78" t="s">
        <v>1643</v>
      </c>
      <c r="I16" s="78" t="s">
        <v>1734</v>
      </c>
      <c r="J16" s="78" t="s">
        <v>1643</v>
      </c>
      <c r="K16" s="78" t="s">
        <v>1643</v>
      </c>
      <c r="L16" s="78" t="s">
        <v>1644</v>
      </c>
      <c r="M16" s="78" t="s">
        <v>1644</v>
      </c>
      <c r="N16" s="78" t="s">
        <v>1643</v>
      </c>
    </row>
    <row r="17" spans="1:14" ht="15.75" thickBot="1" x14ac:dyDescent="0.3">
      <c r="A17" s="44" t="s">
        <v>967</v>
      </c>
      <c r="B17" s="107" t="s">
        <v>968</v>
      </c>
      <c r="C17" s="78" t="s">
        <v>817</v>
      </c>
      <c r="D17" s="108">
        <v>3</v>
      </c>
      <c r="E17" s="108">
        <v>8</v>
      </c>
      <c r="F17" s="78" t="s">
        <v>1643</v>
      </c>
      <c r="G17" s="78" t="s">
        <v>1739</v>
      </c>
      <c r="H17" s="78" t="s">
        <v>1643</v>
      </c>
      <c r="I17" s="78" t="s">
        <v>1740</v>
      </c>
      <c r="J17" s="78" t="s">
        <v>1644</v>
      </c>
      <c r="K17" s="78" t="s">
        <v>1643</v>
      </c>
      <c r="L17" s="78" t="s">
        <v>1644</v>
      </c>
      <c r="M17" s="78" t="s">
        <v>1644</v>
      </c>
      <c r="N17" s="78" t="s">
        <v>1643</v>
      </c>
    </row>
    <row r="18" spans="1:14" ht="15.75" thickBot="1" x14ac:dyDescent="0.3">
      <c r="A18" s="44" t="s">
        <v>969</v>
      </c>
      <c r="B18" s="107" t="s">
        <v>970</v>
      </c>
      <c r="C18" s="78" t="s">
        <v>817</v>
      </c>
      <c r="D18" s="108">
        <v>3</v>
      </c>
      <c r="E18" s="108">
        <v>9</v>
      </c>
      <c r="F18" s="78" t="s">
        <v>1643</v>
      </c>
      <c r="G18" s="78" t="s">
        <v>1700</v>
      </c>
      <c r="H18" s="78" t="s">
        <v>1643</v>
      </c>
      <c r="I18" s="78" t="s">
        <v>1741</v>
      </c>
      <c r="J18" s="78" t="s">
        <v>1643</v>
      </c>
      <c r="K18" s="78" t="s">
        <v>1643</v>
      </c>
      <c r="L18" s="78" t="s">
        <v>1644</v>
      </c>
      <c r="M18" s="78" t="s">
        <v>1644</v>
      </c>
      <c r="N18" s="78" t="s">
        <v>1643</v>
      </c>
    </row>
    <row r="19" spans="1:14" ht="15.75" thickBot="1" x14ac:dyDescent="0.3">
      <c r="A19" s="44" t="s">
        <v>985</v>
      </c>
      <c r="B19" s="107" t="s">
        <v>986</v>
      </c>
      <c r="C19" s="78" t="s">
        <v>817</v>
      </c>
      <c r="D19" s="108">
        <v>4</v>
      </c>
      <c r="E19" s="108">
        <v>10</v>
      </c>
      <c r="F19" s="78" t="s">
        <v>1643</v>
      </c>
      <c r="G19" s="78" t="s">
        <v>3453</v>
      </c>
      <c r="H19" s="78" t="s">
        <v>1643</v>
      </c>
      <c r="I19" s="78" t="s">
        <v>3453</v>
      </c>
      <c r="J19" s="78" t="s">
        <v>1643</v>
      </c>
      <c r="K19" s="78" t="s">
        <v>1643</v>
      </c>
      <c r="L19" s="78" t="s">
        <v>1644</v>
      </c>
      <c r="M19" s="78" t="s">
        <v>1643</v>
      </c>
      <c r="N19" s="78" t="s">
        <v>1643</v>
      </c>
    </row>
    <row r="20" spans="1:14" ht="15.75" thickBot="1" x14ac:dyDescent="0.3">
      <c r="A20" s="44" t="s">
        <v>987</v>
      </c>
      <c r="B20" s="107" t="s">
        <v>988</v>
      </c>
      <c r="C20" s="78" t="s">
        <v>817</v>
      </c>
      <c r="D20" s="108">
        <v>5</v>
      </c>
      <c r="E20" s="108">
        <v>9</v>
      </c>
      <c r="F20" s="78" t="s">
        <v>1643</v>
      </c>
      <c r="G20" s="78" t="s">
        <v>1691</v>
      </c>
      <c r="H20" s="78" t="s">
        <v>1643</v>
      </c>
      <c r="I20" s="78" t="s">
        <v>1691</v>
      </c>
      <c r="J20" s="78" t="s">
        <v>1643</v>
      </c>
      <c r="K20" s="78" t="s">
        <v>1643</v>
      </c>
      <c r="L20" s="78" t="s">
        <v>1644</v>
      </c>
      <c r="M20" s="78" t="s">
        <v>1643</v>
      </c>
      <c r="N20" s="78" t="s">
        <v>1643</v>
      </c>
    </row>
    <row r="21" spans="1:14" ht="15.75" thickBot="1" x14ac:dyDescent="0.3">
      <c r="A21" s="44" t="s">
        <v>989</v>
      </c>
      <c r="B21" s="107" t="s">
        <v>990</v>
      </c>
      <c r="C21" s="78" t="s">
        <v>817</v>
      </c>
      <c r="D21" s="108">
        <v>4</v>
      </c>
      <c r="E21" s="108">
        <v>17</v>
      </c>
      <c r="F21" s="78" t="s">
        <v>1643</v>
      </c>
      <c r="G21" s="78" t="s">
        <v>1730</v>
      </c>
      <c r="H21" s="78" t="s">
        <v>1643</v>
      </c>
      <c r="I21" s="78" t="s">
        <v>1730</v>
      </c>
      <c r="J21" s="78" t="s">
        <v>1644</v>
      </c>
      <c r="K21" s="78" t="s">
        <v>1643</v>
      </c>
      <c r="L21" s="78" t="s">
        <v>1644</v>
      </c>
      <c r="M21" s="78" t="s">
        <v>1643</v>
      </c>
      <c r="N21" s="78" t="s">
        <v>1643</v>
      </c>
    </row>
    <row r="22" spans="1:14" ht="15.75" thickBot="1" x14ac:dyDescent="0.3">
      <c r="A22" s="44" t="s">
        <v>991</v>
      </c>
      <c r="B22" s="107" t="s">
        <v>992</v>
      </c>
      <c r="C22" s="78" t="s">
        <v>817</v>
      </c>
      <c r="D22" s="108">
        <v>3</v>
      </c>
      <c r="E22" s="108">
        <v>8</v>
      </c>
      <c r="F22" s="78" t="s">
        <v>1643</v>
      </c>
      <c r="G22" s="78" t="s">
        <v>1730</v>
      </c>
      <c r="H22" s="78" t="s">
        <v>1643</v>
      </c>
      <c r="I22" s="78" t="s">
        <v>1730</v>
      </c>
      <c r="J22" s="78" t="s">
        <v>1643</v>
      </c>
      <c r="K22" s="78" t="s">
        <v>1643</v>
      </c>
      <c r="L22" s="78" t="s">
        <v>1644</v>
      </c>
      <c r="M22" s="78" t="s">
        <v>1643</v>
      </c>
      <c r="N22" s="78" t="s">
        <v>1643</v>
      </c>
    </row>
    <row r="23" spans="1:14" ht="15.75" thickBot="1" x14ac:dyDescent="0.3">
      <c r="A23" s="44" t="s">
        <v>993</v>
      </c>
      <c r="B23" s="107" t="s">
        <v>994</v>
      </c>
      <c r="C23" s="78" t="s">
        <v>817</v>
      </c>
      <c r="D23" s="108">
        <v>6</v>
      </c>
      <c r="E23" s="108">
        <v>7</v>
      </c>
      <c r="F23" s="78" t="s">
        <v>1643</v>
      </c>
      <c r="G23" s="78" t="s">
        <v>1747</v>
      </c>
      <c r="H23" s="78" t="s">
        <v>1643</v>
      </c>
      <c r="I23" s="78" t="s">
        <v>1700</v>
      </c>
      <c r="J23" s="78" t="s">
        <v>1643</v>
      </c>
      <c r="K23" s="78" t="s">
        <v>1643</v>
      </c>
      <c r="L23" s="78" t="s">
        <v>1644</v>
      </c>
      <c r="M23" s="78" t="s">
        <v>1643</v>
      </c>
      <c r="N23" s="78" t="s">
        <v>1643</v>
      </c>
    </row>
    <row r="24" spans="1:14" ht="15.75" thickBot="1" x14ac:dyDescent="0.3">
      <c r="A24" s="44" t="s">
        <v>1039</v>
      </c>
      <c r="B24" s="107" t="s">
        <v>1040</v>
      </c>
      <c r="C24" s="78" t="s">
        <v>817</v>
      </c>
      <c r="D24" s="108">
        <v>1</v>
      </c>
      <c r="E24" s="108">
        <v>3</v>
      </c>
      <c r="F24" s="78" t="s">
        <v>1644</v>
      </c>
      <c r="G24" s="78" t="s">
        <v>1951</v>
      </c>
      <c r="H24" s="78" t="s">
        <v>1644</v>
      </c>
      <c r="I24" s="78" t="s">
        <v>1951</v>
      </c>
      <c r="J24" s="78" t="s">
        <v>1643</v>
      </c>
      <c r="K24" s="78" t="s">
        <v>1644</v>
      </c>
      <c r="L24" s="78" t="s">
        <v>1644</v>
      </c>
      <c r="M24" s="78" t="s">
        <v>1644</v>
      </c>
      <c r="N24" s="78" t="s">
        <v>1643</v>
      </c>
    </row>
    <row r="25" spans="1:14" ht="15.75" thickBot="1" x14ac:dyDescent="0.3">
      <c r="A25" s="44" t="s">
        <v>1041</v>
      </c>
      <c r="B25" s="107" t="s">
        <v>1042</v>
      </c>
      <c r="C25" s="78" t="s">
        <v>817</v>
      </c>
      <c r="D25" s="108">
        <v>4</v>
      </c>
      <c r="E25" s="108">
        <v>5</v>
      </c>
      <c r="F25" s="78" t="s">
        <v>1643</v>
      </c>
      <c r="G25" s="78" t="s">
        <v>1708</v>
      </c>
      <c r="H25" s="78" t="s">
        <v>1643</v>
      </c>
      <c r="I25" s="78" t="s">
        <v>1708</v>
      </c>
      <c r="J25" s="78" t="s">
        <v>1643</v>
      </c>
      <c r="K25" s="78" t="s">
        <v>1643</v>
      </c>
      <c r="L25" s="78" t="s">
        <v>1644</v>
      </c>
      <c r="M25" s="78" t="s">
        <v>1643</v>
      </c>
      <c r="N25" s="78" t="s">
        <v>1643</v>
      </c>
    </row>
    <row r="26" spans="1:14" ht="15.75" thickBot="1" x14ac:dyDescent="0.3">
      <c r="A26" s="44" t="s">
        <v>1049</v>
      </c>
      <c r="B26" s="107" t="s">
        <v>1050</v>
      </c>
      <c r="C26" s="78" t="s">
        <v>817</v>
      </c>
      <c r="D26" s="108">
        <v>3</v>
      </c>
      <c r="E26" s="108">
        <v>9</v>
      </c>
      <c r="F26" s="78" t="s">
        <v>1643</v>
      </c>
      <c r="G26" s="78" t="s">
        <v>1758</v>
      </c>
      <c r="H26" s="78" t="s">
        <v>1643</v>
      </c>
      <c r="I26" s="78" t="s">
        <v>1758</v>
      </c>
      <c r="J26" s="78" t="s">
        <v>1644</v>
      </c>
      <c r="K26" s="78" t="s">
        <v>1644</v>
      </c>
      <c r="L26" s="78" t="s">
        <v>1644</v>
      </c>
      <c r="M26" s="78" t="s">
        <v>1644</v>
      </c>
      <c r="N26" s="78" t="s">
        <v>1643</v>
      </c>
    </row>
    <row r="27" spans="1:14" ht="15.75" thickBot="1" x14ac:dyDescent="0.3">
      <c r="A27" s="44" t="s">
        <v>1057</v>
      </c>
      <c r="B27" s="107" t="s">
        <v>1058</v>
      </c>
      <c r="C27" s="78" t="s">
        <v>817</v>
      </c>
      <c r="D27" s="108">
        <v>5</v>
      </c>
      <c r="E27" s="108">
        <v>8</v>
      </c>
      <c r="F27" s="78" t="s">
        <v>1643</v>
      </c>
      <c r="G27" s="78" t="s">
        <v>1693</v>
      </c>
      <c r="H27" s="78" t="s">
        <v>1643</v>
      </c>
      <c r="I27" s="78" t="s">
        <v>1693</v>
      </c>
      <c r="J27" s="78" t="s">
        <v>1643</v>
      </c>
      <c r="K27" s="78" t="s">
        <v>1643</v>
      </c>
      <c r="L27" s="78" t="s">
        <v>1644</v>
      </c>
      <c r="M27" s="78" t="s">
        <v>1643</v>
      </c>
      <c r="N27" s="78" t="s">
        <v>1643</v>
      </c>
    </row>
    <row r="28" spans="1:14" ht="15.75" thickBot="1" x14ac:dyDescent="0.3">
      <c r="A28" s="44" t="s">
        <v>1071</v>
      </c>
      <c r="B28" s="107" t="s">
        <v>1072</v>
      </c>
      <c r="C28" s="78" t="s">
        <v>817</v>
      </c>
      <c r="D28" s="108">
        <v>3</v>
      </c>
      <c r="E28" s="108">
        <v>4</v>
      </c>
      <c r="F28" s="78" t="s">
        <v>1643</v>
      </c>
      <c r="G28" s="78" t="s">
        <v>1762</v>
      </c>
      <c r="H28" s="78" t="s">
        <v>1643</v>
      </c>
      <c r="I28" s="78" t="s">
        <v>1678</v>
      </c>
      <c r="J28" s="78" t="s">
        <v>1643</v>
      </c>
      <c r="K28" s="78" t="s">
        <v>1643</v>
      </c>
      <c r="L28" s="78" t="s">
        <v>1644</v>
      </c>
      <c r="M28" s="78" t="s">
        <v>1643</v>
      </c>
      <c r="N28" s="78" t="s">
        <v>1643</v>
      </c>
    </row>
    <row r="29" spans="1:14" ht="15.75" thickBot="1" x14ac:dyDescent="0.3">
      <c r="A29" s="44" t="s">
        <v>1083</v>
      </c>
      <c r="B29" s="107" t="s">
        <v>1084</v>
      </c>
      <c r="C29" s="78" t="s">
        <v>817</v>
      </c>
      <c r="D29" s="108">
        <v>2</v>
      </c>
      <c r="E29" s="108">
        <v>10</v>
      </c>
      <c r="F29" s="78" t="s">
        <v>1643</v>
      </c>
      <c r="G29" s="78" t="s">
        <v>1766</v>
      </c>
      <c r="H29" s="78" t="s">
        <v>1643</v>
      </c>
      <c r="I29" s="78" t="s">
        <v>1766</v>
      </c>
      <c r="J29" s="78" t="s">
        <v>1643</v>
      </c>
      <c r="K29" s="78" t="s">
        <v>1643</v>
      </c>
      <c r="L29" s="78" t="s">
        <v>1644</v>
      </c>
      <c r="M29" s="78" t="s">
        <v>1644</v>
      </c>
      <c r="N29" s="78" t="s">
        <v>1643</v>
      </c>
    </row>
    <row r="30" spans="1:14" ht="15.75" thickBot="1" x14ac:dyDescent="0.3">
      <c r="A30" s="44" t="s">
        <v>1091</v>
      </c>
      <c r="B30" s="107" t="s">
        <v>1092</v>
      </c>
      <c r="C30" s="78" t="s">
        <v>817</v>
      </c>
      <c r="D30" s="108">
        <v>1</v>
      </c>
      <c r="E30" s="108">
        <v>1</v>
      </c>
      <c r="F30" s="78" t="s">
        <v>1643</v>
      </c>
      <c r="G30" s="78" t="s">
        <v>3453</v>
      </c>
      <c r="H30" s="78" t="s">
        <v>1643</v>
      </c>
      <c r="I30" s="78" t="s">
        <v>3453</v>
      </c>
      <c r="J30" s="78" t="s">
        <v>1643</v>
      </c>
      <c r="K30" s="78" t="s">
        <v>1644</v>
      </c>
      <c r="L30" s="78" t="s">
        <v>1644</v>
      </c>
      <c r="M30" s="78" t="s">
        <v>1644</v>
      </c>
      <c r="N30" s="78" t="s">
        <v>1643</v>
      </c>
    </row>
    <row r="31" spans="1:14" ht="15.75" thickBot="1" x14ac:dyDescent="0.3">
      <c r="A31" s="44" t="s">
        <v>1099</v>
      </c>
      <c r="B31" s="107" t="s">
        <v>1100</v>
      </c>
      <c r="C31" s="78" t="s">
        <v>817</v>
      </c>
      <c r="D31" s="108">
        <v>3</v>
      </c>
      <c r="E31" s="108">
        <v>8</v>
      </c>
      <c r="F31" s="78" t="s">
        <v>1643</v>
      </c>
      <c r="G31" s="78" t="s">
        <v>1707</v>
      </c>
      <c r="H31" s="78" t="s">
        <v>1643</v>
      </c>
      <c r="I31" s="78" t="s">
        <v>1707</v>
      </c>
      <c r="J31" s="78" t="s">
        <v>1643</v>
      </c>
      <c r="K31" s="78" t="s">
        <v>1643</v>
      </c>
      <c r="L31" s="78" t="s">
        <v>1644</v>
      </c>
      <c r="M31" s="78" t="s">
        <v>1644</v>
      </c>
      <c r="N31" s="78" t="s">
        <v>1643</v>
      </c>
    </row>
    <row r="32" spans="1:14" ht="15.75" thickBot="1" x14ac:dyDescent="0.3">
      <c r="A32" s="44" t="s">
        <v>1101</v>
      </c>
      <c r="B32" s="107" t="s">
        <v>1102</v>
      </c>
      <c r="C32" s="78" t="s">
        <v>817</v>
      </c>
      <c r="D32" s="108">
        <v>1</v>
      </c>
      <c r="E32" s="108">
        <v>2</v>
      </c>
      <c r="F32" s="78" t="s">
        <v>1643</v>
      </c>
      <c r="G32" s="78" t="s">
        <v>1769</v>
      </c>
      <c r="H32" s="78" t="s">
        <v>1643</v>
      </c>
      <c r="I32" s="78" t="s">
        <v>1770</v>
      </c>
      <c r="J32" s="78" t="s">
        <v>1644</v>
      </c>
      <c r="K32" s="78" t="s">
        <v>1643</v>
      </c>
      <c r="L32" s="78" t="s">
        <v>1644</v>
      </c>
      <c r="M32" s="78" t="s">
        <v>1644</v>
      </c>
      <c r="N32" s="78" t="s">
        <v>1643</v>
      </c>
    </row>
    <row r="33" spans="1:14" ht="15.75" thickBot="1" x14ac:dyDescent="0.3">
      <c r="A33" s="44" t="s">
        <v>1149</v>
      </c>
      <c r="B33" s="107" t="s">
        <v>1150</v>
      </c>
      <c r="C33" s="78" t="s">
        <v>817</v>
      </c>
      <c r="D33" s="108">
        <v>5</v>
      </c>
      <c r="E33" s="108">
        <v>13</v>
      </c>
      <c r="F33" s="78" t="s">
        <v>1643</v>
      </c>
      <c r="G33" s="78" t="s">
        <v>3453</v>
      </c>
      <c r="H33" s="78" t="s">
        <v>1643</v>
      </c>
      <c r="I33" s="78" t="s">
        <v>3453</v>
      </c>
      <c r="J33" s="78" t="s">
        <v>1643</v>
      </c>
      <c r="K33" s="78" t="s">
        <v>1643</v>
      </c>
      <c r="L33" s="78" t="s">
        <v>1644</v>
      </c>
      <c r="M33" s="78" t="s">
        <v>1644</v>
      </c>
      <c r="N33" s="78" t="s">
        <v>1643</v>
      </c>
    </row>
    <row r="34" spans="1:14" ht="15.75" thickBot="1" x14ac:dyDescent="0.3">
      <c r="A34" s="44" t="s">
        <v>1165</v>
      </c>
      <c r="B34" s="107" t="s">
        <v>1166</v>
      </c>
      <c r="C34" s="78" t="s">
        <v>817</v>
      </c>
      <c r="D34" s="108">
        <v>2</v>
      </c>
      <c r="E34" s="108">
        <v>5</v>
      </c>
      <c r="F34" s="78" t="s">
        <v>1643</v>
      </c>
      <c r="G34" s="78" t="s">
        <v>1679</v>
      </c>
      <c r="H34" s="78" t="s">
        <v>1643</v>
      </c>
      <c r="I34" s="78" t="s">
        <v>1679</v>
      </c>
      <c r="J34" s="78" t="s">
        <v>1643</v>
      </c>
      <c r="K34" s="78" t="s">
        <v>1643</v>
      </c>
      <c r="L34" s="78" t="s">
        <v>1644</v>
      </c>
      <c r="M34" s="78" t="s">
        <v>1644</v>
      </c>
      <c r="N34" s="78" t="s">
        <v>1643</v>
      </c>
    </row>
    <row r="35" spans="1:14" ht="15.75" thickBot="1" x14ac:dyDescent="0.3">
      <c r="A35" s="44" t="s">
        <v>1195</v>
      </c>
      <c r="B35" s="107" t="s">
        <v>1196</v>
      </c>
      <c r="C35" s="78" t="s">
        <v>817</v>
      </c>
      <c r="D35" s="108">
        <v>2</v>
      </c>
      <c r="E35" s="108">
        <v>16</v>
      </c>
      <c r="F35" s="78" t="s">
        <v>1643</v>
      </c>
      <c r="G35" s="78" t="s">
        <v>1730</v>
      </c>
      <c r="H35" s="78" t="s">
        <v>1643</v>
      </c>
      <c r="I35" s="78" t="s">
        <v>1730</v>
      </c>
      <c r="J35" s="78" t="s">
        <v>1643</v>
      </c>
      <c r="K35" s="78" t="s">
        <v>1643</v>
      </c>
      <c r="L35" s="78" t="s">
        <v>1644</v>
      </c>
      <c r="M35" s="78" t="s">
        <v>1643</v>
      </c>
      <c r="N35" s="78" t="s">
        <v>1643</v>
      </c>
    </row>
    <row r="36" spans="1:14" ht="15.75" thickBot="1" x14ac:dyDescent="0.3">
      <c r="A36" s="44" t="s">
        <v>1203</v>
      </c>
      <c r="B36" s="107" t="s">
        <v>1204</v>
      </c>
      <c r="C36" s="78" t="s">
        <v>817</v>
      </c>
      <c r="D36" s="108">
        <v>3</v>
      </c>
      <c r="E36" s="108">
        <v>2</v>
      </c>
      <c r="F36" s="78" t="s">
        <v>1643</v>
      </c>
      <c r="G36" s="78" t="s">
        <v>1793</v>
      </c>
      <c r="H36" s="78" t="s">
        <v>1643</v>
      </c>
      <c r="I36" s="78" t="s">
        <v>1793</v>
      </c>
      <c r="J36" s="78" t="s">
        <v>1644</v>
      </c>
      <c r="K36" s="78" t="s">
        <v>1643</v>
      </c>
      <c r="L36" s="78" t="s">
        <v>1644</v>
      </c>
      <c r="M36" s="78" t="s">
        <v>1644</v>
      </c>
      <c r="N36" s="78" t="s">
        <v>1643</v>
      </c>
    </row>
    <row r="37" spans="1:14" ht="15.75" thickBot="1" x14ac:dyDescent="0.3">
      <c r="A37" s="44" t="s">
        <v>1205</v>
      </c>
      <c r="B37" s="107" t="s">
        <v>1206</v>
      </c>
      <c r="C37" s="78" t="s">
        <v>817</v>
      </c>
      <c r="D37" s="108">
        <v>4</v>
      </c>
      <c r="E37" s="108">
        <v>7</v>
      </c>
      <c r="F37" s="78" t="s">
        <v>1643</v>
      </c>
      <c r="G37" s="78" t="s">
        <v>3453</v>
      </c>
      <c r="H37" s="78" t="s">
        <v>1643</v>
      </c>
      <c r="I37" s="78" t="s">
        <v>3453</v>
      </c>
      <c r="J37" s="78" t="s">
        <v>1643</v>
      </c>
      <c r="K37" s="78" t="s">
        <v>1643</v>
      </c>
      <c r="L37" s="78" t="s">
        <v>1644</v>
      </c>
      <c r="M37" s="78" t="s">
        <v>1644</v>
      </c>
      <c r="N37" s="78" t="s">
        <v>1643</v>
      </c>
    </row>
    <row r="38" spans="1:14" ht="15.75" thickBot="1" x14ac:dyDescent="0.3">
      <c r="A38" s="44" t="s">
        <v>1209</v>
      </c>
      <c r="B38" s="107" t="s">
        <v>1210</v>
      </c>
      <c r="C38" s="78" t="s">
        <v>817</v>
      </c>
      <c r="D38" s="108">
        <v>4</v>
      </c>
      <c r="E38" s="108">
        <v>8</v>
      </c>
      <c r="F38" s="78" t="s">
        <v>1643</v>
      </c>
      <c r="G38" s="78" t="s">
        <v>1747</v>
      </c>
      <c r="H38" s="78" t="s">
        <v>1643</v>
      </c>
      <c r="I38" s="78" t="s">
        <v>1747</v>
      </c>
      <c r="J38" s="78" t="s">
        <v>1643</v>
      </c>
      <c r="K38" s="78" t="s">
        <v>1643</v>
      </c>
      <c r="L38" s="78" t="s">
        <v>1644</v>
      </c>
      <c r="M38" s="78" t="s">
        <v>1644</v>
      </c>
      <c r="N38" s="78" t="s">
        <v>1643</v>
      </c>
    </row>
    <row r="39" spans="1:14" ht="15.75" thickBot="1" x14ac:dyDescent="0.3">
      <c r="A39" s="44" t="s">
        <v>1219</v>
      </c>
      <c r="B39" s="107" t="s">
        <v>1220</v>
      </c>
      <c r="C39" s="78" t="s">
        <v>817</v>
      </c>
      <c r="D39" s="108">
        <v>1</v>
      </c>
      <c r="E39" s="108">
        <v>5</v>
      </c>
      <c r="F39" s="78" t="s">
        <v>1643</v>
      </c>
      <c r="G39" s="78" t="s">
        <v>1750</v>
      </c>
      <c r="H39" s="78" t="s">
        <v>1643</v>
      </c>
      <c r="I39" s="78" t="s">
        <v>1750</v>
      </c>
      <c r="J39" s="78" t="s">
        <v>1644</v>
      </c>
      <c r="K39" s="78" t="s">
        <v>1643</v>
      </c>
      <c r="L39" s="78" t="s">
        <v>1644</v>
      </c>
      <c r="M39" s="78" t="s">
        <v>1644</v>
      </c>
      <c r="N39" s="78" t="s">
        <v>1643</v>
      </c>
    </row>
    <row r="40" spans="1:14" ht="15.75" thickBot="1" x14ac:dyDescent="0.3">
      <c r="A40" s="44" t="s">
        <v>1225</v>
      </c>
      <c r="B40" s="107" t="s">
        <v>1226</v>
      </c>
      <c r="C40" s="78" t="s">
        <v>817</v>
      </c>
      <c r="D40" s="108">
        <v>3</v>
      </c>
      <c r="E40" s="108">
        <v>5</v>
      </c>
      <c r="F40" s="78" t="s">
        <v>1643</v>
      </c>
      <c r="G40" s="78" t="s">
        <v>1766</v>
      </c>
      <c r="H40" s="78" t="s">
        <v>1643</v>
      </c>
      <c r="I40" s="78" t="s">
        <v>1766</v>
      </c>
      <c r="J40" s="78" t="s">
        <v>1644</v>
      </c>
      <c r="K40" s="78" t="s">
        <v>1644</v>
      </c>
      <c r="L40" s="78" t="s">
        <v>1644</v>
      </c>
      <c r="M40" s="78" t="s">
        <v>1644</v>
      </c>
      <c r="N40" s="78" t="s">
        <v>1643</v>
      </c>
    </row>
    <row r="41" spans="1:14" ht="15.75" thickBot="1" x14ac:dyDescent="0.3">
      <c r="A41" s="44" t="s">
        <v>1237</v>
      </c>
      <c r="B41" s="107" t="s">
        <v>1238</v>
      </c>
      <c r="C41" s="78" t="s">
        <v>817</v>
      </c>
      <c r="D41" s="108">
        <v>4</v>
      </c>
      <c r="E41" s="108">
        <v>5</v>
      </c>
      <c r="F41" s="78" t="s">
        <v>1643</v>
      </c>
      <c r="G41" s="78" t="s">
        <v>1750</v>
      </c>
      <c r="H41" s="78" t="s">
        <v>1643</v>
      </c>
      <c r="I41" s="78" t="s">
        <v>1750</v>
      </c>
      <c r="J41" s="78" t="s">
        <v>1643</v>
      </c>
      <c r="K41" s="78" t="s">
        <v>1643</v>
      </c>
      <c r="L41" s="78" t="s">
        <v>1644</v>
      </c>
      <c r="M41" s="78" t="s">
        <v>1643</v>
      </c>
      <c r="N41" s="78" t="s">
        <v>1643</v>
      </c>
    </row>
    <row r="42" spans="1:14" ht="15.75" thickBot="1" x14ac:dyDescent="0.3">
      <c r="A42" s="44" t="s">
        <v>1243</v>
      </c>
      <c r="B42" s="107" t="s">
        <v>1244</v>
      </c>
      <c r="C42" s="78" t="s">
        <v>817</v>
      </c>
      <c r="D42" s="108">
        <v>2</v>
      </c>
      <c r="E42" s="108">
        <v>4</v>
      </c>
      <c r="F42" s="78" t="s">
        <v>1643</v>
      </c>
      <c r="G42" s="78" t="s">
        <v>3453</v>
      </c>
      <c r="H42" s="78" t="s">
        <v>1643</v>
      </c>
      <c r="I42" s="78" t="s">
        <v>3453</v>
      </c>
      <c r="J42" s="78" t="s">
        <v>1644</v>
      </c>
      <c r="K42" s="78" t="s">
        <v>1643</v>
      </c>
      <c r="L42" s="78" t="s">
        <v>1644</v>
      </c>
      <c r="M42" s="78" t="s">
        <v>1643</v>
      </c>
      <c r="N42" s="78" t="s">
        <v>1643</v>
      </c>
    </row>
    <row r="43" spans="1:14" ht="15.75" thickBot="1" x14ac:dyDescent="0.3">
      <c r="A43" s="44" t="s">
        <v>1259</v>
      </c>
      <c r="B43" s="107" t="s">
        <v>1260</v>
      </c>
      <c r="C43" s="78" t="s">
        <v>817</v>
      </c>
      <c r="D43" s="108">
        <v>3</v>
      </c>
      <c r="E43" s="108">
        <v>4</v>
      </c>
      <c r="F43" s="78" t="s">
        <v>1643</v>
      </c>
      <c r="G43" s="78" t="s">
        <v>3453</v>
      </c>
      <c r="H43" s="78" t="s">
        <v>1643</v>
      </c>
      <c r="I43" s="78" t="s">
        <v>3453</v>
      </c>
      <c r="J43" s="78" t="s">
        <v>1643</v>
      </c>
      <c r="K43" s="78" t="s">
        <v>1643</v>
      </c>
      <c r="L43" s="78" t="s">
        <v>1644</v>
      </c>
      <c r="M43" s="78" t="s">
        <v>1644</v>
      </c>
      <c r="N43" s="78" t="s">
        <v>1643</v>
      </c>
    </row>
    <row r="44" spans="1:14" ht="15.75" thickBot="1" x14ac:dyDescent="0.3">
      <c r="A44" s="44" t="s">
        <v>1275</v>
      </c>
      <c r="B44" s="107" t="s">
        <v>1276</v>
      </c>
      <c r="C44" s="78" t="s">
        <v>817</v>
      </c>
      <c r="D44" s="108">
        <v>2</v>
      </c>
      <c r="E44" s="108">
        <v>3</v>
      </c>
      <c r="F44" s="78" t="s">
        <v>1643</v>
      </c>
      <c r="G44" s="78" t="s">
        <v>1690</v>
      </c>
      <c r="H44" s="78" t="s">
        <v>1643</v>
      </c>
      <c r="I44" s="78" t="s">
        <v>1690</v>
      </c>
      <c r="J44" s="78" t="s">
        <v>1644</v>
      </c>
      <c r="K44" s="78" t="s">
        <v>1643</v>
      </c>
      <c r="L44" s="78" t="s">
        <v>1644</v>
      </c>
      <c r="M44" s="78" t="s">
        <v>1643</v>
      </c>
      <c r="N44" s="78" t="s">
        <v>1643</v>
      </c>
    </row>
    <row r="45" spans="1:14" ht="15.75" thickBot="1" x14ac:dyDescent="0.3">
      <c r="A45" s="44" t="s">
        <v>1283</v>
      </c>
      <c r="B45" s="107" t="s">
        <v>1284</v>
      </c>
      <c r="C45" s="78" t="s">
        <v>817</v>
      </c>
      <c r="D45" s="108">
        <v>4</v>
      </c>
      <c r="E45" s="108">
        <v>6</v>
      </c>
      <c r="F45" s="78" t="s">
        <v>1643</v>
      </c>
      <c r="G45" s="78" t="s">
        <v>1702</v>
      </c>
      <c r="H45" s="78" t="s">
        <v>1643</v>
      </c>
      <c r="I45" s="78" t="s">
        <v>1750</v>
      </c>
      <c r="J45" s="78" t="s">
        <v>1643</v>
      </c>
      <c r="K45" s="78" t="s">
        <v>1643</v>
      </c>
      <c r="L45" s="78" t="s">
        <v>1644</v>
      </c>
      <c r="M45" s="78" t="s">
        <v>1644</v>
      </c>
      <c r="N45" s="78" t="s">
        <v>1643</v>
      </c>
    </row>
    <row r="46" spans="1:14" ht="15.75" thickBot="1" x14ac:dyDescent="0.3">
      <c r="A46" s="44" t="s">
        <v>1303</v>
      </c>
      <c r="B46" s="107" t="s">
        <v>1304</v>
      </c>
      <c r="C46" s="78" t="s">
        <v>817</v>
      </c>
      <c r="D46" s="108">
        <v>3</v>
      </c>
      <c r="E46" s="108">
        <v>2</v>
      </c>
      <c r="F46" s="78" t="s">
        <v>1643</v>
      </c>
      <c r="G46" s="78" t="s">
        <v>1766</v>
      </c>
      <c r="H46" s="78" t="s">
        <v>1643</v>
      </c>
      <c r="I46" s="78" t="s">
        <v>1766</v>
      </c>
      <c r="J46" s="78" t="s">
        <v>1643</v>
      </c>
      <c r="K46" s="78" t="s">
        <v>1643</v>
      </c>
      <c r="L46" s="78" t="s">
        <v>1644</v>
      </c>
      <c r="M46" s="78" t="s">
        <v>1644</v>
      </c>
      <c r="N46" s="78" t="s">
        <v>1643</v>
      </c>
    </row>
    <row r="47" spans="1:14" ht="15.75" thickBot="1" x14ac:dyDescent="0.3">
      <c r="A47" s="44" t="s">
        <v>1319</v>
      </c>
      <c r="B47" s="107" t="s">
        <v>1320</v>
      </c>
      <c r="C47" s="78" t="s">
        <v>817</v>
      </c>
      <c r="D47" s="108">
        <v>4</v>
      </c>
      <c r="E47" s="108">
        <v>12</v>
      </c>
      <c r="F47" s="78" t="s">
        <v>1643</v>
      </c>
      <c r="G47" s="78" t="s">
        <v>1683</v>
      </c>
      <c r="H47" s="78" t="s">
        <v>1643</v>
      </c>
      <c r="I47" s="78" t="s">
        <v>1683</v>
      </c>
      <c r="J47" s="78" t="s">
        <v>1643</v>
      </c>
      <c r="K47" s="78" t="s">
        <v>1643</v>
      </c>
      <c r="L47" s="78" t="s">
        <v>1644</v>
      </c>
      <c r="M47" s="78" t="s">
        <v>1643</v>
      </c>
      <c r="N47" s="78" t="s">
        <v>1643</v>
      </c>
    </row>
    <row r="48" spans="1:14" ht="15.75" thickBot="1" x14ac:dyDescent="0.3">
      <c r="A48" s="44" t="s">
        <v>1333</v>
      </c>
      <c r="B48" s="107" t="s">
        <v>1334</v>
      </c>
      <c r="C48" s="78" t="s">
        <v>817</v>
      </c>
      <c r="D48" s="108">
        <v>3</v>
      </c>
      <c r="E48" s="108">
        <v>11</v>
      </c>
      <c r="F48" s="78" t="s">
        <v>1643</v>
      </c>
      <c r="G48" s="78" t="s">
        <v>1690</v>
      </c>
      <c r="H48" s="78" t="s">
        <v>1643</v>
      </c>
      <c r="I48" s="78" t="s">
        <v>1690</v>
      </c>
      <c r="J48" s="78" t="s">
        <v>1643</v>
      </c>
      <c r="K48" s="78" t="s">
        <v>1643</v>
      </c>
      <c r="L48" s="78" t="s">
        <v>1644</v>
      </c>
      <c r="M48" s="78" t="s">
        <v>1643</v>
      </c>
      <c r="N48" s="78" t="s">
        <v>1643</v>
      </c>
    </row>
    <row r="49" spans="1:14" ht="15.75" thickBot="1" x14ac:dyDescent="0.3">
      <c r="A49" s="44" t="s">
        <v>1337</v>
      </c>
      <c r="B49" s="107" t="s">
        <v>1338</v>
      </c>
      <c r="C49" s="78" t="s">
        <v>817</v>
      </c>
      <c r="D49" s="108">
        <v>1</v>
      </c>
      <c r="E49" s="108">
        <v>4</v>
      </c>
      <c r="F49" s="78" t="s">
        <v>1643</v>
      </c>
      <c r="G49" s="78" t="s">
        <v>3453</v>
      </c>
      <c r="H49" s="78" t="s">
        <v>1643</v>
      </c>
      <c r="I49" s="78" t="s">
        <v>3453</v>
      </c>
      <c r="J49" s="78" t="s">
        <v>1644</v>
      </c>
      <c r="K49" s="78" t="s">
        <v>1643</v>
      </c>
      <c r="L49" s="78" t="s">
        <v>1644</v>
      </c>
      <c r="M49" s="78" t="s">
        <v>1643</v>
      </c>
      <c r="N49" s="78" t="s">
        <v>1643</v>
      </c>
    </row>
    <row r="50" spans="1:14" ht="15.75" thickBot="1" x14ac:dyDescent="0.3">
      <c r="A50" s="44" t="s">
        <v>1359</v>
      </c>
      <c r="B50" s="107" t="s">
        <v>1360</v>
      </c>
      <c r="C50" s="78" t="s">
        <v>817</v>
      </c>
      <c r="D50" s="108">
        <v>5</v>
      </c>
      <c r="E50" s="108">
        <v>11</v>
      </c>
      <c r="F50" s="78" t="s">
        <v>1643</v>
      </c>
      <c r="G50" s="78" t="s">
        <v>1747</v>
      </c>
      <c r="H50" s="78" t="s">
        <v>1643</v>
      </c>
      <c r="I50" s="78" t="s">
        <v>1747</v>
      </c>
      <c r="J50" s="78" t="s">
        <v>1643</v>
      </c>
      <c r="K50" s="78" t="s">
        <v>1643</v>
      </c>
      <c r="L50" s="78" t="s">
        <v>1644</v>
      </c>
      <c r="M50" s="78" t="s">
        <v>1644</v>
      </c>
      <c r="N50" s="78" t="s">
        <v>1643</v>
      </c>
    </row>
    <row r="51" spans="1:14" ht="15.75" thickBot="1" x14ac:dyDescent="0.3">
      <c r="A51" s="44" t="s">
        <v>1397</v>
      </c>
      <c r="B51" s="107" t="s">
        <v>1398</v>
      </c>
      <c r="C51" s="78" t="s">
        <v>817</v>
      </c>
      <c r="D51" s="108">
        <v>3</v>
      </c>
      <c r="E51" s="108">
        <v>6</v>
      </c>
      <c r="F51" s="78" t="s">
        <v>1643</v>
      </c>
      <c r="G51" s="78" t="s">
        <v>1826</v>
      </c>
      <c r="H51" s="78" t="s">
        <v>1643</v>
      </c>
      <c r="I51" s="78" t="s">
        <v>1827</v>
      </c>
      <c r="J51" s="78" t="s">
        <v>1643</v>
      </c>
      <c r="K51" s="78" t="s">
        <v>1643</v>
      </c>
      <c r="L51" s="78" t="s">
        <v>1644</v>
      </c>
      <c r="M51" s="78" t="s">
        <v>1643</v>
      </c>
      <c r="N51" s="78" t="s">
        <v>1643</v>
      </c>
    </row>
    <row r="52" spans="1:14" ht="15.75" thickBot="1" x14ac:dyDescent="0.3">
      <c r="A52" s="44" t="s">
        <v>1407</v>
      </c>
      <c r="B52" s="107" t="s">
        <v>1408</v>
      </c>
      <c r="C52" s="78" t="s">
        <v>817</v>
      </c>
      <c r="D52" s="108">
        <v>1</v>
      </c>
      <c r="E52" s="108">
        <v>2</v>
      </c>
      <c r="F52" s="78" t="s">
        <v>1644</v>
      </c>
      <c r="G52" s="78" t="s">
        <v>1951</v>
      </c>
      <c r="H52" s="78" t="s">
        <v>1644</v>
      </c>
      <c r="I52" s="78" t="s">
        <v>1951</v>
      </c>
      <c r="J52" s="78" t="s">
        <v>1644</v>
      </c>
      <c r="K52" s="78" t="s">
        <v>1644</v>
      </c>
      <c r="L52" s="78" t="s">
        <v>1644</v>
      </c>
      <c r="M52" s="78" t="s">
        <v>1644</v>
      </c>
      <c r="N52" s="78" t="s">
        <v>1643</v>
      </c>
    </row>
    <row r="53" spans="1:14" ht="15.75" thickBot="1" x14ac:dyDescent="0.3">
      <c r="A53" s="44" t="s">
        <v>1409</v>
      </c>
      <c r="B53" s="107" t="s">
        <v>1410</v>
      </c>
      <c r="C53" s="78" t="s">
        <v>817</v>
      </c>
      <c r="D53" s="108">
        <v>2</v>
      </c>
      <c r="E53" s="108">
        <v>7</v>
      </c>
      <c r="F53" s="78" t="s">
        <v>1643</v>
      </c>
      <c r="G53" s="78" t="s">
        <v>1830</v>
      </c>
      <c r="H53" s="78" t="s">
        <v>1643</v>
      </c>
      <c r="I53" s="78" t="s">
        <v>1830</v>
      </c>
      <c r="J53" s="78" t="s">
        <v>1643</v>
      </c>
      <c r="K53" s="78" t="s">
        <v>1643</v>
      </c>
      <c r="L53" s="78" t="s">
        <v>1644</v>
      </c>
      <c r="M53" s="78" t="s">
        <v>1644</v>
      </c>
      <c r="N53" s="78" t="s">
        <v>1643</v>
      </c>
    </row>
    <row r="54" spans="1:14" ht="15.75" thickBot="1" x14ac:dyDescent="0.3">
      <c r="A54" s="44" t="s">
        <v>1413</v>
      </c>
      <c r="B54" s="107" t="s">
        <v>1414</v>
      </c>
      <c r="C54" s="78" t="s">
        <v>817</v>
      </c>
      <c r="D54" s="108">
        <v>4</v>
      </c>
      <c r="E54" s="108">
        <v>16</v>
      </c>
      <c r="F54" s="78" t="s">
        <v>1643</v>
      </c>
      <c r="G54" s="78" t="s">
        <v>1702</v>
      </c>
      <c r="H54" s="78" t="s">
        <v>1643</v>
      </c>
      <c r="I54" s="78" t="s">
        <v>1702</v>
      </c>
      <c r="J54" s="78" t="s">
        <v>1644</v>
      </c>
      <c r="K54" s="78" t="s">
        <v>1643</v>
      </c>
      <c r="L54" s="78" t="s">
        <v>1644</v>
      </c>
      <c r="M54" s="78" t="s">
        <v>1644</v>
      </c>
      <c r="N54" s="78" t="s">
        <v>1643</v>
      </c>
    </row>
    <row r="55" spans="1:14" ht="15.75" thickBot="1" x14ac:dyDescent="0.3">
      <c r="A55" s="44" t="s">
        <v>1415</v>
      </c>
      <c r="B55" s="107" t="s">
        <v>1416</v>
      </c>
      <c r="C55" s="78" t="s">
        <v>817</v>
      </c>
      <c r="D55" s="108">
        <v>1</v>
      </c>
      <c r="E55" s="108">
        <v>8</v>
      </c>
      <c r="F55" s="78" t="s">
        <v>1644</v>
      </c>
      <c r="G55" s="78" t="s">
        <v>1951</v>
      </c>
      <c r="H55" s="78" t="s">
        <v>1644</v>
      </c>
      <c r="I55" s="78" t="s">
        <v>1951</v>
      </c>
      <c r="J55" s="78" t="s">
        <v>1644</v>
      </c>
      <c r="K55" s="78" t="s">
        <v>1644</v>
      </c>
      <c r="L55" s="78" t="s">
        <v>1644</v>
      </c>
      <c r="M55" s="78" t="s">
        <v>1644</v>
      </c>
      <c r="N55" s="78" t="s">
        <v>1643</v>
      </c>
    </row>
    <row r="56" spans="1:14" ht="15.75" thickBot="1" x14ac:dyDescent="0.3">
      <c r="A56" s="44" t="s">
        <v>1459</v>
      </c>
      <c r="B56" s="107" t="s">
        <v>1460</v>
      </c>
      <c r="C56" s="78" t="s">
        <v>817</v>
      </c>
      <c r="D56" s="108">
        <v>9</v>
      </c>
      <c r="E56" s="108">
        <v>10</v>
      </c>
      <c r="F56" s="78" t="s">
        <v>1643</v>
      </c>
      <c r="G56" s="78" t="s">
        <v>1837</v>
      </c>
      <c r="H56" s="78" t="s">
        <v>1643</v>
      </c>
      <c r="I56" s="78" t="s">
        <v>1837</v>
      </c>
      <c r="J56" s="78" t="s">
        <v>1643</v>
      </c>
      <c r="K56" s="78" t="s">
        <v>1643</v>
      </c>
      <c r="L56" s="78" t="s">
        <v>1644</v>
      </c>
      <c r="M56" s="78" t="s">
        <v>1644</v>
      </c>
      <c r="N56" s="78" t="s">
        <v>1643</v>
      </c>
    </row>
    <row r="57" spans="1:14" ht="15.75" thickBot="1" x14ac:dyDescent="0.3">
      <c r="A57" s="44" t="s">
        <v>1465</v>
      </c>
      <c r="B57" s="107" t="s">
        <v>1466</v>
      </c>
      <c r="C57" s="78" t="s">
        <v>817</v>
      </c>
      <c r="D57" s="108">
        <v>2</v>
      </c>
      <c r="E57" s="108">
        <v>5</v>
      </c>
      <c r="F57" s="78" t="s">
        <v>1643</v>
      </c>
      <c r="G57" s="78" t="s">
        <v>1702</v>
      </c>
      <c r="H57" s="78" t="s">
        <v>1643</v>
      </c>
      <c r="I57" s="78" t="s">
        <v>1702</v>
      </c>
      <c r="J57" s="78" t="s">
        <v>1643</v>
      </c>
      <c r="K57" s="78" t="s">
        <v>1643</v>
      </c>
      <c r="L57" s="78" t="s">
        <v>1644</v>
      </c>
      <c r="M57" s="78" t="s">
        <v>1644</v>
      </c>
      <c r="N57" s="78" t="s">
        <v>1643</v>
      </c>
    </row>
    <row r="58" spans="1:14" ht="15.75" thickBot="1" x14ac:dyDescent="0.3">
      <c r="A58" s="44" t="s">
        <v>1476</v>
      </c>
      <c r="B58" s="107" t="s">
        <v>1477</v>
      </c>
      <c r="C58" s="78" t="s">
        <v>817</v>
      </c>
      <c r="D58" s="108">
        <v>2</v>
      </c>
      <c r="E58" s="108">
        <v>5</v>
      </c>
      <c r="F58" s="78" t="s">
        <v>1643</v>
      </c>
      <c r="G58" s="78" t="s">
        <v>1766</v>
      </c>
      <c r="H58" s="78" t="s">
        <v>1643</v>
      </c>
      <c r="I58" s="78" t="s">
        <v>1766</v>
      </c>
      <c r="J58" s="78" t="s">
        <v>1643</v>
      </c>
      <c r="K58" s="78" t="s">
        <v>1643</v>
      </c>
      <c r="L58" s="78" t="s">
        <v>1644</v>
      </c>
      <c r="M58" s="78" t="s">
        <v>1644</v>
      </c>
      <c r="N58" s="78" t="s">
        <v>1643</v>
      </c>
    </row>
    <row r="59" spans="1:14" ht="15.75" thickBot="1" x14ac:dyDescent="0.3">
      <c r="A59" s="44" t="s">
        <v>1478</v>
      </c>
      <c r="B59" s="107" t="s">
        <v>1479</v>
      </c>
      <c r="C59" s="78" t="s">
        <v>817</v>
      </c>
      <c r="D59" s="108">
        <v>2</v>
      </c>
      <c r="E59" s="108">
        <v>3</v>
      </c>
      <c r="F59" s="78" t="s">
        <v>1643</v>
      </c>
      <c r="G59" s="78" t="s">
        <v>1841</v>
      </c>
      <c r="H59" s="78" t="s">
        <v>1643</v>
      </c>
      <c r="I59" s="78" t="s">
        <v>1841</v>
      </c>
      <c r="J59" s="78" t="s">
        <v>1643</v>
      </c>
      <c r="K59" s="78" t="s">
        <v>1643</v>
      </c>
      <c r="L59" s="78" t="s">
        <v>1644</v>
      </c>
      <c r="M59" s="78" t="s">
        <v>1644</v>
      </c>
      <c r="N59" s="78" t="s">
        <v>1643</v>
      </c>
    </row>
    <row r="60" spans="1:14" ht="15.75" thickBot="1" x14ac:dyDescent="0.3">
      <c r="A60" s="44" t="s">
        <v>1500</v>
      </c>
      <c r="B60" s="107" t="s">
        <v>1501</v>
      </c>
      <c r="C60" s="78" t="s">
        <v>817</v>
      </c>
      <c r="D60" s="108">
        <v>2</v>
      </c>
      <c r="E60" s="108">
        <v>6</v>
      </c>
      <c r="F60" s="78" t="s">
        <v>1643</v>
      </c>
      <c r="G60" s="78" t="s">
        <v>1684</v>
      </c>
      <c r="H60" s="78" t="s">
        <v>1643</v>
      </c>
      <c r="I60" s="78" t="s">
        <v>1684</v>
      </c>
      <c r="J60" s="78" t="s">
        <v>1643</v>
      </c>
      <c r="K60" s="78" t="s">
        <v>1643</v>
      </c>
      <c r="L60" s="78" t="s">
        <v>1644</v>
      </c>
      <c r="M60" s="78" t="s">
        <v>1644</v>
      </c>
      <c r="N60" s="78" t="s">
        <v>1643</v>
      </c>
    </row>
    <row r="61" spans="1:14" ht="15.75" thickBot="1" x14ac:dyDescent="0.3">
      <c r="A61" s="44" t="s">
        <v>1518</v>
      </c>
      <c r="B61" s="107" t="s">
        <v>1519</v>
      </c>
      <c r="C61" s="78" t="s">
        <v>817</v>
      </c>
      <c r="D61" s="108">
        <v>2</v>
      </c>
      <c r="E61" s="108">
        <v>8</v>
      </c>
      <c r="F61" s="78" t="s">
        <v>1643</v>
      </c>
      <c r="G61" s="78" t="s">
        <v>1709</v>
      </c>
      <c r="H61" s="78" t="s">
        <v>1643</v>
      </c>
      <c r="I61" s="78" t="s">
        <v>1709</v>
      </c>
      <c r="J61" s="78" t="s">
        <v>1643</v>
      </c>
      <c r="K61" s="78" t="s">
        <v>1643</v>
      </c>
      <c r="L61" s="78" t="s">
        <v>1644</v>
      </c>
      <c r="M61" s="78" t="s">
        <v>1644</v>
      </c>
      <c r="N61" s="78" t="s">
        <v>1643</v>
      </c>
    </row>
    <row r="62" spans="1:14" ht="15.75" thickBot="1" x14ac:dyDescent="0.3">
      <c r="A62" s="44" t="s">
        <v>1536</v>
      </c>
      <c r="B62" s="107" t="s">
        <v>1537</v>
      </c>
      <c r="C62" s="78" t="s">
        <v>817</v>
      </c>
      <c r="D62" s="108">
        <v>2</v>
      </c>
      <c r="E62" s="108">
        <v>5</v>
      </c>
      <c r="F62" s="78" t="s">
        <v>1643</v>
      </c>
      <c r="G62" s="78" t="s">
        <v>1848</v>
      </c>
      <c r="H62" s="78" t="s">
        <v>1643</v>
      </c>
      <c r="I62" s="78" t="s">
        <v>1848</v>
      </c>
      <c r="J62" s="78" t="s">
        <v>1644</v>
      </c>
      <c r="K62" s="78" t="s">
        <v>1644</v>
      </c>
      <c r="L62" s="78" t="s">
        <v>1644</v>
      </c>
      <c r="M62" s="78" t="s">
        <v>1644</v>
      </c>
      <c r="N62" s="78" t="s">
        <v>1643</v>
      </c>
    </row>
    <row r="63" spans="1:14" ht="15.75" thickBot="1" x14ac:dyDescent="0.3">
      <c r="A63" s="44" t="s">
        <v>1548</v>
      </c>
      <c r="B63" s="107" t="s">
        <v>1549</v>
      </c>
      <c r="C63" s="78" t="s">
        <v>817</v>
      </c>
      <c r="D63" s="108">
        <v>4</v>
      </c>
      <c r="E63" s="108">
        <v>10</v>
      </c>
      <c r="F63" s="78" t="s">
        <v>1643</v>
      </c>
      <c r="G63" s="78" t="s">
        <v>1851</v>
      </c>
      <c r="H63" s="78" t="s">
        <v>1643</v>
      </c>
      <c r="I63" s="78" t="s">
        <v>1852</v>
      </c>
      <c r="J63" s="78" t="s">
        <v>1643</v>
      </c>
      <c r="K63" s="78" t="s">
        <v>1643</v>
      </c>
      <c r="L63" s="78" t="s">
        <v>1644</v>
      </c>
      <c r="M63" s="78" t="s">
        <v>1644</v>
      </c>
      <c r="N63" s="78" t="s">
        <v>1643</v>
      </c>
    </row>
    <row r="64" spans="1:14" ht="15.75" thickBot="1" x14ac:dyDescent="0.3">
      <c r="A64" s="44" t="s">
        <v>1554</v>
      </c>
      <c r="B64" s="107" t="s">
        <v>1555</v>
      </c>
      <c r="C64" s="78" t="s">
        <v>817</v>
      </c>
      <c r="D64" s="108">
        <v>2</v>
      </c>
      <c r="E64" s="108">
        <v>7</v>
      </c>
      <c r="F64" s="78" t="s">
        <v>1643</v>
      </c>
      <c r="G64" s="78" t="s">
        <v>1690</v>
      </c>
      <c r="H64" s="78" t="s">
        <v>1643</v>
      </c>
      <c r="I64" s="78" t="s">
        <v>1690</v>
      </c>
      <c r="J64" s="78" t="s">
        <v>1643</v>
      </c>
      <c r="K64" s="78" t="s">
        <v>1643</v>
      </c>
      <c r="L64" s="78" t="s">
        <v>1644</v>
      </c>
      <c r="M64" s="78" t="s">
        <v>1643</v>
      </c>
      <c r="N64" s="78" t="s">
        <v>1643</v>
      </c>
    </row>
    <row r="65" spans="1:14" ht="15.75" thickBot="1" x14ac:dyDescent="0.3">
      <c r="A65" s="44" t="s">
        <v>1556</v>
      </c>
      <c r="B65" s="107" t="s">
        <v>1557</v>
      </c>
      <c r="C65" s="78" t="s">
        <v>817</v>
      </c>
      <c r="D65" s="108">
        <v>2</v>
      </c>
      <c r="E65" s="108">
        <v>8</v>
      </c>
      <c r="F65" s="78" t="s">
        <v>1643</v>
      </c>
      <c r="G65" s="78" t="s">
        <v>1855</v>
      </c>
      <c r="H65" s="78" t="s">
        <v>1643</v>
      </c>
      <c r="I65" s="78" t="s">
        <v>3453</v>
      </c>
      <c r="J65" s="78" t="s">
        <v>1644</v>
      </c>
      <c r="K65" s="78" t="s">
        <v>1644</v>
      </c>
      <c r="L65" s="78" t="s">
        <v>1644</v>
      </c>
      <c r="M65" s="78" t="s">
        <v>1644</v>
      </c>
      <c r="N65" s="78" t="s">
        <v>1643</v>
      </c>
    </row>
    <row r="66" spans="1:14" ht="15.75" thickBot="1" x14ac:dyDescent="0.3">
      <c r="A66" s="44" t="s">
        <v>1558</v>
      </c>
      <c r="B66" s="107" t="s">
        <v>1559</v>
      </c>
      <c r="C66" s="78" t="s">
        <v>817</v>
      </c>
      <c r="D66" s="108">
        <v>1</v>
      </c>
      <c r="E66" s="108">
        <v>2</v>
      </c>
      <c r="F66" s="78" t="s">
        <v>1643</v>
      </c>
      <c r="G66" s="78" t="s">
        <v>1685</v>
      </c>
      <c r="H66" s="78" t="s">
        <v>1643</v>
      </c>
      <c r="I66" s="78" t="s">
        <v>1685</v>
      </c>
      <c r="J66" s="78" t="s">
        <v>1644</v>
      </c>
      <c r="K66" s="78" t="s">
        <v>1644</v>
      </c>
      <c r="L66" s="78" t="s">
        <v>1643</v>
      </c>
      <c r="M66" s="78" t="s">
        <v>1644</v>
      </c>
      <c r="N66" s="78" t="s">
        <v>1643</v>
      </c>
    </row>
    <row r="67" spans="1:14" ht="15.75" thickBot="1" x14ac:dyDescent="0.3">
      <c r="A67" s="44" t="s">
        <v>1568</v>
      </c>
      <c r="B67" s="107" t="s">
        <v>1569</v>
      </c>
      <c r="C67" s="78" t="s">
        <v>817</v>
      </c>
      <c r="D67" s="108">
        <v>1</v>
      </c>
      <c r="E67" s="108">
        <v>2</v>
      </c>
      <c r="F67" s="78" t="s">
        <v>1644</v>
      </c>
      <c r="G67" s="78" t="s">
        <v>1951</v>
      </c>
      <c r="H67" s="78" t="s">
        <v>1643</v>
      </c>
      <c r="I67" s="78" t="s">
        <v>3453</v>
      </c>
      <c r="J67" s="78" t="s">
        <v>1644</v>
      </c>
      <c r="K67" s="78" t="s">
        <v>1644</v>
      </c>
      <c r="L67" s="78" t="s">
        <v>1644</v>
      </c>
      <c r="M67" s="78" t="s">
        <v>1644</v>
      </c>
      <c r="N67" s="78" t="s">
        <v>1643</v>
      </c>
    </row>
    <row r="68" spans="1:14" ht="15.75" thickBot="1" x14ac:dyDescent="0.3">
      <c r="A68" s="44" t="s">
        <v>1580</v>
      </c>
      <c r="B68" s="107" t="s">
        <v>1581</v>
      </c>
      <c r="C68" s="78" t="s">
        <v>817</v>
      </c>
      <c r="D68" s="108">
        <v>2</v>
      </c>
      <c r="E68" s="108">
        <v>4</v>
      </c>
      <c r="F68" s="78" t="s">
        <v>1644</v>
      </c>
      <c r="G68" s="78" t="s">
        <v>1951</v>
      </c>
      <c r="H68" s="78" t="s">
        <v>1644</v>
      </c>
      <c r="I68" s="78" t="s">
        <v>1951</v>
      </c>
      <c r="J68" s="78" t="s">
        <v>1644</v>
      </c>
      <c r="K68" s="78" t="s">
        <v>1644</v>
      </c>
      <c r="L68" s="78" t="s">
        <v>1644</v>
      </c>
      <c r="M68" s="78" t="s">
        <v>1644</v>
      </c>
      <c r="N68" s="78" t="s">
        <v>1643</v>
      </c>
    </row>
    <row r="69" spans="1:14" ht="15.75" thickBot="1" x14ac:dyDescent="0.3">
      <c r="A69" s="44" t="s">
        <v>1592</v>
      </c>
      <c r="B69" s="107" t="s">
        <v>1593</v>
      </c>
      <c r="C69" s="78" t="s">
        <v>817</v>
      </c>
      <c r="D69" s="108">
        <v>2</v>
      </c>
      <c r="E69" s="108">
        <v>4</v>
      </c>
      <c r="F69" s="78" t="s">
        <v>1643</v>
      </c>
      <c r="G69" s="78" t="s">
        <v>1681</v>
      </c>
      <c r="H69" s="78" t="s">
        <v>1643</v>
      </c>
      <c r="I69" s="78" t="s">
        <v>3453</v>
      </c>
      <c r="J69" s="78" t="s">
        <v>1644</v>
      </c>
      <c r="K69" s="78" t="s">
        <v>1643</v>
      </c>
      <c r="L69" s="78" t="s">
        <v>1644</v>
      </c>
      <c r="M69" s="78" t="s">
        <v>1643</v>
      </c>
      <c r="N69" s="78" t="s">
        <v>1643</v>
      </c>
    </row>
    <row r="70" spans="1:14" ht="15.75" thickBot="1" x14ac:dyDescent="0.3">
      <c r="A70" s="44" t="s">
        <v>1600</v>
      </c>
      <c r="B70" s="107" t="s">
        <v>1601</v>
      </c>
      <c r="C70" s="78" t="s">
        <v>817</v>
      </c>
      <c r="D70" s="108">
        <v>3</v>
      </c>
      <c r="E70" s="108">
        <v>4</v>
      </c>
      <c r="F70" s="78" t="s">
        <v>1643</v>
      </c>
      <c r="G70" s="78" t="s">
        <v>1862</v>
      </c>
      <c r="H70" s="78" t="s">
        <v>1643</v>
      </c>
      <c r="I70" s="78" t="s">
        <v>1862</v>
      </c>
      <c r="J70" s="78" t="s">
        <v>1644</v>
      </c>
      <c r="K70" s="78" t="s">
        <v>1644</v>
      </c>
      <c r="L70" s="78" t="s">
        <v>1644</v>
      </c>
      <c r="M70" s="78" t="s">
        <v>1644</v>
      </c>
      <c r="N70" s="78" t="s">
        <v>1644</v>
      </c>
    </row>
    <row r="71" spans="1:14" ht="15.75" thickBot="1" x14ac:dyDescent="0.3">
      <c r="A71" s="44" t="s">
        <v>796</v>
      </c>
      <c r="B71" s="107" t="s">
        <v>797</v>
      </c>
      <c r="C71" s="78" t="s">
        <v>798</v>
      </c>
      <c r="D71" s="108">
        <v>4</v>
      </c>
      <c r="E71" s="108">
        <v>6</v>
      </c>
      <c r="F71" s="78" t="s">
        <v>1643</v>
      </c>
      <c r="G71" s="78" t="s">
        <v>1678</v>
      </c>
      <c r="H71" s="78" t="s">
        <v>1643</v>
      </c>
      <c r="I71" s="78" t="s">
        <v>1678</v>
      </c>
      <c r="J71" s="78" t="s">
        <v>1643</v>
      </c>
      <c r="K71" s="78" t="s">
        <v>1643</v>
      </c>
      <c r="L71" s="78" t="s">
        <v>1644</v>
      </c>
      <c r="M71" s="78" t="s">
        <v>1643</v>
      </c>
      <c r="N71" s="78" t="s">
        <v>1643</v>
      </c>
    </row>
    <row r="72" spans="1:14" ht="15.75" thickBot="1" x14ac:dyDescent="0.3">
      <c r="A72" s="44" t="s">
        <v>827</v>
      </c>
      <c r="B72" s="107" t="s">
        <v>828</v>
      </c>
      <c r="C72" s="78" t="s">
        <v>798</v>
      </c>
      <c r="D72" s="108">
        <v>8</v>
      </c>
      <c r="E72" s="108">
        <v>12</v>
      </c>
      <c r="F72" s="78" t="s">
        <v>1643</v>
      </c>
      <c r="G72" s="78" t="s">
        <v>1689</v>
      </c>
      <c r="H72" s="78" t="s">
        <v>1643</v>
      </c>
      <c r="I72" s="78" t="s">
        <v>1689</v>
      </c>
      <c r="J72" s="78" t="s">
        <v>1643</v>
      </c>
      <c r="K72" s="78" t="s">
        <v>1643</v>
      </c>
      <c r="L72" s="78" t="s">
        <v>1644</v>
      </c>
      <c r="M72" s="78" t="s">
        <v>1643</v>
      </c>
      <c r="N72" s="78" t="s">
        <v>1643</v>
      </c>
    </row>
    <row r="73" spans="1:14" ht="15.75" thickBot="1" x14ac:dyDescent="0.3">
      <c r="A73" s="44" t="s">
        <v>838</v>
      </c>
      <c r="B73" s="107" t="s">
        <v>839</v>
      </c>
      <c r="C73" s="78" t="s">
        <v>798</v>
      </c>
      <c r="D73" s="108">
        <v>7</v>
      </c>
      <c r="E73" s="108">
        <v>10</v>
      </c>
      <c r="F73" s="78" t="s">
        <v>1643</v>
      </c>
      <c r="G73" s="78" t="s">
        <v>3453</v>
      </c>
      <c r="H73" s="78" t="s">
        <v>1643</v>
      </c>
      <c r="I73" s="78" t="s">
        <v>3453</v>
      </c>
      <c r="J73" s="78" t="s">
        <v>1643</v>
      </c>
      <c r="K73" s="78" t="s">
        <v>1643</v>
      </c>
      <c r="L73" s="78" t="s">
        <v>1644</v>
      </c>
      <c r="M73" s="78" t="s">
        <v>1643</v>
      </c>
      <c r="N73" s="78" t="s">
        <v>1643</v>
      </c>
    </row>
    <row r="74" spans="1:14" ht="15.75" thickBot="1" x14ac:dyDescent="0.3">
      <c r="A74" s="44" t="s">
        <v>842</v>
      </c>
      <c r="B74" s="107" t="s">
        <v>843</v>
      </c>
      <c r="C74" s="78" t="s">
        <v>798</v>
      </c>
      <c r="D74" s="108">
        <v>2</v>
      </c>
      <c r="E74" s="108">
        <v>6</v>
      </c>
      <c r="F74" s="78" t="s">
        <v>1643</v>
      </c>
      <c r="G74" s="78" t="s">
        <v>1697</v>
      </c>
      <c r="H74" s="78" t="s">
        <v>1643</v>
      </c>
      <c r="I74" s="78" t="s">
        <v>1697</v>
      </c>
      <c r="J74" s="78" t="s">
        <v>1643</v>
      </c>
      <c r="K74" s="78" t="s">
        <v>1643</v>
      </c>
      <c r="L74" s="78" t="s">
        <v>1644</v>
      </c>
      <c r="M74" s="78" t="s">
        <v>1643</v>
      </c>
      <c r="N74" s="78" t="s">
        <v>1643</v>
      </c>
    </row>
    <row r="75" spans="1:14" ht="15.75" thickBot="1" x14ac:dyDescent="0.3">
      <c r="A75" s="44" t="s">
        <v>853</v>
      </c>
      <c r="B75" s="107" t="s">
        <v>854</v>
      </c>
      <c r="C75" s="78" t="s">
        <v>798</v>
      </c>
      <c r="D75" s="108">
        <v>6</v>
      </c>
      <c r="E75" s="108">
        <v>13</v>
      </c>
      <c r="F75" s="78" t="s">
        <v>1643</v>
      </c>
      <c r="G75" s="78" t="s">
        <v>1702</v>
      </c>
      <c r="H75" s="78" t="s">
        <v>1643</v>
      </c>
      <c r="I75" s="78" t="s">
        <v>1702</v>
      </c>
      <c r="J75" s="78" t="s">
        <v>1643</v>
      </c>
      <c r="K75" s="78" t="s">
        <v>1643</v>
      </c>
      <c r="L75" s="78" t="s">
        <v>1644</v>
      </c>
      <c r="M75" s="78" t="s">
        <v>1644</v>
      </c>
      <c r="N75" s="78" t="s">
        <v>1643</v>
      </c>
    </row>
    <row r="76" spans="1:14" ht="15.75" thickBot="1" x14ac:dyDescent="0.3">
      <c r="A76" s="44" t="s">
        <v>857</v>
      </c>
      <c r="B76" s="107" t="s">
        <v>858</v>
      </c>
      <c r="C76" s="78" t="s">
        <v>798</v>
      </c>
      <c r="D76" s="108">
        <v>5</v>
      </c>
      <c r="E76" s="108">
        <v>15</v>
      </c>
      <c r="F76" s="78" t="s">
        <v>1643</v>
      </c>
      <c r="G76" s="78" t="s">
        <v>1704</v>
      </c>
      <c r="H76" s="78" t="s">
        <v>1643</v>
      </c>
      <c r="I76" s="78" t="s">
        <v>1704</v>
      </c>
      <c r="J76" s="78" t="s">
        <v>1643</v>
      </c>
      <c r="K76" s="78" t="s">
        <v>1643</v>
      </c>
      <c r="L76" s="78" t="s">
        <v>1644</v>
      </c>
      <c r="M76" s="78" t="s">
        <v>1643</v>
      </c>
      <c r="N76" s="78" t="s">
        <v>1643</v>
      </c>
    </row>
    <row r="77" spans="1:14" ht="15.75" thickBot="1" x14ac:dyDescent="0.3">
      <c r="A77" s="44" t="s">
        <v>881</v>
      </c>
      <c r="B77" s="107" t="s">
        <v>882</v>
      </c>
      <c r="C77" s="78" t="s">
        <v>798</v>
      </c>
      <c r="D77" s="108">
        <v>2</v>
      </c>
      <c r="E77" s="108">
        <v>6</v>
      </c>
      <c r="F77" s="78" t="s">
        <v>1643</v>
      </c>
      <c r="G77" s="78" t="s">
        <v>1690</v>
      </c>
      <c r="H77" s="78" t="s">
        <v>1643</v>
      </c>
      <c r="I77" s="78" t="s">
        <v>1712</v>
      </c>
      <c r="J77" s="78" t="s">
        <v>1643</v>
      </c>
      <c r="K77" s="78" t="s">
        <v>1643</v>
      </c>
      <c r="L77" s="78" t="s">
        <v>1644</v>
      </c>
      <c r="M77" s="78" t="s">
        <v>1643</v>
      </c>
      <c r="N77" s="78" t="s">
        <v>1643</v>
      </c>
    </row>
    <row r="78" spans="1:14" ht="15.75" thickBot="1" x14ac:dyDescent="0.3">
      <c r="A78" s="44" t="s">
        <v>903</v>
      </c>
      <c r="B78" s="107" t="s">
        <v>904</v>
      </c>
      <c r="C78" s="78" t="s">
        <v>798</v>
      </c>
      <c r="D78" s="108">
        <v>13</v>
      </c>
      <c r="E78" s="108">
        <v>14</v>
      </c>
      <c r="F78" s="78" t="s">
        <v>1643</v>
      </c>
      <c r="G78" s="78" t="s">
        <v>1701</v>
      </c>
      <c r="H78" s="78" t="s">
        <v>1643</v>
      </c>
      <c r="I78" s="78" t="s">
        <v>1701</v>
      </c>
      <c r="J78" s="78" t="s">
        <v>1643</v>
      </c>
      <c r="K78" s="78" t="s">
        <v>1643</v>
      </c>
      <c r="L78" s="78" t="s">
        <v>1644</v>
      </c>
      <c r="M78" s="78" t="s">
        <v>1643</v>
      </c>
      <c r="N78" s="78" t="s">
        <v>1643</v>
      </c>
    </row>
    <row r="79" spans="1:14" ht="15.75" thickBot="1" x14ac:dyDescent="0.3">
      <c r="A79" s="44" t="s">
        <v>909</v>
      </c>
      <c r="B79" s="107" t="s">
        <v>910</v>
      </c>
      <c r="C79" s="78" t="s">
        <v>798</v>
      </c>
      <c r="D79" s="108">
        <v>1</v>
      </c>
      <c r="E79" s="108">
        <v>3</v>
      </c>
      <c r="F79" s="78" t="s">
        <v>1644</v>
      </c>
      <c r="G79" s="78" t="s">
        <v>1951</v>
      </c>
      <c r="H79" s="78" t="s">
        <v>1644</v>
      </c>
      <c r="I79" s="78" t="s">
        <v>1951</v>
      </c>
      <c r="J79" s="78" t="s">
        <v>1643</v>
      </c>
      <c r="K79" s="78" t="s">
        <v>1644</v>
      </c>
      <c r="L79" s="78" t="s">
        <v>1644</v>
      </c>
      <c r="M79" s="78" t="s">
        <v>1644</v>
      </c>
      <c r="N79" s="78" t="s">
        <v>1643</v>
      </c>
    </row>
    <row r="80" spans="1:14" ht="15.75" thickBot="1" x14ac:dyDescent="0.3">
      <c r="A80" s="44" t="s">
        <v>921</v>
      </c>
      <c r="B80" s="107" t="s">
        <v>922</v>
      </c>
      <c r="C80" s="78" t="s">
        <v>798</v>
      </c>
      <c r="D80" s="108">
        <v>2</v>
      </c>
      <c r="E80" s="108">
        <v>8</v>
      </c>
      <c r="F80" s="78" t="s">
        <v>1643</v>
      </c>
      <c r="G80" s="78" t="s">
        <v>1697</v>
      </c>
      <c r="H80" s="78" t="s">
        <v>1643</v>
      </c>
      <c r="I80" s="78" t="s">
        <v>1697</v>
      </c>
      <c r="J80" s="78" t="s">
        <v>1643</v>
      </c>
      <c r="K80" s="78" t="s">
        <v>1643</v>
      </c>
      <c r="L80" s="78" t="s">
        <v>1644</v>
      </c>
      <c r="M80" s="78" t="s">
        <v>1644</v>
      </c>
      <c r="N80" s="78" t="s">
        <v>1643</v>
      </c>
    </row>
    <row r="81" spans="1:14" ht="15.75" thickBot="1" x14ac:dyDescent="0.3">
      <c r="A81" s="44" t="s">
        <v>963</v>
      </c>
      <c r="B81" s="107" t="s">
        <v>964</v>
      </c>
      <c r="C81" s="78" t="s">
        <v>798</v>
      </c>
      <c r="D81" s="108">
        <v>5</v>
      </c>
      <c r="E81" s="108">
        <v>9</v>
      </c>
      <c r="F81" s="78" t="s">
        <v>1643</v>
      </c>
      <c r="G81" s="78" t="s">
        <v>1688</v>
      </c>
      <c r="H81" s="78" t="s">
        <v>1643</v>
      </c>
      <c r="I81" s="78" t="s">
        <v>1736</v>
      </c>
      <c r="J81" s="78" t="s">
        <v>1643</v>
      </c>
      <c r="K81" s="78" t="s">
        <v>1643</v>
      </c>
      <c r="L81" s="78" t="s">
        <v>1644</v>
      </c>
      <c r="M81" s="78" t="s">
        <v>1643</v>
      </c>
      <c r="N81" s="78" t="s">
        <v>1643</v>
      </c>
    </row>
    <row r="82" spans="1:14" ht="15.75" thickBot="1" x14ac:dyDescent="0.3">
      <c r="A82" s="44" t="s">
        <v>977</v>
      </c>
      <c r="B82" s="107" t="s">
        <v>978</v>
      </c>
      <c r="C82" s="78" t="s">
        <v>798</v>
      </c>
      <c r="D82" s="108">
        <v>4</v>
      </c>
      <c r="E82" s="108">
        <v>13</v>
      </c>
      <c r="F82" s="78" t="s">
        <v>1643</v>
      </c>
      <c r="G82" s="78" t="s">
        <v>1743</v>
      </c>
      <c r="H82" s="78" t="s">
        <v>1643</v>
      </c>
      <c r="I82" s="78" t="s">
        <v>1744</v>
      </c>
      <c r="J82" s="78" t="s">
        <v>1643</v>
      </c>
      <c r="K82" s="78" t="s">
        <v>1643</v>
      </c>
      <c r="L82" s="78" t="s">
        <v>1644</v>
      </c>
      <c r="M82" s="78" t="s">
        <v>1644</v>
      </c>
      <c r="N82" s="78" t="s">
        <v>1643</v>
      </c>
    </row>
    <row r="83" spans="1:14" ht="15.75" thickBot="1" x14ac:dyDescent="0.3">
      <c r="A83" s="44" t="s">
        <v>999</v>
      </c>
      <c r="B83" s="107" t="s">
        <v>1000</v>
      </c>
      <c r="C83" s="78" t="s">
        <v>798</v>
      </c>
      <c r="D83" s="108">
        <v>4</v>
      </c>
      <c r="E83" s="108">
        <v>4</v>
      </c>
      <c r="F83" s="78" t="s">
        <v>1643</v>
      </c>
      <c r="G83" s="78" t="s">
        <v>1700</v>
      </c>
      <c r="H83" s="78" t="s">
        <v>1643</v>
      </c>
      <c r="I83" s="78" t="s">
        <v>1748</v>
      </c>
      <c r="J83" s="78" t="s">
        <v>1643</v>
      </c>
      <c r="K83" s="78" t="s">
        <v>1643</v>
      </c>
      <c r="L83" s="78" t="s">
        <v>1644</v>
      </c>
      <c r="M83" s="78" t="s">
        <v>1644</v>
      </c>
      <c r="N83" s="78" t="s">
        <v>1643</v>
      </c>
    </row>
    <row r="84" spans="1:14" ht="15.75" thickBot="1" x14ac:dyDescent="0.3">
      <c r="A84" s="44" t="s">
        <v>1013</v>
      </c>
      <c r="B84" s="107" t="s">
        <v>1014</v>
      </c>
      <c r="C84" s="78" t="s">
        <v>798</v>
      </c>
      <c r="D84" s="108">
        <v>2</v>
      </c>
      <c r="E84" s="108">
        <v>5</v>
      </c>
      <c r="F84" s="78" t="s">
        <v>1643</v>
      </c>
      <c r="G84" s="78" t="s">
        <v>1753</v>
      </c>
      <c r="H84" s="78" t="s">
        <v>1643</v>
      </c>
      <c r="I84" s="78" t="s">
        <v>1753</v>
      </c>
      <c r="J84" s="78" t="s">
        <v>1643</v>
      </c>
      <c r="K84" s="78" t="s">
        <v>1643</v>
      </c>
      <c r="L84" s="78" t="s">
        <v>1644</v>
      </c>
      <c r="M84" s="78" t="s">
        <v>1644</v>
      </c>
      <c r="N84" s="78" t="s">
        <v>1643</v>
      </c>
    </row>
    <row r="85" spans="1:14" ht="15.75" thickBot="1" x14ac:dyDescent="0.3">
      <c r="A85" s="44" t="s">
        <v>1019</v>
      </c>
      <c r="B85" s="107" t="s">
        <v>1020</v>
      </c>
      <c r="C85" s="78" t="s">
        <v>798</v>
      </c>
      <c r="D85" s="108">
        <v>3</v>
      </c>
      <c r="E85" s="108">
        <v>6</v>
      </c>
      <c r="F85" s="78" t="s">
        <v>1643</v>
      </c>
      <c r="G85" s="78" t="s">
        <v>1679</v>
      </c>
      <c r="H85" s="78" t="s">
        <v>1643</v>
      </c>
      <c r="I85" s="78" t="s">
        <v>1679</v>
      </c>
      <c r="J85" s="78" t="s">
        <v>1643</v>
      </c>
      <c r="K85" s="78" t="s">
        <v>1643</v>
      </c>
      <c r="L85" s="78" t="s">
        <v>1644</v>
      </c>
      <c r="M85" s="78" t="s">
        <v>1644</v>
      </c>
      <c r="N85" s="78" t="s">
        <v>1643</v>
      </c>
    </row>
    <row r="86" spans="1:14" ht="15.75" thickBot="1" x14ac:dyDescent="0.3">
      <c r="A86" s="44" t="s">
        <v>1021</v>
      </c>
      <c r="B86" s="107" t="s">
        <v>1022</v>
      </c>
      <c r="C86" s="78" t="s">
        <v>798</v>
      </c>
      <c r="D86" s="108">
        <v>6</v>
      </c>
      <c r="E86" s="108">
        <v>10</v>
      </c>
      <c r="F86" s="78" t="s">
        <v>1643</v>
      </c>
      <c r="G86" s="78" t="s">
        <v>1755</v>
      </c>
      <c r="H86" s="78" t="s">
        <v>1643</v>
      </c>
      <c r="I86" s="78" t="s">
        <v>1755</v>
      </c>
      <c r="J86" s="78" t="s">
        <v>1643</v>
      </c>
      <c r="K86" s="78" t="s">
        <v>1643</v>
      </c>
      <c r="L86" s="78" t="s">
        <v>1644</v>
      </c>
      <c r="M86" s="78" t="s">
        <v>1643</v>
      </c>
      <c r="N86" s="78" t="s">
        <v>1643</v>
      </c>
    </row>
    <row r="87" spans="1:14" ht="15.75" thickBot="1" x14ac:dyDescent="0.3">
      <c r="A87" s="44" t="s">
        <v>1035</v>
      </c>
      <c r="B87" s="107" t="s">
        <v>1036</v>
      </c>
      <c r="C87" s="78" t="s">
        <v>798</v>
      </c>
      <c r="D87" s="108">
        <v>6</v>
      </c>
      <c r="E87" s="108">
        <v>9</v>
      </c>
      <c r="F87" s="78" t="s">
        <v>1643</v>
      </c>
      <c r="G87" s="78" t="s">
        <v>1684</v>
      </c>
      <c r="H87" s="78" t="s">
        <v>1643</v>
      </c>
      <c r="I87" s="78" t="s">
        <v>1684</v>
      </c>
      <c r="J87" s="78" t="s">
        <v>1643</v>
      </c>
      <c r="K87" s="78" t="s">
        <v>1643</v>
      </c>
      <c r="L87" s="78" t="s">
        <v>1644</v>
      </c>
      <c r="M87" s="78" t="s">
        <v>1644</v>
      </c>
      <c r="N87" s="78" t="s">
        <v>1643</v>
      </c>
    </row>
    <row r="88" spans="1:14" ht="15.75" thickBot="1" x14ac:dyDescent="0.3">
      <c r="A88" s="44" t="s">
        <v>1065</v>
      </c>
      <c r="B88" s="107" t="s">
        <v>1066</v>
      </c>
      <c r="C88" s="78" t="s">
        <v>798</v>
      </c>
      <c r="D88" s="108">
        <v>4</v>
      </c>
      <c r="E88" s="108">
        <v>11</v>
      </c>
      <c r="F88" s="78" t="s">
        <v>1643</v>
      </c>
      <c r="G88" s="78" t="s">
        <v>1690</v>
      </c>
      <c r="H88" s="78" t="s">
        <v>1643</v>
      </c>
      <c r="I88" s="78" t="s">
        <v>1690</v>
      </c>
      <c r="J88" s="78" t="s">
        <v>1643</v>
      </c>
      <c r="K88" s="78" t="s">
        <v>1643</v>
      </c>
      <c r="L88" s="78" t="s">
        <v>1644</v>
      </c>
      <c r="M88" s="78" t="s">
        <v>1643</v>
      </c>
      <c r="N88" s="78" t="s">
        <v>1643</v>
      </c>
    </row>
    <row r="89" spans="1:14" ht="15.75" thickBot="1" x14ac:dyDescent="0.3">
      <c r="A89" s="44" t="s">
        <v>1075</v>
      </c>
      <c r="B89" s="107" t="s">
        <v>1076</v>
      </c>
      <c r="C89" s="78" t="s">
        <v>798</v>
      </c>
      <c r="D89" s="108">
        <v>3</v>
      </c>
      <c r="E89" s="108">
        <v>4</v>
      </c>
      <c r="F89" s="78" t="s">
        <v>1643</v>
      </c>
      <c r="G89" s="78" t="s">
        <v>1764</v>
      </c>
      <c r="H89" s="78" t="s">
        <v>1643</v>
      </c>
      <c r="I89" s="78" t="s">
        <v>1724</v>
      </c>
      <c r="J89" s="78" t="s">
        <v>1643</v>
      </c>
      <c r="K89" s="78" t="s">
        <v>1643</v>
      </c>
      <c r="L89" s="78" t="s">
        <v>1644</v>
      </c>
      <c r="M89" s="78" t="s">
        <v>1643</v>
      </c>
      <c r="N89" s="78" t="s">
        <v>1643</v>
      </c>
    </row>
    <row r="90" spans="1:14" ht="15.75" thickBot="1" x14ac:dyDescent="0.3">
      <c r="A90" s="44" t="s">
        <v>1119</v>
      </c>
      <c r="B90" s="107" t="s">
        <v>1120</v>
      </c>
      <c r="C90" s="78" t="s">
        <v>798</v>
      </c>
      <c r="D90" s="108">
        <v>3</v>
      </c>
      <c r="E90" s="108">
        <v>10</v>
      </c>
      <c r="F90" s="78" t="s">
        <v>1643</v>
      </c>
      <c r="G90" s="78" t="s">
        <v>1700</v>
      </c>
      <c r="H90" s="78" t="s">
        <v>1643</v>
      </c>
      <c r="I90" s="78" t="s">
        <v>1700</v>
      </c>
      <c r="J90" s="78" t="s">
        <v>1643</v>
      </c>
      <c r="K90" s="78" t="s">
        <v>1643</v>
      </c>
      <c r="L90" s="78" t="s">
        <v>1644</v>
      </c>
      <c r="M90" s="78" t="s">
        <v>1644</v>
      </c>
      <c r="N90" s="78" t="s">
        <v>1643</v>
      </c>
    </row>
    <row r="91" spans="1:14" ht="15.75" thickBot="1" x14ac:dyDescent="0.3">
      <c r="A91" s="44" t="s">
        <v>1129</v>
      </c>
      <c r="B91" s="107" t="s">
        <v>1130</v>
      </c>
      <c r="C91" s="78" t="s">
        <v>798</v>
      </c>
      <c r="D91" s="108">
        <v>6</v>
      </c>
      <c r="E91" s="108">
        <v>16</v>
      </c>
      <c r="F91" s="78" t="s">
        <v>1643</v>
      </c>
      <c r="G91" s="78" t="s">
        <v>1776</v>
      </c>
      <c r="H91" s="78" t="s">
        <v>1643</v>
      </c>
      <c r="I91" s="78" t="s">
        <v>1777</v>
      </c>
      <c r="J91" s="78" t="s">
        <v>1643</v>
      </c>
      <c r="K91" s="78" t="s">
        <v>1643</v>
      </c>
      <c r="L91" s="78" t="s">
        <v>1644</v>
      </c>
      <c r="M91" s="78" t="s">
        <v>1644</v>
      </c>
      <c r="N91" s="78" t="s">
        <v>1643</v>
      </c>
    </row>
    <row r="92" spans="1:14" ht="15.75" thickBot="1" x14ac:dyDescent="0.3">
      <c r="A92" s="44" t="s">
        <v>1139</v>
      </c>
      <c r="B92" s="107" t="s">
        <v>1140</v>
      </c>
      <c r="C92" s="78" t="s">
        <v>798</v>
      </c>
      <c r="D92" s="108">
        <v>7</v>
      </c>
      <c r="E92" s="108">
        <v>17</v>
      </c>
      <c r="F92" s="78" t="s">
        <v>1643</v>
      </c>
      <c r="G92" s="78" t="s">
        <v>3453</v>
      </c>
      <c r="H92" s="78" t="s">
        <v>1643</v>
      </c>
      <c r="I92" s="78" t="s">
        <v>3453</v>
      </c>
      <c r="J92" s="78" t="s">
        <v>1643</v>
      </c>
      <c r="K92" s="78" t="s">
        <v>1643</v>
      </c>
      <c r="L92" s="78" t="s">
        <v>1643</v>
      </c>
      <c r="M92" s="78" t="s">
        <v>1643</v>
      </c>
      <c r="N92" s="78" t="s">
        <v>1643</v>
      </c>
    </row>
    <row r="93" spans="1:14" ht="15.75" thickBot="1" x14ac:dyDescent="0.3">
      <c r="A93" s="44" t="s">
        <v>1147</v>
      </c>
      <c r="B93" s="107" t="s">
        <v>1148</v>
      </c>
      <c r="C93" s="78" t="s">
        <v>798</v>
      </c>
      <c r="D93" s="108">
        <v>2</v>
      </c>
      <c r="E93" s="108">
        <v>9</v>
      </c>
      <c r="F93" s="78" t="s">
        <v>1643</v>
      </c>
      <c r="G93" s="78" t="s">
        <v>1691</v>
      </c>
      <c r="H93" s="78" t="s">
        <v>1643</v>
      </c>
      <c r="I93" s="78" t="s">
        <v>1691</v>
      </c>
      <c r="J93" s="78" t="s">
        <v>1643</v>
      </c>
      <c r="K93" s="78" t="s">
        <v>1643</v>
      </c>
      <c r="L93" s="78" t="s">
        <v>1644</v>
      </c>
      <c r="M93" s="78" t="s">
        <v>1643</v>
      </c>
      <c r="N93" s="78" t="s">
        <v>1643</v>
      </c>
    </row>
    <row r="94" spans="1:14" ht="15.75" thickBot="1" x14ac:dyDescent="0.3">
      <c r="A94" s="44" t="s">
        <v>1151</v>
      </c>
      <c r="B94" s="107" t="s">
        <v>1152</v>
      </c>
      <c r="C94" s="78" t="s">
        <v>798</v>
      </c>
      <c r="D94" s="108">
        <v>2</v>
      </c>
      <c r="E94" s="108">
        <v>8</v>
      </c>
      <c r="F94" s="78" t="s">
        <v>1643</v>
      </c>
      <c r="G94" s="78" t="s">
        <v>1691</v>
      </c>
      <c r="H94" s="78" t="s">
        <v>1643</v>
      </c>
      <c r="I94" s="78" t="s">
        <v>1691</v>
      </c>
      <c r="J94" s="78" t="s">
        <v>1643</v>
      </c>
      <c r="K94" s="78" t="s">
        <v>1643</v>
      </c>
      <c r="L94" s="78" t="s">
        <v>1644</v>
      </c>
      <c r="M94" s="78" t="s">
        <v>1643</v>
      </c>
      <c r="N94" s="78" t="s">
        <v>1643</v>
      </c>
    </row>
    <row r="95" spans="1:14" ht="15.75" thickBot="1" x14ac:dyDescent="0.3">
      <c r="A95" s="44" t="s">
        <v>1157</v>
      </c>
      <c r="B95" s="107" t="s">
        <v>1158</v>
      </c>
      <c r="C95" s="78" t="s">
        <v>798</v>
      </c>
      <c r="D95" s="108">
        <v>3</v>
      </c>
      <c r="E95" s="108">
        <v>7</v>
      </c>
      <c r="F95" s="78" t="s">
        <v>1643</v>
      </c>
      <c r="G95" s="78" t="s">
        <v>1702</v>
      </c>
      <c r="H95" s="78" t="s">
        <v>1643</v>
      </c>
      <c r="I95" s="78" t="s">
        <v>1702</v>
      </c>
      <c r="J95" s="78" t="s">
        <v>1643</v>
      </c>
      <c r="K95" s="78" t="s">
        <v>1643</v>
      </c>
      <c r="L95" s="78" t="s">
        <v>1644</v>
      </c>
      <c r="M95" s="78" t="s">
        <v>1643</v>
      </c>
      <c r="N95" s="78" t="s">
        <v>1643</v>
      </c>
    </row>
    <row r="96" spans="1:14" ht="15.75" thickBot="1" x14ac:dyDescent="0.3">
      <c r="A96" s="44" t="s">
        <v>1161</v>
      </c>
      <c r="B96" s="107" t="s">
        <v>1162</v>
      </c>
      <c r="C96" s="78" t="s">
        <v>798</v>
      </c>
      <c r="D96" s="108">
        <v>3</v>
      </c>
      <c r="E96" s="108">
        <v>6</v>
      </c>
      <c r="F96" s="78" t="s">
        <v>1643</v>
      </c>
      <c r="G96" s="78" t="s">
        <v>1782</v>
      </c>
      <c r="H96" s="78" t="s">
        <v>1643</v>
      </c>
      <c r="I96" s="78" t="s">
        <v>1782</v>
      </c>
      <c r="J96" s="78" t="s">
        <v>1643</v>
      </c>
      <c r="K96" s="78" t="s">
        <v>1643</v>
      </c>
      <c r="L96" s="78" t="s">
        <v>1644</v>
      </c>
      <c r="M96" s="78" t="s">
        <v>1644</v>
      </c>
      <c r="N96" s="78" t="s">
        <v>1643</v>
      </c>
    </row>
    <row r="97" spans="1:14" ht="15.75" thickBot="1" x14ac:dyDescent="0.3">
      <c r="A97" s="44" t="s">
        <v>1167</v>
      </c>
      <c r="B97" s="107" t="s">
        <v>1168</v>
      </c>
      <c r="C97" s="78" t="s">
        <v>798</v>
      </c>
      <c r="D97" s="108">
        <v>6</v>
      </c>
      <c r="E97" s="108">
        <v>12</v>
      </c>
      <c r="F97" s="78" t="s">
        <v>1643</v>
      </c>
      <c r="G97" s="78" t="s">
        <v>1693</v>
      </c>
      <c r="H97" s="78" t="s">
        <v>1643</v>
      </c>
      <c r="I97" s="78" t="s">
        <v>1693</v>
      </c>
      <c r="J97" s="78" t="s">
        <v>1643</v>
      </c>
      <c r="K97" s="78" t="s">
        <v>1643</v>
      </c>
      <c r="L97" s="78" t="s">
        <v>1643</v>
      </c>
      <c r="M97" s="78" t="s">
        <v>1643</v>
      </c>
      <c r="N97" s="78" t="s">
        <v>1643</v>
      </c>
    </row>
    <row r="98" spans="1:14" ht="15.75" thickBot="1" x14ac:dyDescent="0.3">
      <c r="A98" s="44" t="s">
        <v>1173</v>
      </c>
      <c r="B98" s="107" t="s">
        <v>1174</v>
      </c>
      <c r="C98" s="78" t="s">
        <v>798</v>
      </c>
      <c r="D98" s="108">
        <v>3</v>
      </c>
      <c r="E98" s="108">
        <v>8</v>
      </c>
      <c r="F98" s="78" t="s">
        <v>1643</v>
      </c>
      <c r="G98" s="78" t="s">
        <v>1681</v>
      </c>
      <c r="H98" s="78" t="s">
        <v>1643</v>
      </c>
      <c r="I98" s="78" t="s">
        <v>1681</v>
      </c>
      <c r="J98" s="78" t="s">
        <v>1643</v>
      </c>
      <c r="K98" s="78" t="s">
        <v>1643</v>
      </c>
      <c r="L98" s="78" t="s">
        <v>1644</v>
      </c>
      <c r="M98" s="78" t="s">
        <v>1643</v>
      </c>
      <c r="N98" s="78" t="s">
        <v>1643</v>
      </c>
    </row>
    <row r="99" spans="1:14" ht="15.75" thickBot="1" x14ac:dyDescent="0.3">
      <c r="A99" s="44" t="s">
        <v>1177</v>
      </c>
      <c r="B99" s="107" t="s">
        <v>1178</v>
      </c>
      <c r="C99" s="78" t="s">
        <v>798</v>
      </c>
      <c r="D99" s="108">
        <v>2</v>
      </c>
      <c r="E99" s="108">
        <v>6</v>
      </c>
      <c r="F99" s="78" t="s">
        <v>1643</v>
      </c>
      <c r="G99" s="78" t="s">
        <v>1786</v>
      </c>
      <c r="H99" s="78" t="s">
        <v>1643</v>
      </c>
      <c r="I99" s="78" t="s">
        <v>1786</v>
      </c>
      <c r="J99" s="78" t="s">
        <v>1644</v>
      </c>
      <c r="K99" s="78" t="s">
        <v>1643</v>
      </c>
      <c r="L99" s="78" t="s">
        <v>1644</v>
      </c>
      <c r="M99" s="78" t="s">
        <v>1644</v>
      </c>
      <c r="N99" s="78" t="s">
        <v>1643</v>
      </c>
    </row>
    <row r="100" spans="1:14" ht="15.75" thickBot="1" x14ac:dyDescent="0.3">
      <c r="A100" s="44" t="s">
        <v>1181</v>
      </c>
      <c r="B100" s="107" t="s">
        <v>1182</v>
      </c>
      <c r="C100" s="78" t="s">
        <v>798</v>
      </c>
      <c r="D100" s="108">
        <v>2</v>
      </c>
      <c r="E100" s="108">
        <v>8</v>
      </c>
      <c r="F100" s="78" t="s">
        <v>1643</v>
      </c>
      <c r="G100" s="78" t="s">
        <v>1766</v>
      </c>
      <c r="H100" s="78" t="s">
        <v>1643</v>
      </c>
      <c r="I100" s="78" t="s">
        <v>1766</v>
      </c>
      <c r="J100" s="78" t="s">
        <v>1643</v>
      </c>
      <c r="K100" s="78" t="s">
        <v>1643</v>
      </c>
      <c r="L100" s="78" t="s">
        <v>1644</v>
      </c>
      <c r="M100" s="78" t="s">
        <v>1644</v>
      </c>
      <c r="N100" s="78" t="s">
        <v>1643</v>
      </c>
    </row>
    <row r="101" spans="1:14" ht="15.75" thickBot="1" x14ac:dyDescent="0.3">
      <c r="A101" s="44" t="s">
        <v>1183</v>
      </c>
      <c r="B101" s="107" t="s">
        <v>1184</v>
      </c>
      <c r="C101" s="78" t="s">
        <v>798</v>
      </c>
      <c r="D101" s="108">
        <v>4</v>
      </c>
      <c r="E101" s="108">
        <v>5</v>
      </c>
      <c r="F101" s="78" t="s">
        <v>1643</v>
      </c>
      <c r="G101" s="78" t="s">
        <v>1787</v>
      </c>
      <c r="H101" s="78" t="s">
        <v>1643</v>
      </c>
      <c r="I101" s="78" t="s">
        <v>1787</v>
      </c>
      <c r="J101" s="78" t="s">
        <v>1643</v>
      </c>
      <c r="K101" s="78" t="s">
        <v>1643</v>
      </c>
      <c r="L101" s="78" t="s">
        <v>1644</v>
      </c>
      <c r="M101" s="78" t="s">
        <v>1644</v>
      </c>
      <c r="N101" s="78" t="s">
        <v>1643</v>
      </c>
    </row>
    <row r="102" spans="1:14" ht="15.75" thickBot="1" x14ac:dyDescent="0.3">
      <c r="A102" s="44" t="s">
        <v>1185</v>
      </c>
      <c r="B102" s="107" t="s">
        <v>1186</v>
      </c>
      <c r="C102" s="78" t="s">
        <v>798</v>
      </c>
      <c r="D102" s="108">
        <v>6</v>
      </c>
      <c r="E102" s="108">
        <v>32</v>
      </c>
      <c r="F102" s="78" t="s">
        <v>1643</v>
      </c>
      <c r="G102" s="78" t="s">
        <v>1690</v>
      </c>
      <c r="H102" s="78" t="s">
        <v>1643</v>
      </c>
      <c r="I102" s="78" t="s">
        <v>3453</v>
      </c>
      <c r="J102" s="78" t="s">
        <v>1643</v>
      </c>
      <c r="K102" s="78" t="s">
        <v>1643</v>
      </c>
      <c r="L102" s="78" t="s">
        <v>1644</v>
      </c>
      <c r="M102" s="78" t="s">
        <v>1644</v>
      </c>
      <c r="N102" s="78" t="s">
        <v>1643</v>
      </c>
    </row>
    <row r="103" spans="1:14" ht="15.75" thickBot="1" x14ac:dyDescent="0.3">
      <c r="A103" s="44" t="s">
        <v>1197</v>
      </c>
      <c r="B103" s="107" t="s">
        <v>1198</v>
      </c>
      <c r="C103" s="78" t="s">
        <v>798</v>
      </c>
      <c r="D103" s="108">
        <v>7</v>
      </c>
      <c r="E103" s="108">
        <v>23</v>
      </c>
      <c r="F103" s="78" t="s">
        <v>1643</v>
      </c>
      <c r="G103" s="78" t="s">
        <v>1791</v>
      </c>
      <c r="H103" s="78" t="s">
        <v>1643</v>
      </c>
      <c r="I103" s="78" t="s">
        <v>1792</v>
      </c>
      <c r="J103" s="78" t="s">
        <v>1643</v>
      </c>
      <c r="K103" s="78" t="s">
        <v>1643</v>
      </c>
      <c r="L103" s="78" t="s">
        <v>1644</v>
      </c>
      <c r="M103" s="78" t="s">
        <v>1643</v>
      </c>
      <c r="N103" s="78" t="s">
        <v>1643</v>
      </c>
    </row>
    <row r="104" spans="1:14" ht="15.75" thickBot="1" x14ac:dyDescent="0.3">
      <c r="A104" s="44" t="s">
        <v>1211</v>
      </c>
      <c r="B104" s="107" t="s">
        <v>1212</v>
      </c>
      <c r="C104" s="78" t="s">
        <v>798</v>
      </c>
      <c r="D104" s="108">
        <v>8</v>
      </c>
      <c r="E104" s="108">
        <v>12</v>
      </c>
      <c r="F104" s="78" t="s">
        <v>1643</v>
      </c>
      <c r="G104" s="78" t="s">
        <v>1794</v>
      </c>
      <c r="H104" s="78" t="s">
        <v>1643</v>
      </c>
      <c r="I104" s="78" t="s">
        <v>1795</v>
      </c>
      <c r="J104" s="78" t="s">
        <v>1643</v>
      </c>
      <c r="K104" s="78" t="s">
        <v>1643</v>
      </c>
      <c r="L104" s="78" t="s">
        <v>1644</v>
      </c>
      <c r="M104" s="78" t="s">
        <v>1643</v>
      </c>
      <c r="N104" s="78" t="s">
        <v>1643</v>
      </c>
    </row>
    <row r="105" spans="1:14" ht="15.75" thickBot="1" x14ac:dyDescent="0.3">
      <c r="A105" s="44" t="s">
        <v>1213</v>
      </c>
      <c r="B105" s="107" t="s">
        <v>1214</v>
      </c>
      <c r="C105" s="78" t="s">
        <v>798</v>
      </c>
      <c r="D105" s="108">
        <v>7</v>
      </c>
      <c r="E105" s="108">
        <v>10</v>
      </c>
      <c r="F105" s="78" t="s">
        <v>1643</v>
      </c>
      <c r="G105" s="78" t="s">
        <v>1720</v>
      </c>
      <c r="H105" s="78" t="s">
        <v>1643</v>
      </c>
      <c r="I105" s="78" t="s">
        <v>1720</v>
      </c>
      <c r="J105" s="78" t="s">
        <v>1643</v>
      </c>
      <c r="K105" s="78" t="s">
        <v>1643</v>
      </c>
      <c r="L105" s="78" t="s">
        <v>1644</v>
      </c>
      <c r="M105" s="78" t="s">
        <v>1644</v>
      </c>
      <c r="N105" s="78" t="s">
        <v>1643</v>
      </c>
    </row>
    <row r="106" spans="1:14" ht="15.75" thickBot="1" x14ac:dyDescent="0.3">
      <c r="A106" s="44" t="s">
        <v>1233</v>
      </c>
      <c r="B106" s="107" t="s">
        <v>1234</v>
      </c>
      <c r="C106" s="78" t="s">
        <v>798</v>
      </c>
      <c r="D106" s="108">
        <v>4</v>
      </c>
      <c r="E106" s="108">
        <v>13</v>
      </c>
      <c r="F106" s="78" t="s">
        <v>1643</v>
      </c>
      <c r="G106" s="78" t="s">
        <v>1750</v>
      </c>
      <c r="H106" s="78" t="s">
        <v>1643</v>
      </c>
      <c r="I106" s="78" t="s">
        <v>1750</v>
      </c>
      <c r="J106" s="78" t="s">
        <v>1644</v>
      </c>
      <c r="K106" s="78" t="s">
        <v>1643</v>
      </c>
      <c r="L106" s="78" t="s">
        <v>1644</v>
      </c>
      <c r="M106" s="78" t="s">
        <v>1644</v>
      </c>
      <c r="N106" s="78" t="s">
        <v>1643</v>
      </c>
    </row>
    <row r="107" spans="1:14" ht="15.75" thickBot="1" x14ac:dyDescent="0.3">
      <c r="A107" s="44" t="s">
        <v>1239</v>
      </c>
      <c r="B107" s="107" t="s">
        <v>1240</v>
      </c>
      <c r="C107" s="78" t="s">
        <v>798</v>
      </c>
      <c r="D107" s="108">
        <v>4</v>
      </c>
      <c r="E107" s="108">
        <v>8</v>
      </c>
      <c r="F107" s="78" t="s">
        <v>1643</v>
      </c>
      <c r="G107" s="78" t="s">
        <v>1775</v>
      </c>
      <c r="H107" s="78" t="s">
        <v>1643</v>
      </c>
      <c r="I107" s="78" t="s">
        <v>1775</v>
      </c>
      <c r="J107" s="78" t="s">
        <v>1643</v>
      </c>
      <c r="K107" s="78" t="s">
        <v>1643</v>
      </c>
      <c r="L107" s="78" t="s">
        <v>1644</v>
      </c>
      <c r="M107" s="78" t="s">
        <v>1644</v>
      </c>
      <c r="N107" s="78" t="s">
        <v>1643</v>
      </c>
    </row>
    <row r="108" spans="1:14" ht="15.75" thickBot="1" x14ac:dyDescent="0.3">
      <c r="A108" s="44" t="s">
        <v>1245</v>
      </c>
      <c r="B108" s="107" t="s">
        <v>1246</v>
      </c>
      <c r="C108" s="78" t="s">
        <v>798</v>
      </c>
      <c r="D108" s="108">
        <v>7</v>
      </c>
      <c r="E108" s="108">
        <v>6</v>
      </c>
      <c r="F108" s="78" t="s">
        <v>1643</v>
      </c>
      <c r="G108" s="78" t="s">
        <v>1730</v>
      </c>
      <c r="H108" s="78" t="s">
        <v>1643</v>
      </c>
      <c r="I108" s="78" t="s">
        <v>1728</v>
      </c>
      <c r="J108" s="78" t="s">
        <v>1643</v>
      </c>
      <c r="K108" s="78" t="s">
        <v>1643</v>
      </c>
      <c r="L108" s="78" t="s">
        <v>1644</v>
      </c>
      <c r="M108" s="78" t="s">
        <v>1643</v>
      </c>
      <c r="N108" s="78" t="s">
        <v>1643</v>
      </c>
    </row>
    <row r="109" spans="1:14" ht="15.75" thickBot="1" x14ac:dyDescent="0.3">
      <c r="A109" s="44" t="s">
        <v>1249</v>
      </c>
      <c r="B109" s="107" t="s">
        <v>1250</v>
      </c>
      <c r="C109" s="78" t="s">
        <v>798</v>
      </c>
      <c r="D109" s="108">
        <v>3</v>
      </c>
      <c r="E109" s="108">
        <v>11</v>
      </c>
      <c r="F109" s="78" t="s">
        <v>1643</v>
      </c>
      <c r="G109" s="78" t="s">
        <v>3453</v>
      </c>
      <c r="H109" s="78" t="s">
        <v>1643</v>
      </c>
      <c r="I109" s="78" t="s">
        <v>3453</v>
      </c>
      <c r="J109" s="78" t="s">
        <v>1643</v>
      </c>
      <c r="K109" s="78" t="s">
        <v>1644</v>
      </c>
      <c r="L109" s="78" t="s">
        <v>1644</v>
      </c>
      <c r="M109" s="78" t="s">
        <v>1644</v>
      </c>
      <c r="N109" s="78" t="s">
        <v>1643</v>
      </c>
    </row>
    <row r="110" spans="1:14" ht="15.75" thickBot="1" x14ac:dyDescent="0.3">
      <c r="A110" s="44" t="s">
        <v>1261</v>
      </c>
      <c r="B110" s="107" t="s">
        <v>1262</v>
      </c>
      <c r="C110" s="78" t="s">
        <v>798</v>
      </c>
      <c r="D110" s="108">
        <v>5</v>
      </c>
      <c r="E110" s="108">
        <v>7</v>
      </c>
      <c r="F110" s="78" t="s">
        <v>1643</v>
      </c>
      <c r="G110" s="78" t="s">
        <v>1756</v>
      </c>
      <c r="H110" s="78" t="s">
        <v>1643</v>
      </c>
      <c r="I110" s="78" t="s">
        <v>1756</v>
      </c>
      <c r="J110" s="78" t="s">
        <v>1643</v>
      </c>
      <c r="K110" s="78" t="s">
        <v>1643</v>
      </c>
      <c r="L110" s="78" t="s">
        <v>1644</v>
      </c>
      <c r="M110" s="78" t="s">
        <v>1643</v>
      </c>
      <c r="N110" s="78" t="s">
        <v>1643</v>
      </c>
    </row>
    <row r="111" spans="1:14" ht="15.75" thickBot="1" x14ac:dyDescent="0.3">
      <c r="A111" s="44" t="s">
        <v>1263</v>
      </c>
      <c r="B111" s="107" t="s">
        <v>1264</v>
      </c>
      <c r="C111" s="78" t="s">
        <v>798</v>
      </c>
      <c r="D111" s="108">
        <v>3</v>
      </c>
      <c r="E111" s="108">
        <v>7</v>
      </c>
      <c r="F111" s="78" t="s">
        <v>1643</v>
      </c>
      <c r="G111" s="78" t="s">
        <v>1802</v>
      </c>
      <c r="H111" s="78" t="s">
        <v>1643</v>
      </c>
      <c r="I111" s="78" t="s">
        <v>1802</v>
      </c>
      <c r="J111" s="78" t="s">
        <v>1643</v>
      </c>
      <c r="K111" s="78" t="s">
        <v>1643</v>
      </c>
      <c r="L111" s="78" t="s">
        <v>1644</v>
      </c>
      <c r="M111" s="78" t="s">
        <v>1643</v>
      </c>
      <c r="N111" s="78" t="s">
        <v>1643</v>
      </c>
    </row>
    <row r="112" spans="1:14" ht="15.75" thickBot="1" x14ac:dyDescent="0.3">
      <c r="A112" s="44" t="s">
        <v>1271</v>
      </c>
      <c r="B112" s="107" t="s">
        <v>1272</v>
      </c>
      <c r="C112" s="78" t="s">
        <v>798</v>
      </c>
      <c r="D112" s="108">
        <v>4</v>
      </c>
      <c r="E112" s="108">
        <v>11</v>
      </c>
      <c r="F112" s="78" t="s">
        <v>1643</v>
      </c>
      <c r="G112" s="78" t="s">
        <v>1680</v>
      </c>
      <c r="H112" s="78" t="s">
        <v>1643</v>
      </c>
      <c r="I112" s="78" t="s">
        <v>1680</v>
      </c>
      <c r="J112" s="78" t="s">
        <v>1643</v>
      </c>
      <c r="K112" s="78" t="s">
        <v>1643</v>
      </c>
      <c r="L112" s="78" t="s">
        <v>1644</v>
      </c>
      <c r="M112" s="78" t="s">
        <v>1644</v>
      </c>
      <c r="N112" s="78" t="s">
        <v>1643</v>
      </c>
    </row>
    <row r="113" spans="1:14" ht="15.75" thickBot="1" x14ac:dyDescent="0.3">
      <c r="A113" s="44" t="s">
        <v>1273</v>
      </c>
      <c r="B113" s="107" t="s">
        <v>1274</v>
      </c>
      <c r="C113" s="78" t="s">
        <v>798</v>
      </c>
      <c r="D113" s="108">
        <v>3</v>
      </c>
      <c r="E113" s="108">
        <v>30</v>
      </c>
      <c r="F113" s="78" t="s">
        <v>1643</v>
      </c>
      <c r="G113" s="78" t="s">
        <v>1804</v>
      </c>
      <c r="H113" s="78" t="s">
        <v>1643</v>
      </c>
      <c r="I113" s="78" t="s">
        <v>1805</v>
      </c>
      <c r="J113" s="78" t="s">
        <v>1643</v>
      </c>
      <c r="K113" s="78" t="s">
        <v>1643</v>
      </c>
      <c r="L113" s="78" t="s">
        <v>1644</v>
      </c>
      <c r="M113" s="78" t="s">
        <v>1644</v>
      </c>
      <c r="N113" s="78" t="s">
        <v>1643</v>
      </c>
    </row>
    <row r="114" spans="1:14" ht="15.75" thickBot="1" x14ac:dyDescent="0.3">
      <c r="A114" s="44" t="s">
        <v>1279</v>
      </c>
      <c r="B114" s="107" t="s">
        <v>1280</v>
      </c>
      <c r="C114" s="78" t="s">
        <v>798</v>
      </c>
      <c r="D114" s="108">
        <v>2</v>
      </c>
      <c r="E114" s="108">
        <v>6</v>
      </c>
      <c r="F114" s="78" t="s">
        <v>1643</v>
      </c>
      <c r="G114" s="78" t="s">
        <v>3453</v>
      </c>
      <c r="H114" s="78" t="s">
        <v>1644</v>
      </c>
      <c r="I114" s="78" t="s">
        <v>3453</v>
      </c>
      <c r="J114" s="78" t="s">
        <v>1643</v>
      </c>
      <c r="K114" s="78" t="s">
        <v>1643</v>
      </c>
      <c r="L114" s="78" t="s">
        <v>1644</v>
      </c>
      <c r="M114" s="78" t="s">
        <v>1644</v>
      </c>
      <c r="N114" s="78" t="s">
        <v>1643</v>
      </c>
    </row>
    <row r="115" spans="1:14" ht="15.75" thickBot="1" x14ac:dyDescent="0.3">
      <c r="A115" s="44" t="s">
        <v>1297</v>
      </c>
      <c r="B115" s="107" t="s">
        <v>1298</v>
      </c>
      <c r="C115" s="78" t="s">
        <v>798</v>
      </c>
      <c r="D115" s="108">
        <v>3</v>
      </c>
      <c r="E115" s="108">
        <v>8</v>
      </c>
      <c r="F115" s="78" t="s">
        <v>1643</v>
      </c>
      <c r="G115" s="78" t="s">
        <v>1680</v>
      </c>
      <c r="H115" s="78" t="s">
        <v>1643</v>
      </c>
      <c r="I115" s="78" t="s">
        <v>1680</v>
      </c>
      <c r="J115" s="78" t="s">
        <v>1643</v>
      </c>
      <c r="K115" s="78" t="s">
        <v>1643</v>
      </c>
      <c r="L115" s="78" t="s">
        <v>1644</v>
      </c>
      <c r="M115" s="78" t="s">
        <v>1644</v>
      </c>
      <c r="N115" s="78" t="s">
        <v>1643</v>
      </c>
    </row>
    <row r="116" spans="1:14" ht="15.75" thickBot="1" x14ac:dyDescent="0.3">
      <c r="A116" s="44" t="s">
        <v>1299</v>
      </c>
      <c r="B116" s="107" t="s">
        <v>1300</v>
      </c>
      <c r="C116" s="78" t="s">
        <v>798</v>
      </c>
      <c r="D116" s="108">
        <v>10</v>
      </c>
      <c r="E116" s="108">
        <v>34</v>
      </c>
      <c r="F116" s="78" t="s">
        <v>1643</v>
      </c>
      <c r="G116" s="78" t="s">
        <v>1702</v>
      </c>
      <c r="H116" s="78" t="s">
        <v>1643</v>
      </c>
      <c r="I116" s="78" t="s">
        <v>1702</v>
      </c>
      <c r="J116" s="78" t="s">
        <v>1643</v>
      </c>
      <c r="K116" s="78" t="s">
        <v>1643</v>
      </c>
      <c r="L116" s="78" t="s">
        <v>1643</v>
      </c>
      <c r="M116" s="78" t="s">
        <v>1643</v>
      </c>
      <c r="N116" s="78" t="s">
        <v>1643</v>
      </c>
    </row>
    <row r="117" spans="1:14" ht="15.75" thickBot="1" x14ac:dyDescent="0.3">
      <c r="A117" s="44" t="s">
        <v>1311</v>
      </c>
      <c r="B117" s="107" t="s">
        <v>1312</v>
      </c>
      <c r="C117" s="78" t="s">
        <v>798</v>
      </c>
      <c r="D117" s="108">
        <v>10</v>
      </c>
      <c r="E117" s="108">
        <v>21</v>
      </c>
      <c r="F117" s="78" t="s">
        <v>1643</v>
      </c>
      <c r="G117" s="78" t="s">
        <v>1747</v>
      </c>
      <c r="H117" s="78" t="s">
        <v>1643</v>
      </c>
      <c r="I117" s="78" t="s">
        <v>1700</v>
      </c>
      <c r="J117" s="78" t="s">
        <v>1643</v>
      </c>
      <c r="K117" s="78" t="s">
        <v>1643</v>
      </c>
      <c r="L117" s="78" t="s">
        <v>1643</v>
      </c>
      <c r="M117" s="78" t="s">
        <v>1643</v>
      </c>
      <c r="N117" s="78" t="s">
        <v>1643</v>
      </c>
    </row>
    <row r="118" spans="1:14" ht="15.75" thickBot="1" x14ac:dyDescent="0.3">
      <c r="A118" s="44" t="s">
        <v>1313</v>
      </c>
      <c r="B118" s="107" t="s">
        <v>1314</v>
      </c>
      <c r="C118" s="78" t="s">
        <v>798</v>
      </c>
      <c r="D118" s="108">
        <v>7</v>
      </c>
      <c r="E118" s="108">
        <v>10</v>
      </c>
      <c r="F118" s="78" t="s">
        <v>1643</v>
      </c>
      <c r="G118" s="78" t="s">
        <v>1811</v>
      </c>
      <c r="H118" s="78" t="s">
        <v>1643</v>
      </c>
      <c r="I118" s="78" t="s">
        <v>1692</v>
      </c>
      <c r="J118" s="78" t="s">
        <v>1643</v>
      </c>
      <c r="K118" s="78" t="s">
        <v>1643</v>
      </c>
      <c r="L118" s="78" t="s">
        <v>1644</v>
      </c>
      <c r="M118" s="78" t="s">
        <v>1643</v>
      </c>
      <c r="N118" s="78" t="s">
        <v>1643</v>
      </c>
    </row>
    <row r="119" spans="1:14" ht="15.75" thickBot="1" x14ac:dyDescent="0.3">
      <c r="A119" s="44" t="s">
        <v>1317</v>
      </c>
      <c r="B119" s="107" t="s">
        <v>1318</v>
      </c>
      <c r="C119" s="78" t="s">
        <v>798</v>
      </c>
      <c r="D119" s="108">
        <v>2</v>
      </c>
      <c r="E119" s="108">
        <v>2</v>
      </c>
      <c r="F119" s="78" t="s">
        <v>1643</v>
      </c>
      <c r="G119" s="78" t="s">
        <v>1702</v>
      </c>
      <c r="H119" s="78" t="s">
        <v>1643</v>
      </c>
      <c r="I119" s="78" t="s">
        <v>1702</v>
      </c>
      <c r="J119" s="78" t="s">
        <v>1643</v>
      </c>
      <c r="K119" s="78" t="s">
        <v>1643</v>
      </c>
      <c r="L119" s="78" t="s">
        <v>1644</v>
      </c>
      <c r="M119" s="78" t="s">
        <v>1644</v>
      </c>
      <c r="N119" s="78" t="s">
        <v>1643</v>
      </c>
    </row>
    <row r="120" spans="1:14" ht="15.75" thickBot="1" x14ac:dyDescent="0.3">
      <c r="A120" s="44" t="s">
        <v>1325</v>
      </c>
      <c r="B120" s="107" t="s">
        <v>1326</v>
      </c>
      <c r="C120" s="78" t="s">
        <v>798</v>
      </c>
      <c r="D120" s="108">
        <v>6</v>
      </c>
      <c r="E120" s="108">
        <v>7</v>
      </c>
      <c r="F120" s="78" t="s">
        <v>1643</v>
      </c>
      <c r="G120" s="78" t="s">
        <v>1697</v>
      </c>
      <c r="H120" s="78" t="s">
        <v>1643</v>
      </c>
      <c r="I120" s="78" t="s">
        <v>1697</v>
      </c>
      <c r="J120" s="78" t="s">
        <v>1643</v>
      </c>
      <c r="K120" s="78" t="s">
        <v>1643</v>
      </c>
      <c r="L120" s="78" t="s">
        <v>1644</v>
      </c>
      <c r="M120" s="78" t="s">
        <v>1643</v>
      </c>
      <c r="N120" s="78" t="s">
        <v>1643</v>
      </c>
    </row>
    <row r="121" spans="1:14" ht="15.75" thickBot="1" x14ac:dyDescent="0.3">
      <c r="A121" s="44" t="s">
        <v>1345</v>
      </c>
      <c r="B121" s="107" t="s">
        <v>1346</v>
      </c>
      <c r="C121" s="78" t="s">
        <v>798</v>
      </c>
      <c r="D121" s="108">
        <v>4</v>
      </c>
      <c r="E121" s="108">
        <v>5</v>
      </c>
      <c r="F121" s="78" t="s">
        <v>1643</v>
      </c>
      <c r="G121" s="78" t="s">
        <v>1702</v>
      </c>
      <c r="H121" s="78" t="s">
        <v>1643</v>
      </c>
      <c r="I121" s="78" t="s">
        <v>1702</v>
      </c>
      <c r="J121" s="78" t="s">
        <v>1643</v>
      </c>
      <c r="K121" s="78" t="s">
        <v>1643</v>
      </c>
      <c r="L121" s="78" t="s">
        <v>1644</v>
      </c>
      <c r="M121" s="78" t="s">
        <v>1644</v>
      </c>
      <c r="N121" s="78" t="s">
        <v>1643</v>
      </c>
    </row>
    <row r="122" spans="1:14" ht="15.75" thickBot="1" x14ac:dyDescent="0.3">
      <c r="A122" s="44" t="s">
        <v>1351</v>
      </c>
      <c r="B122" s="107" t="s">
        <v>1352</v>
      </c>
      <c r="C122" s="78" t="s">
        <v>798</v>
      </c>
      <c r="D122" s="108">
        <v>4</v>
      </c>
      <c r="E122" s="108">
        <v>14</v>
      </c>
      <c r="F122" s="78" t="s">
        <v>1643</v>
      </c>
      <c r="G122" s="78" t="s">
        <v>1750</v>
      </c>
      <c r="H122" s="78" t="s">
        <v>1643</v>
      </c>
      <c r="I122" s="78" t="s">
        <v>1750</v>
      </c>
      <c r="J122" s="78" t="s">
        <v>1643</v>
      </c>
      <c r="K122" s="78" t="s">
        <v>1643</v>
      </c>
      <c r="L122" s="78" t="s">
        <v>1644</v>
      </c>
      <c r="M122" s="78" t="s">
        <v>1643</v>
      </c>
      <c r="N122" s="78" t="s">
        <v>1643</v>
      </c>
    </row>
    <row r="123" spans="1:14" ht="15.75" thickBot="1" x14ac:dyDescent="0.3">
      <c r="A123" s="44" t="s">
        <v>1357</v>
      </c>
      <c r="B123" s="107" t="s">
        <v>1358</v>
      </c>
      <c r="C123" s="78" t="s">
        <v>798</v>
      </c>
      <c r="D123" s="108">
        <v>4</v>
      </c>
      <c r="E123" s="108">
        <v>4</v>
      </c>
      <c r="F123" s="78" t="s">
        <v>1643</v>
      </c>
      <c r="G123" s="78" t="s">
        <v>1693</v>
      </c>
      <c r="H123" s="78" t="s">
        <v>1643</v>
      </c>
      <c r="I123" s="78" t="s">
        <v>1693</v>
      </c>
      <c r="J123" s="78" t="s">
        <v>1643</v>
      </c>
      <c r="K123" s="78" t="s">
        <v>1643</v>
      </c>
      <c r="L123" s="78" t="s">
        <v>1644</v>
      </c>
      <c r="M123" s="78" t="s">
        <v>1643</v>
      </c>
      <c r="N123" s="78" t="s">
        <v>1643</v>
      </c>
    </row>
    <row r="124" spans="1:14" ht="15.75" thickBot="1" x14ac:dyDescent="0.3">
      <c r="A124" s="44" t="s">
        <v>1367</v>
      </c>
      <c r="B124" s="107" t="s">
        <v>1368</v>
      </c>
      <c r="C124" s="78" t="s">
        <v>798</v>
      </c>
      <c r="D124" s="108">
        <v>5</v>
      </c>
      <c r="E124" s="108">
        <v>13</v>
      </c>
      <c r="F124" s="78" t="s">
        <v>1643</v>
      </c>
      <c r="G124" s="78" t="s">
        <v>1818</v>
      </c>
      <c r="H124" s="78" t="s">
        <v>1643</v>
      </c>
      <c r="I124" s="78" t="s">
        <v>1819</v>
      </c>
      <c r="J124" s="78" t="s">
        <v>1643</v>
      </c>
      <c r="K124" s="78" t="s">
        <v>1643</v>
      </c>
      <c r="L124" s="78" t="s">
        <v>1644</v>
      </c>
      <c r="M124" s="78" t="s">
        <v>1643</v>
      </c>
      <c r="N124" s="78" t="s">
        <v>1643</v>
      </c>
    </row>
    <row r="125" spans="1:14" ht="15.75" thickBot="1" x14ac:dyDescent="0.3">
      <c r="A125" s="44" t="s">
        <v>1371</v>
      </c>
      <c r="B125" s="107" t="s">
        <v>1372</v>
      </c>
      <c r="C125" s="78" t="s">
        <v>798</v>
      </c>
      <c r="D125" s="108">
        <v>2</v>
      </c>
      <c r="E125" s="108">
        <v>7</v>
      </c>
      <c r="F125" s="78" t="s">
        <v>1643</v>
      </c>
      <c r="G125" s="78" t="s">
        <v>3453</v>
      </c>
      <c r="H125" s="78" t="s">
        <v>1643</v>
      </c>
      <c r="I125" s="78" t="s">
        <v>3453</v>
      </c>
      <c r="J125" s="78" t="s">
        <v>1643</v>
      </c>
      <c r="K125" s="78" t="s">
        <v>1643</v>
      </c>
      <c r="L125" s="78" t="s">
        <v>1644</v>
      </c>
      <c r="M125" s="78" t="s">
        <v>1644</v>
      </c>
      <c r="N125" s="78" t="s">
        <v>1643</v>
      </c>
    </row>
    <row r="126" spans="1:14" ht="15.75" thickBot="1" x14ac:dyDescent="0.3">
      <c r="A126" s="44" t="s">
        <v>1377</v>
      </c>
      <c r="B126" s="107" t="s">
        <v>1378</v>
      </c>
      <c r="C126" s="78" t="s">
        <v>798</v>
      </c>
      <c r="D126" s="108">
        <v>2</v>
      </c>
      <c r="E126" s="108">
        <v>8</v>
      </c>
      <c r="F126" s="78" t="s">
        <v>1643</v>
      </c>
      <c r="G126" s="78" t="s">
        <v>1820</v>
      </c>
      <c r="H126" s="78" t="s">
        <v>1643</v>
      </c>
      <c r="I126" s="78" t="s">
        <v>3453</v>
      </c>
      <c r="J126" s="78" t="s">
        <v>1644</v>
      </c>
      <c r="K126" s="78" t="s">
        <v>1643</v>
      </c>
      <c r="L126" s="78" t="s">
        <v>1644</v>
      </c>
      <c r="M126" s="78" t="s">
        <v>1643</v>
      </c>
      <c r="N126" s="78" t="s">
        <v>1643</v>
      </c>
    </row>
    <row r="127" spans="1:14" ht="15.75" thickBot="1" x14ac:dyDescent="0.3">
      <c r="A127" s="44" t="s">
        <v>1385</v>
      </c>
      <c r="B127" s="107" t="s">
        <v>1386</v>
      </c>
      <c r="C127" s="78" t="s">
        <v>798</v>
      </c>
      <c r="D127" s="108">
        <v>3</v>
      </c>
      <c r="E127" s="108">
        <v>7</v>
      </c>
      <c r="F127" s="78" t="s">
        <v>1643</v>
      </c>
      <c r="G127" s="78" t="s">
        <v>1823</v>
      </c>
      <c r="H127" s="78" t="s">
        <v>1643</v>
      </c>
      <c r="I127" s="78" t="s">
        <v>1823</v>
      </c>
      <c r="J127" s="78" t="s">
        <v>1643</v>
      </c>
      <c r="K127" s="78" t="s">
        <v>1643</v>
      </c>
      <c r="L127" s="78" t="s">
        <v>1644</v>
      </c>
      <c r="M127" s="78" t="s">
        <v>1644</v>
      </c>
      <c r="N127" s="78" t="s">
        <v>1643</v>
      </c>
    </row>
    <row r="128" spans="1:14" ht="15.75" thickBot="1" x14ac:dyDescent="0.3">
      <c r="A128" s="44" t="s">
        <v>1391</v>
      </c>
      <c r="B128" s="107" t="s">
        <v>1392</v>
      </c>
      <c r="C128" s="78" t="s">
        <v>798</v>
      </c>
      <c r="D128" s="108">
        <v>3</v>
      </c>
      <c r="E128" s="108">
        <v>8</v>
      </c>
      <c r="F128" s="78" t="s">
        <v>1643</v>
      </c>
      <c r="G128" s="78" t="s">
        <v>1700</v>
      </c>
      <c r="H128" s="78" t="s">
        <v>1643</v>
      </c>
      <c r="I128" s="78" t="s">
        <v>1700</v>
      </c>
      <c r="J128" s="78" t="s">
        <v>1643</v>
      </c>
      <c r="K128" s="78" t="s">
        <v>1643</v>
      </c>
      <c r="L128" s="78" t="s">
        <v>1644</v>
      </c>
      <c r="M128" s="78" t="s">
        <v>1644</v>
      </c>
      <c r="N128" s="78" t="s">
        <v>1643</v>
      </c>
    </row>
    <row r="129" spans="1:14" ht="15.75" thickBot="1" x14ac:dyDescent="0.3">
      <c r="A129" s="44" t="s">
        <v>1393</v>
      </c>
      <c r="B129" s="107" t="s">
        <v>1394</v>
      </c>
      <c r="C129" s="78" t="s">
        <v>798</v>
      </c>
      <c r="D129" s="108">
        <v>4</v>
      </c>
      <c r="E129" s="108">
        <v>10</v>
      </c>
      <c r="F129" s="78" t="s">
        <v>1643</v>
      </c>
      <c r="G129" s="78" t="s">
        <v>1747</v>
      </c>
      <c r="H129" s="78" t="s">
        <v>1643</v>
      </c>
      <c r="I129" s="78" t="s">
        <v>1747</v>
      </c>
      <c r="J129" s="78" t="s">
        <v>1643</v>
      </c>
      <c r="K129" s="78" t="s">
        <v>1643</v>
      </c>
      <c r="L129" s="78" t="s">
        <v>1644</v>
      </c>
      <c r="M129" s="78" t="s">
        <v>1644</v>
      </c>
      <c r="N129" s="78" t="s">
        <v>1643</v>
      </c>
    </row>
    <row r="130" spans="1:14" ht="15.75" thickBot="1" x14ac:dyDescent="0.3">
      <c r="A130" s="44" t="s">
        <v>1399</v>
      </c>
      <c r="B130" s="107" t="s">
        <v>1400</v>
      </c>
      <c r="C130" s="78" t="s">
        <v>798</v>
      </c>
      <c r="D130" s="108">
        <v>2</v>
      </c>
      <c r="E130" s="108">
        <v>10</v>
      </c>
      <c r="F130" s="78" t="s">
        <v>1643</v>
      </c>
      <c r="G130" s="78" t="s">
        <v>1708</v>
      </c>
      <c r="H130" s="78" t="s">
        <v>1643</v>
      </c>
      <c r="I130" s="78" t="s">
        <v>1708</v>
      </c>
      <c r="J130" s="78" t="s">
        <v>1644</v>
      </c>
      <c r="K130" s="78" t="s">
        <v>1643</v>
      </c>
      <c r="L130" s="78" t="s">
        <v>1644</v>
      </c>
      <c r="M130" s="78" t="s">
        <v>1644</v>
      </c>
      <c r="N130" s="78" t="s">
        <v>1643</v>
      </c>
    </row>
    <row r="131" spans="1:14" ht="15.75" thickBot="1" x14ac:dyDescent="0.3">
      <c r="A131" s="44" t="s">
        <v>1405</v>
      </c>
      <c r="B131" s="107" t="s">
        <v>1406</v>
      </c>
      <c r="C131" s="78" t="s">
        <v>798</v>
      </c>
      <c r="D131" s="108">
        <v>3</v>
      </c>
      <c r="E131" s="108">
        <v>8</v>
      </c>
      <c r="F131" s="78" t="s">
        <v>1643</v>
      </c>
      <c r="G131" s="78" t="s">
        <v>1679</v>
      </c>
      <c r="H131" s="78" t="s">
        <v>1643</v>
      </c>
      <c r="I131" s="78" t="s">
        <v>1679</v>
      </c>
      <c r="J131" s="78" t="s">
        <v>1643</v>
      </c>
      <c r="K131" s="78" t="s">
        <v>1643</v>
      </c>
      <c r="L131" s="78" t="s">
        <v>1644</v>
      </c>
      <c r="M131" s="78" t="s">
        <v>1644</v>
      </c>
      <c r="N131" s="78" t="s">
        <v>1643</v>
      </c>
    </row>
    <row r="132" spans="1:14" ht="15.75" thickBot="1" x14ac:dyDescent="0.3">
      <c r="A132" s="44" t="s">
        <v>1417</v>
      </c>
      <c r="B132" s="107" t="s">
        <v>1418</v>
      </c>
      <c r="C132" s="78" t="s">
        <v>798</v>
      </c>
      <c r="D132" s="108">
        <v>4</v>
      </c>
      <c r="E132" s="108">
        <v>17</v>
      </c>
      <c r="F132" s="78" t="s">
        <v>1643</v>
      </c>
      <c r="G132" s="78" t="s">
        <v>1690</v>
      </c>
      <c r="H132" s="78" t="s">
        <v>1643</v>
      </c>
      <c r="I132" s="78" t="s">
        <v>3453</v>
      </c>
      <c r="J132" s="78" t="s">
        <v>1643</v>
      </c>
      <c r="K132" s="78" t="s">
        <v>1643</v>
      </c>
      <c r="L132" s="78" t="s">
        <v>1644</v>
      </c>
      <c r="M132" s="78" t="s">
        <v>1643</v>
      </c>
      <c r="N132" s="78" t="s">
        <v>1643</v>
      </c>
    </row>
    <row r="133" spans="1:14" ht="15.75" thickBot="1" x14ac:dyDescent="0.3">
      <c r="A133" s="44" t="s">
        <v>1429</v>
      </c>
      <c r="B133" s="107" t="s">
        <v>1430</v>
      </c>
      <c r="C133" s="78" t="s">
        <v>798</v>
      </c>
      <c r="D133" s="108">
        <v>5</v>
      </c>
      <c r="E133" s="108">
        <v>26</v>
      </c>
      <c r="F133" s="78" t="s">
        <v>1643</v>
      </c>
      <c r="G133" s="78" t="s">
        <v>1722</v>
      </c>
      <c r="H133" s="78" t="s">
        <v>1643</v>
      </c>
      <c r="I133" s="78" t="s">
        <v>3453</v>
      </c>
      <c r="J133" s="78" t="s">
        <v>1643</v>
      </c>
      <c r="K133" s="78" t="s">
        <v>1643</v>
      </c>
      <c r="L133" s="78" t="s">
        <v>1644</v>
      </c>
      <c r="M133" s="78" t="s">
        <v>1643</v>
      </c>
      <c r="N133" s="78" t="s">
        <v>1643</v>
      </c>
    </row>
    <row r="134" spans="1:14" ht="15.75" thickBot="1" x14ac:dyDescent="0.3">
      <c r="A134" s="44" t="s">
        <v>1443</v>
      </c>
      <c r="B134" s="107" t="s">
        <v>1444</v>
      </c>
      <c r="C134" s="78" t="s">
        <v>798</v>
      </c>
      <c r="D134" s="108">
        <v>3</v>
      </c>
      <c r="E134" s="108">
        <v>15</v>
      </c>
      <c r="F134" s="78" t="s">
        <v>1643</v>
      </c>
      <c r="G134" s="78" t="s">
        <v>1690</v>
      </c>
      <c r="H134" s="78" t="s">
        <v>1643</v>
      </c>
      <c r="I134" s="78" t="s">
        <v>1690</v>
      </c>
      <c r="J134" s="78" t="s">
        <v>1643</v>
      </c>
      <c r="K134" s="78" t="s">
        <v>1643</v>
      </c>
      <c r="L134" s="78" t="s">
        <v>1644</v>
      </c>
      <c r="M134" s="78" t="s">
        <v>1643</v>
      </c>
      <c r="N134" s="78" t="s">
        <v>1643</v>
      </c>
    </row>
    <row r="135" spans="1:14" ht="15.75" thickBot="1" x14ac:dyDescent="0.3">
      <c r="A135" s="44" t="s">
        <v>1453</v>
      </c>
      <c r="B135" s="107" t="s">
        <v>1454</v>
      </c>
      <c r="C135" s="78" t="s">
        <v>798</v>
      </c>
      <c r="D135" s="108">
        <v>7</v>
      </c>
      <c r="E135" s="108">
        <v>9</v>
      </c>
      <c r="F135" s="78" t="s">
        <v>1643</v>
      </c>
      <c r="G135" s="78" t="s">
        <v>1775</v>
      </c>
      <c r="H135" s="78" t="s">
        <v>1643</v>
      </c>
      <c r="I135" s="78" t="s">
        <v>1775</v>
      </c>
      <c r="J135" s="78" t="s">
        <v>1643</v>
      </c>
      <c r="K135" s="78" t="s">
        <v>1643</v>
      </c>
      <c r="L135" s="78" t="s">
        <v>1644</v>
      </c>
      <c r="M135" s="78" t="s">
        <v>1643</v>
      </c>
      <c r="N135" s="78" t="s">
        <v>1643</v>
      </c>
    </row>
    <row r="136" spans="1:14" ht="15.75" thickBot="1" x14ac:dyDescent="0.3">
      <c r="A136" s="44" t="s">
        <v>1457</v>
      </c>
      <c r="B136" s="107" t="s">
        <v>1458</v>
      </c>
      <c r="C136" s="78" t="s">
        <v>798</v>
      </c>
      <c r="D136" s="108">
        <v>6</v>
      </c>
      <c r="E136" s="108">
        <v>18</v>
      </c>
      <c r="F136" s="78" t="s">
        <v>1643</v>
      </c>
      <c r="G136" s="78" t="s">
        <v>1724</v>
      </c>
      <c r="H136" s="78" t="s">
        <v>1643</v>
      </c>
      <c r="I136" s="78" t="s">
        <v>1836</v>
      </c>
      <c r="J136" s="78" t="s">
        <v>1643</v>
      </c>
      <c r="K136" s="78" t="s">
        <v>1643</v>
      </c>
      <c r="L136" s="78" t="s">
        <v>1644</v>
      </c>
      <c r="M136" s="78" t="s">
        <v>1643</v>
      </c>
      <c r="N136" s="78" t="s">
        <v>1643</v>
      </c>
    </row>
    <row r="137" spans="1:14" ht="15.75" thickBot="1" x14ac:dyDescent="0.3">
      <c r="A137" s="44" t="s">
        <v>1463</v>
      </c>
      <c r="B137" s="107" t="s">
        <v>1464</v>
      </c>
      <c r="C137" s="78" t="s">
        <v>798</v>
      </c>
      <c r="D137" s="108">
        <v>5</v>
      </c>
      <c r="E137" s="108">
        <v>7</v>
      </c>
      <c r="F137" s="78" t="s">
        <v>1643</v>
      </c>
      <c r="G137" s="78" t="s">
        <v>1838</v>
      </c>
      <c r="H137" s="78" t="s">
        <v>1643</v>
      </c>
      <c r="I137" s="78" t="s">
        <v>1700</v>
      </c>
      <c r="J137" s="78" t="s">
        <v>1643</v>
      </c>
      <c r="K137" s="78" t="s">
        <v>1643</v>
      </c>
      <c r="L137" s="78" t="s">
        <v>1644</v>
      </c>
      <c r="M137" s="78" t="s">
        <v>1644</v>
      </c>
      <c r="N137" s="78" t="s">
        <v>1643</v>
      </c>
    </row>
    <row r="138" spans="1:14" ht="15.75" thickBot="1" x14ac:dyDescent="0.3">
      <c r="A138" s="44" t="s">
        <v>1472</v>
      </c>
      <c r="B138" s="107" t="s">
        <v>1473</v>
      </c>
      <c r="C138" s="78" t="s">
        <v>798</v>
      </c>
      <c r="D138" s="108">
        <v>2</v>
      </c>
      <c r="E138" s="108">
        <v>5</v>
      </c>
      <c r="F138" s="78" t="s">
        <v>1643</v>
      </c>
      <c r="G138" s="78" t="s">
        <v>1839</v>
      </c>
      <c r="H138" s="78" t="s">
        <v>1643</v>
      </c>
      <c r="I138" s="78" t="s">
        <v>1839</v>
      </c>
      <c r="J138" s="78" t="s">
        <v>1643</v>
      </c>
      <c r="K138" s="78" t="s">
        <v>1643</v>
      </c>
      <c r="L138" s="78" t="s">
        <v>1644</v>
      </c>
      <c r="M138" s="78" t="s">
        <v>1644</v>
      </c>
      <c r="N138" s="78" t="s">
        <v>1643</v>
      </c>
    </row>
    <row r="139" spans="1:14" ht="15.75" thickBot="1" x14ac:dyDescent="0.3">
      <c r="A139" s="44" t="s">
        <v>1494</v>
      </c>
      <c r="B139" s="107" t="s">
        <v>1495</v>
      </c>
      <c r="C139" s="78" t="s">
        <v>798</v>
      </c>
      <c r="D139" s="108">
        <v>6</v>
      </c>
      <c r="E139" s="108">
        <v>19</v>
      </c>
      <c r="F139" s="78" t="s">
        <v>1643</v>
      </c>
      <c r="G139" s="78" t="s">
        <v>1843</v>
      </c>
      <c r="H139" s="78" t="s">
        <v>1643</v>
      </c>
      <c r="I139" s="78" t="s">
        <v>1843</v>
      </c>
      <c r="J139" s="78" t="s">
        <v>1643</v>
      </c>
      <c r="K139" s="78" t="s">
        <v>1643</v>
      </c>
      <c r="L139" s="78" t="s">
        <v>1644</v>
      </c>
      <c r="M139" s="78" t="s">
        <v>1644</v>
      </c>
      <c r="N139" s="78" t="s">
        <v>1643</v>
      </c>
    </row>
    <row r="140" spans="1:14" ht="15.75" thickBot="1" x14ac:dyDescent="0.3">
      <c r="A140" s="44" t="s">
        <v>1506</v>
      </c>
      <c r="B140" s="107" t="s">
        <v>1507</v>
      </c>
      <c r="C140" s="78" t="s">
        <v>798</v>
      </c>
      <c r="D140" s="108">
        <v>5</v>
      </c>
      <c r="E140" s="108">
        <v>8</v>
      </c>
      <c r="F140" s="78" t="s">
        <v>1643</v>
      </c>
      <c r="G140" s="78" t="s">
        <v>1539</v>
      </c>
      <c r="H140" s="78" t="s">
        <v>1643</v>
      </c>
      <c r="I140" s="78" t="s">
        <v>1539</v>
      </c>
      <c r="J140" s="78" t="s">
        <v>1643</v>
      </c>
      <c r="K140" s="78" t="s">
        <v>1643</v>
      </c>
      <c r="L140" s="78" t="s">
        <v>1644</v>
      </c>
      <c r="M140" s="78" t="s">
        <v>1644</v>
      </c>
      <c r="N140" s="78" t="s">
        <v>1643</v>
      </c>
    </row>
    <row r="141" spans="1:14" ht="15.75" thickBot="1" x14ac:dyDescent="0.3">
      <c r="A141" s="44" t="s">
        <v>1514</v>
      </c>
      <c r="B141" s="107" t="s">
        <v>1515</v>
      </c>
      <c r="C141" s="78" t="s">
        <v>798</v>
      </c>
      <c r="D141" s="108">
        <v>2</v>
      </c>
      <c r="E141" s="108">
        <v>6</v>
      </c>
      <c r="F141" s="78" t="s">
        <v>1643</v>
      </c>
      <c r="G141" s="78" t="s">
        <v>1679</v>
      </c>
      <c r="H141" s="78" t="s">
        <v>1643</v>
      </c>
      <c r="I141" s="78" t="s">
        <v>1679</v>
      </c>
      <c r="J141" s="78" t="s">
        <v>1644</v>
      </c>
      <c r="K141" s="78" t="s">
        <v>1643</v>
      </c>
      <c r="L141" s="78" t="s">
        <v>1644</v>
      </c>
      <c r="M141" s="78" t="s">
        <v>1643</v>
      </c>
      <c r="N141" s="78" t="s">
        <v>1643</v>
      </c>
    </row>
    <row r="142" spans="1:14" ht="15.75" thickBot="1" x14ac:dyDescent="0.3">
      <c r="A142" s="44" t="s">
        <v>1522</v>
      </c>
      <c r="B142" s="107" t="s">
        <v>1523</v>
      </c>
      <c r="C142" s="78" t="s">
        <v>798</v>
      </c>
      <c r="D142" s="108">
        <v>2</v>
      </c>
      <c r="E142" s="108">
        <v>8</v>
      </c>
      <c r="F142" s="78" t="s">
        <v>1643</v>
      </c>
      <c r="G142" s="78" t="s">
        <v>1679</v>
      </c>
      <c r="H142" s="78" t="s">
        <v>1643</v>
      </c>
      <c r="I142" s="78" t="s">
        <v>1845</v>
      </c>
      <c r="J142" s="78" t="s">
        <v>1643</v>
      </c>
      <c r="K142" s="78" t="s">
        <v>1643</v>
      </c>
      <c r="L142" s="78" t="s">
        <v>1644</v>
      </c>
      <c r="M142" s="78" t="s">
        <v>1643</v>
      </c>
      <c r="N142" s="78" t="s">
        <v>1643</v>
      </c>
    </row>
    <row r="143" spans="1:14" ht="15.75" thickBot="1" x14ac:dyDescent="0.3">
      <c r="A143" s="44" t="s">
        <v>1530</v>
      </c>
      <c r="B143" s="107" t="s">
        <v>1531</v>
      </c>
      <c r="C143" s="78" t="s">
        <v>798</v>
      </c>
      <c r="D143" s="108">
        <v>4</v>
      </c>
      <c r="E143" s="108">
        <v>9</v>
      </c>
      <c r="F143" s="78" t="s">
        <v>1643</v>
      </c>
      <c r="G143" s="78" t="s">
        <v>1756</v>
      </c>
      <c r="H143" s="78" t="s">
        <v>1643</v>
      </c>
      <c r="I143" s="78" t="s">
        <v>1756</v>
      </c>
      <c r="J143" s="78" t="s">
        <v>1643</v>
      </c>
      <c r="K143" s="78" t="s">
        <v>1643</v>
      </c>
      <c r="L143" s="78" t="s">
        <v>1644</v>
      </c>
      <c r="M143" s="78" t="s">
        <v>1643</v>
      </c>
      <c r="N143" s="78" t="s">
        <v>1643</v>
      </c>
    </row>
    <row r="144" spans="1:14" ht="15.75" thickBot="1" x14ac:dyDescent="0.3">
      <c r="A144" s="44" t="s">
        <v>1544</v>
      </c>
      <c r="B144" s="107" t="s">
        <v>1545</v>
      </c>
      <c r="C144" s="78" t="s">
        <v>798</v>
      </c>
      <c r="D144" s="108">
        <v>3</v>
      </c>
      <c r="E144" s="108">
        <v>5</v>
      </c>
      <c r="F144" s="78" t="s">
        <v>1643</v>
      </c>
      <c r="G144" s="78" t="s">
        <v>1730</v>
      </c>
      <c r="H144" s="78" t="s">
        <v>1643</v>
      </c>
      <c r="I144" s="78" t="s">
        <v>1730</v>
      </c>
      <c r="J144" s="78" t="s">
        <v>1643</v>
      </c>
      <c r="K144" s="78" t="s">
        <v>1643</v>
      </c>
      <c r="L144" s="78" t="s">
        <v>1644</v>
      </c>
      <c r="M144" s="78" t="s">
        <v>1643</v>
      </c>
      <c r="N144" s="78" t="s">
        <v>1643</v>
      </c>
    </row>
    <row r="145" spans="1:14" ht="15.75" thickBot="1" x14ac:dyDescent="0.3">
      <c r="A145" s="44" t="s">
        <v>1550</v>
      </c>
      <c r="B145" s="107" t="s">
        <v>1551</v>
      </c>
      <c r="C145" s="78" t="s">
        <v>798</v>
      </c>
      <c r="D145" s="108">
        <v>3</v>
      </c>
      <c r="E145" s="108">
        <v>10</v>
      </c>
      <c r="F145" s="78" t="s">
        <v>1643</v>
      </c>
      <c r="G145" s="78" t="s">
        <v>1684</v>
      </c>
      <c r="H145" s="78" t="s">
        <v>1643</v>
      </c>
      <c r="I145" s="78" t="s">
        <v>1684</v>
      </c>
      <c r="J145" s="78" t="s">
        <v>1643</v>
      </c>
      <c r="K145" s="78" t="s">
        <v>1643</v>
      </c>
      <c r="L145" s="78" t="s">
        <v>1644</v>
      </c>
      <c r="M145" s="78" t="s">
        <v>1644</v>
      </c>
      <c r="N145" s="78" t="s">
        <v>1643</v>
      </c>
    </row>
    <row r="146" spans="1:14" ht="15.75" thickBot="1" x14ac:dyDescent="0.3">
      <c r="A146" s="44" t="s">
        <v>1560</v>
      </c>
      <c r="B146" s="107" t="s">
        <v>1561</v>
      </c>
      <c r="C146" s="78" t="s">
        <v>798</v>
      </c>
      <c r="D146" s="108">
        <v>8</v>
      </c>
      <c r="E146" s="108">
        <v>13</v>
      </c>
      <c r="F146" s="78" t="s">
        <v>1643</v>
      </c>
      <c r="G146" s="78" t="s">
        <v>1688</v>
      </c>
      <c r="H146" s="78" t="s">
        <v>1643</v>
      </c>
      <c r="I146" s="78" t="s">
        <v>1711</v>
      </c>
      <c r="J146" s="78" t="s">
        <v>1643</v>
      </c>
      <c r="K146" s="78" t="s">
        <v>1643</v>
      </c>
      <c r="L146" s="78" t="s">
        <v>1644</v>
      </c>
      <c r="M146" s="78" t="s">
        <v>1643</v>
      </c>
      <c r="N146" s="78" t="s">
        <v>1643</v>
      </c>
    </row>
    <row r="147" spans="1:14" ht="15.75" thickBot="1" x14ac:dyDescent="0.3">
      <c r="A147" s="44" t="s">
        <v>1570</v>
      </c>
      <c r="B147" s="107" t="s">
        <v>1571</v>
      </c>
      <c r="C147" s="78" t="s">
        <v>798</v>
      </c>
      <c r="D147" s="108">
        <v>5</v>
      </c>
      <c r="E147" s="108">
        <v>11</v>
      </c>
      <c r="F147" s="78" t="s">
        <v>1643</v>
      </c>
      <c r="G147" s="78" t="s">
        <v>1756</v>
      </c>
      <c r="H147" s="78" t="s">
        <v>1643</v>
      </c>
      <c r="I147" s="78" t="s">
        <v>1756</v>
      </c>
      <c r="J147" s="78" t="s">
        <v>1643</v>
      </c>
      <c r="K147" s="78" t="s">
        <v>1643</v>
      </c>
      <c r="L147" s="78" t="s">
        <v>1644</v>
      </c>
      <c r="M147" s="78" t="s">
        <v>1643</v>
      </c>
      <c r="N147" s="78" t="s">
        <v>1643</v>
      </c>
    </row>
    <row r="148" spans="1:14" ht="15.75" thickBot="1" x14ac:dyDescent="0.3">
      <c r="A148" s="44" t="s">
        <v>1588</v>
      </c>
      <c r="B148" s="107" t="s">
        <v>1589</v>
      </c>
      <c r="C148" s="78" t="s">
        <v>798</v>
      </c>
      <c r="D148" s="108">
        <v>7</v>
      </c>
      <c r="E148" s="108">
        <v>14</v>
      </c>
      <c r="F148" s="78" t="s">
        <v>1643</v>
      </c>
      <c r="G148" s="78" t="s">
        <v>1860</v>
      </c>
      <c r="H148" s="78" t="s">
        <v>1643</v>
      </c>
      <c r="I148" s="78" t="s">
        <v>1860</v>
      </c>
      <c r="J148" s="78" t="s">
        <v>1643</v>
      </c>
      <c r="K148" s="78" t="s">
        <v>1643</v>
      </c>
      <c r="L148" s="78" t="s">
        <v>1644</v>
      </c>
      <c r="M148" s="78" t="s">
        <v>1644</v>
      </c>
      <c r="N148" s="78" t="s">
        <v>1643</v>
      </c>
    </row>
    <row r="149" spans="1:14" ht="15.75" thickBot="1" x14ac:dyDescent="0.3">
      <c r="A149" s="44" t="s">
        <v>806</v>
      </c>
      <c r="B149" s="107" t="s">
        <v>807</v>
      </c>
      <c r="C149" s="78" t="s">
        <v>808</v>
      </c>
      <c r="D149" s="108">
        <v>5</v>
      </c>
      <c r="E149" s="108">
        <v>14</v>
      </c>
      <c r="F149" s="78" t="s">
        <v>1643</v>
      </c>
      <c r="G149" s="78" t="s">
        <v>1680</v>
      </c>
      <c r="H149" s="78" t="s">
        <v>1643</v>
      </c>
      <c r="I149" s="78" t="s">
        <v>1680</v>
      </c>
      <c r="J149" s="78" t="s">
        <v>1643</v>
      </c>
      <c r="K149" s="78" t="s">
        <v>1643</v>
      </c>
      <c r="L149" s="78" t="s">
        <v>1644</v>
      </c>
      <c r="M149" s="78" t="s">
        <v>1644</v>
      </c>
      <c r="N149" s="78" t="s">
        <v>1643</v>
      </c>
    </row>
    <row r="150" spans="1:14" ht="15.75" thickBot="1" x14ac:dyDescent="0.3">
      <c r="A150" s="44" t="s">
        <v>809</v>
      </c>
      <c r="B150" s="107" t="s">
        <v>810</v>
      </c>
      <c r="C150" s="78" t="s">
        <v>808</v>
      </c>
      <c r="D150" s="108">
        <v>2</v>
      </c>
      <c r="E150" s="108">
        <v>9</v>
      </c>
      <c r="F150" s="78" t="s">
        <v>1643</v>
      </c>
      <c r="G150" s="78" t="s">
        <v>1681</v>
      </c>
      <c r="H150" s="78" t="s">
        <v>1643</v>
      </c>
      <c r="I150" s="78" t="s">
        <v>1681</v>
      </c>
      <c r="J150" s="78" t="s">
        <v>1643</v>
      </c>
      <c r="K150" s="78" t="s">
        <v>1643</v>
      </c>
      <c r="L150" s="78" t="s">
        <v>1644</v>
      </c>
      <c r="M150" s="78" t="s">
        <v>1643</v>
      </c>
      <c r="N150" s="78" t="s">
        <v>1643</v>
      </c>
    </row>
    <row r="151" spans="1:14" ht="15.75" thickBot="1" x14ac:dyDescent="0.3">
      <c r="A151" s="44" t="s">
        <v>811</v>
      </c>
      <c r="B151" s="107" t="s">
        <v>812</v>
      </c>
      <c r="C151" s="78" t="s">
        <v>808</v>
      </c>
      <c r="D151" s="108">
        <v>19</v>
      </c>
      <c r="E151" s="108">
        <v>30</v>
      </c>
      <c r="F151" s="78" t="s">
        <v>1643</v>
      </c>
      <c r="G151" s="78" t="s">
        <v>1682</v>
      </c>
      <c r="H151" s="78" t="s">
        <v>1643</v>
      </c>
      <c r="I151" s="78" t="s">
        <v>1682</v>
      </c>
      <c r="J151" s="78" t="s">
        <v>1643</v>
      </c>
      <c r="K151" s="78" t="s">
        <v>1643</v>
      </c>
      <c r="L151" s="78" t="s">
        <v>1644</v>
      </c>
      <c r="M151" s="78" t="s">
        <v>1643</v>
      </c>
      <c r="N151" s="78" t="s">
        <v>1643</v>
      </c>
    </row>
    <row r="152" spans="1:14" ht="15.75" thickBot="1" x14ac:dyDescent="0.3">
      <c r="A152" s="44" t="s">
        <v>813</v>
      </c>
      <c r="B152" s="107" t="s">
        <v>814</v>
      </c>
      <c r="C152" s="78" t="s">
        <v>808</v>
      </c>
      <c r="D152" s="108">
        <v>12</v>
      </c>
      <c r="E152" s="108">
        <v>45</v>
      </c>
      <c r="F152" s="78" t="s">
        <v>1643</v>
      </c>
      <c r="G152" s="78" t="s">
        <v>1683</v>
      </c>
      <c r="H152" s="78" t="s">
        <v>1643</v>
      </c>
      <c r="I152" s="78" t="s">
        <v>1683</v>
      </c>
      <c r="J152" s="78" t="s">
        <v>1643</v>
      </c>
      <c r="K152" s="78" t="s">
        <v>1643</v>
      </c>
      <c r="L152" s="78" t="s">
        <v>1644</v>
      </c>
      <c r="M152" s="78" t="s">
        <v>1643</v>
      </c>
      <c r="N152" s="78" t="s">
        <v>1643</v>
      </c>
    </row>
    <row r="153" spans="1:14" ht="15.75" thickBot="1" x14ac:dyDescent="0.3">
      <c r="A153" s="44" t="s">
        <v>825</v>
      </c>
      <c r="B153" s="107" t="s">
        <v>826</v>
      </c>
      <c r="C153" s="78" t="s">
        <v>808</v>
      </c>
      <c r="D153" s="108">
        <v>7</v>
      </c>
      <c r="E153" s="108">
        <v>18</v>
      </c>
      <c r="F153" s="78" t="s">
        <v>1643</v>
      </c>
      <c r="G153" s="78" t="s">
        <v>1688</v>
      </c>
      <c r="H153" s="78" t="s">
        <v>1643</v>
      </c>
      <c r="I153" s="78" t="s">
        <v>1688</v>
      </c>
      <c r="J153" s="78" t="s">
        <v>1643</v>
      </c>
      <c r="K153" s="78" t="s">
        <v>1643</v>
      </c>
      <c r="L153" s="78" t="s">
        <v>1644</v>
      </c>
      <c r="M153" s="78" t="s">
        <v>1644</v>
      </c>
      <c r="N153" s="78" t="s">
        <v>1643</v>
      </c>
    </row>
    <row r="154" spans="1:14" ht="15.75" thickBot="1" x14ac:dyDescent="0.3">
      <c r="A154" s="44" t="s">
        <v>833</v>
      </c>
      <c r="B154" s="107" t="s">
        <v>834</v>
      </c>
      <c r="C154" s="78" t="s">
        <v>808</v>
      </c>
      <c r="D154" s="108">
        <v>9</v>
      </c>
      <c r="E154" s="108">
        <v>21</v>
      </c>
      <c r="F154" s="78" t="s">
        <v>1643</v>
      </c>
      <c r="G154" s="78" t="s">
        <v>1691</v>
      </c>
      <c r="H154" s="78" t="s">
        <v>1643</v>
      </c>
      <c r="I154" s="78" t="s">
        <v>1692</v>
      </c>
      <c r="J154" s="78" t="s">
        <v>1643</v>
      </c>
      <c r="K154" s="78" t="s">
        <v>1643</v>
      </c>
      <c r="L154" s="78" t="s">
        <v>1644</v>
      </c>
      <c r="M154" s="78" t="s">
        <v>1643</v>
      </c>
      <c r="N154" s="78" t="s">
        <v>1643</v>
      </c>
    </row>
    <row r="155" spans="1:14" ht="15.75" thickBot="1" x14ac:dyDescent="0.3">
      <c r="A155" s="44" t="s">
        <v>848</v>
      </c>
      <c r="B155" s="107" t="s">
        <v>849</v>
      </c>
      <c r="C155" s="78" t="s">
        <v>808</v>
      </c>
      <c r="D155" s="108">
        <v>2</v>
      </c>
      <c r="E155" s="108">
        <v>5</v>
      </c>
      <c r="F155" s="78" t="s">
        <v>1643</v>
      </c>
      <c r="G155" s="78" t="s">
        <v>1700</v>
      </c>
      <c r="H155" s="78" t="s">
        <v>1643</v>
      </c>
      <c r="I155" s="78" t="s">
        <v>1700</v>
      </c>
      <c r="J155" s="78" t="s">
        <v>1643</v>
      </c>
      <c r="K155" s="78" t="s">
        <v>1643</v>
      </c>
      <c r="L155" s="78" t="s">
        <v>1644</v>
      </c>
      <c r="M155" s="78" t="s">
        <v>1644</v>
      </c>
      <c r="N155" s="78" t="s">
        <v>1643</v>
      </c>
    </row>
    <row r="156" spans="1:14" ht="15.75" thickBot="1" x14ac:dyDescent="0.3">
      <c r="A156" s="44" t="s">
        <v>859</v>
      </c>
      <c r="B156" s="107" t="s">
        <v>860</v>
      </c>
      <c r="C156" s="78" t="s">
        <v>808</v>
      </c>
      <c r="D156" s="127">
        <v>4</v>
      </c>
      <c r="E156" s="127">
        <v>8</v>
      </c>
      <c r="F156" s="78" t="s">
        <v>1643</v>
      </c>
      <c r="G156" s="78" t="s">
        <v>1756</v>
      </c>
      <c r="H156" s="78" t="s">
        <v>1643</v>
      </c>
      <c r="I156" s="78" t="s">
        <v>1756</v>
      </c>
      <c r="J156" s="78" t="s">
        <v>1643</v>
      </c>
      <c r="K156" s="78" t="s">
        <v>1643</v>
      </c>
      <c r="L156" s="78" t="s">
        <v>1644</v>
      </c>
      <c r="M156" s="78" t="s">
        <v>1644</v>
      </c>
      <c r="N156" s="78" t="s">
        <v>1643</v>
      </c>
    </row>
    <row r="157" spans="1:14" ht="15.75" thickBot="1" x14ac:dyDescent="0.3">
      <c r="A157" s="44" t="s">
        <v>879</v>
      </c>
      <c r="B157" s="107" t="s">
        <v>880</v>
      </c>
      <c r="C157" s="78" t="s">
        <v>808</v>
      </c>
      <c r="D157" s="108">
        <v>11</v>
      </c>
      <c r="E157" s="108">
        <v>23</v>
      </c>
      <c r="F157" s="78" t="s">
        <v>1643</v>
      </c>
      <c r="G157" s="78" t="s">
        <v>1700</v>
      </c>
      <c r="H157" s="78" t="s">
        <v>1643</v>
      </c>
      <c r="I157" s="78" t="s">
        <v>1700</v>
      </c>
      <c r="J157" s="78" t="s">
        <v>1643</v>
      </c>
      <c r="K157" s="78" t="s">
        <v>1643</v>
      </c>
      <c r="L157" s="78" t="s">
        <v>1644</v>
      </c>
      <c r="M157" s="78" t="s">
        <v>1643</v>
      </c>
      <c r="N157" s="78" t="s">
        <v>1643</v>
      </c>
    </row>
    <row r="158" spans="1:14" ht="15.75" thickBot="1" x14ac:dyDescent="0.3">
      <c r="A158" s="44" t="s">
        <v>889</v>
      </c>
      <c r="B158" s="107" t="s">
        <v>890</v>
      </c>
      <c r="C158" s="78" t="s">
        <v>808</v>
      </c>
      <c r="D158" s="108">
        <v>6</v>
      </c>
      <c r="E158" s="108">
        <v>17</v>
      </c>
      <c r="F158" s="78" t="s">
        <v>1643</v>
      </c>
      <c r="G158" s="78" t="s">
        <v>1715</v>
      </c>
      <c r="H158" s="78" t="s">
        <v>1643</v>
      </c>
      <c r="I158" s="78" t="s">
        <v>1715</v>
      </c>
      <c r="J158" s="78" t="s">
        <v>1643</v>
      </c>
      <c r="K158" s="78" t="s">
        <v>1643</v>
      </c>
      <c r="L158" s="78" t="s">
        <v>1644</v>
      </c>
      <c r="M158" s="78" t="s">
        <v>1643</v>
      </c>
      <c r="N158" s="78" t="s">
        <v>1643</v>
      </c>
    </row>
    <row r="159" spans="1:14" ht="15.75" thickBot="1" x14ac:dyDescent="0.3">
      <c r="A159" s="44" t="s">
        <v>893</v>
      </c>
      <c r="B159" s="107" t="s">
        <v>894</v>
      </c>
      <c r="C159" s="78" t="s">
        <v>808</v>
      </c>
      <c r="D159" s="108">
        <v>9</v>
      </c>
      <c r="E159" s="108">
        <v>22</v>
      </c>
      <c r="F159" s="78" t="s">
        <v>1643</v>
      </c>
      <c r="G159" s="78" t="s">
        <v>1717</v>
      </c>
      <c r="H159" s="78" t="s">
        <v>1643</v>
      </c>
      <c r="I159" s="78" t="s">
        <v>1718</v>
      </c>
      <c r="J159" s="78" t="s">
        <v>1643</v>
      </c>
      <c r="K159" s="78" t="s">
        <v>1643</v>
      </c>
      <c r="L159" s="78" t="s">
        <v>1643</v>
      </c>
      <c r="M159" s="78" t="s">
        <v>1643</v>
      </c>
      <c r="N159" s="78" t="s">
        <v>1643</v>
      </c>
    </row>
    <row r="160" spans="1:14" ht="15.75" thickBot="1" x14ac:dyDescent="0.3">
      <c r="A160" s="44" t="s">
        <v>911</v>
      </c>
      <c r="B160" s="107" t="s">
        <v>912</v>
      </c>
      <c r="C160" s="78" t="s">
        <v>808</v>
      </c>
      <c r="D160" s="108">
        <v>11</v>
      </c>
      <c r="E160" s="108">
        <v>18</v>
      </c>
      <c r="F160" s="78" t="s">
        <v>1643</v>
      </c>
      <c r="G160" s="78" t="s">
        <v>1700</v>
      </c>
      <c r="H160" s="78" t="s">
        <v>1643</v>
      </c>
      <c r="I160" s="78" t="s">
        <v>1700</v>
      </c>
      <c r="J160" s="78" t="s">
        <v>1643</v>
      </c>
      <c r="K160" s="78" t="s">
        <v>1643</v>
      </c>
      <c r="L160" s="78" t="s">
        <v>1643</v>
      </c>
      <c r="M160" s="78" t="s">
        <v>1643</v>
      </c>
      <c r="N160" s="78" t="s">
        <v>1643</v>
      </c>
    </row>
    <row r="161" spans="1:14" ht="15.75" thickBot="1" x14ac:dyDescent="0.3">
      <c r="A161" s="44" t="s">
        <v>913</v>
      </c>
      <c r="B161" s="107" t="s">
        <v>914</v>
      </c>
      <c r="C161" s="78" t="s">
        <v>808</v>
      </c>
      <c r="D161" s="108">
        <v>6</v>
      </c>
      <c r="E161" s="108">
        <v>25</v>
      </c>
      <c r="F161" s="78" t="s">
        <v>1643</v>
      </c>
      <c r="G161" s="78" t="s">
        <v>3453</v>
      </c>
      <c r="H161" s="78" t="s">
        <v>1643</v>
      </c>
      <c r="I161" s="78" t="s">
        <v>3453</v>
      </c>
      <c r="J161" s="78" t="s">
        <v>1643</v>
      </c>
      <c r="K161" s="78" t="s">
        <v>1643</v>
      </c>
      <c r="L161" s="78" t="s">
        <v>1644</v>
      </c>
      <c r="M161" s="78" t="s">
        <v>1644</v>
      </c>
      <c r="N161" s="78" t="s">
        <v>1643</v>
      </c>
    </row>
    <row r="162" spans="1:14" ht="15.75" thickBot="1" x14ac:dyDescent="0.3">
      <c r="A162" s="44" t="s">
        <v>919</v>
      </c>
      <c r="B162" s="107" t="s">
        <v>920</v>
      </c>
      <c r="C162" s="78" t="s">
        <v>808</v>
      </c>
      <c r="D162" s="108">
        <v>4</v>
      </c>
      <c r="E162" s="108">
        <v>25</v>
      </c>
      <c r="F162" s="78" t="s">
        <v>1643</v>
      </c>
      <c r="G162" s="78" t="s">
        <v>1722</v>
      </c>
      <c r="H162" s="78" t="s">
        <v>1643</v>
      </c>
      <c r="I162" s="78" t="s">
        <v>1722</v>
      </c>
      <c r="J162" s="78" t="s">
        <v>1643</v>
      </c>
      <c r="K162" s="78" t="s">
        <v>1643</v>
      </c>
      <c r="L162" s="78" t="s">
        <v>1644</v>
      </c>
      <c r="M162" s="78" t="s">
        <v>1643</v>
      </c>
      <c r="N162" s="78" t="s">
        <v>1643</v>
      </c>
    </row>
    <row r="163" spans="1:14" ht="15.75" thickBot="1" x14ac:dyDescent="0.3">
      <c r="A163" s="44" t="s">
        <v>927</v>
      </c>
      <c r="B163" s="107" t="s">
        <v>928</v>
      </c>
      <c r="C163" s="78" t="s">
        <v>808</v>
      </c>
      <c r="D163" s="108">
        <v>10</v>
      </c>
      <c r="E163" s="108">
        <v>21</v>
      </c>
      <c r="F163" s="78" t="s">
        <v>1643</v>
      </c>
      <c r="G163" s="78" t="s">
        <v>1690</v>
      </c>
      <c r="H163" s="78" t="s">
        <v>1643</v>
      </c>
      <c r="I163" s="78" t="s">
        <v>1690</v>
      </c>
      <c r="J163" s="78" t="s">
        <v>1643</v>
      </c>
      <c r="K163" s="78" t="s">
        <v>1643</v>
      </c>
      <c r="L163" s="78" t="s">
        <v>1644</v>
      </c>
      <c r="M163" s="78" t="s">
        <v>1643</v>
      </c>
      <c r="N163" s="78" t="s">
        <v>1643</v>
      </c>
    </row>
    <row r="164" spans="1:14" ht="15.75" thickBot="1" x14ac:dyDescent="0.3">
      <c r="A164" s="44" t="s">
        <v>931</v>
      </c>
      <c r="B164" s="107" t="s">
        <v>932</v>
      </c>
      <c r="C164" s="78" t="s">
        <v>808</v>
      </c>
      <c r="D164" s="108">
        <v>6</v>
      </c>
      <c r="E164" s="108">
        <v>19</v>
      </c>
      <c r="F164" s="78" t="s">
        <v>1643</v>
      </c>
      <c r="G164" s="78" t="s">
        <v>1687</v>
      </c>
      <c r="H164" s="78" t="s">
        <v>1643</v>
      </c>
      <c r="I164" s="78" t="s">
        <v>1687</v>
      </c>
      <c r="J164" s="78" t="s">
        <v>1643</v>
      </c>
      <c r="K164" s="78" t="s">
        <v>1643</v>
      </c>
      <c r="L164" s="78" t="s">
        <v>1644</v>
      </c>
      <c r="M164" s="78" t="s">
        <v>1643</v>
      </c>
      <c r="N164" s="78" t="s">
        <v>1643</v>
      </c>
    </row>
    <row r="165" spans="1:14" ht="15.75" thickBot="1" x14ac:dyDescent="0.3">
      <c r="A165" s="44" t="s">
        <v>935</v>
      </c>
      <c r="B165" s="107" t="s">
        <v>936</v>
      </c>
      <c r="C165" s="78" t="s">
        <v>808</v>
      </c>
      <c r="D165" s="108">
        <v>5</v>
      </c>
      <c r="E165" s="108">
        <v>14</v>
      </c>
      <c r="F165" s="78" t="s">
        <v>1643</v>
      </c>
      <c r="G165" s="78" t="s">
        <v>1691</v>
      </c>
      <c r="H165" s="78" t="s">
        <v>1643</v>
      </c>
      <c r="I165" s="78" t="s">
        <v>1691</v>
      </c>
      <c r="J165" s="78" t="s">
        <v>1643</v>
      </c>
      <c r="K165" s="78" t="s">
        <v>1643</v>
      </c>
      <c r="L165" s="78" t="s">
        <v>1644</v>
      </c>
      <c r="M165" s="78" t="s">
        <v>1643</v>
      </c>
      <c r="N165" s="78" t="s">
        <v>1643</v>
      </c>
    </row>
    <row r="166" spans="1:14" ht="15.75" thickBot="1" x14ac:dyDescent="0.3">
      <c r="A166" s="44" t="s">
        <v>937</v>
      </c>
      <c r="B166" s="107" t="s">
        <v>938</v>
      </c>
      <c r="C166" s="78" t="s">
        <v>808</v>
      </c>
      <c r="D166" s="108">
        <v>6</v>
      </c>
      <c r="E166" s="108">
        <v>10</v>
      </c>
      <c r="F166" s="78" t="s">
        <v>1643</v>
      </c>
      <c r="G166" s="78" t="s">
        <v>1690</v>
      </c>
      <c r="H166" s="78" t="s">
        <v>1643</v>
      </c>
      <c r="I166" s="78" t="s">
        <v>1726</v>
      </c>
      <c r="J166" s="78" t="s">
        <v>1643</v>
      </c>
      <c r="K166" s="78" t="s">
        <v>1643</v>
      </c>
      <c r="L166" s="78" t="s">
        <v>1644</v>
      </c>
      <c r="M166" s="78" t="s">
        <v>1643</v>
      </c>
      <c r="N166" s="78" t="s">
        <v>1643</v>
      </c>
    </row>
    <row r="167" spans="1:14" ht="15.75" thickBot="1" x14ac:dyDescent="0.3">
      <c r="A167" s="44" t="s">
        <v>943</v>
      </c>
      <c r="B167" s="107" t="s">
        <v>944</v>
      </c>
      <c r="C167" s="78" t="s">
        <v>808</v>
      </c>
      <c r="D167" s="108">
        <v>20</v>
      </c>
      <c r="E167" s="108">
        <v>34</v>
      </c>
      <c r="F167" s="78" t="s">
        <v>1643</v>
      </c>
      <c r="G167" s="78" t="s">
        <v>1690</v>
      </c>
      <c r="H167" s="78" t="s">
        <v>1643</v>
      </c>
      <c r="I167" s="78" t="s">
        <v>1728</v>
      </c>
      <c r="J167" s="78" t="s">
        <v>1643</v>
      </c>
      <c r="K167" s="78" t="s">
        <v>1643</v>
      </c>
      <c r="L167" s="78" t="s">
        <v>1643</v>
      </c>
      <c r="M167" s="78" t="s">
        <v>1643</v>
      </c>
      <c r="N167" s="78" t="s">
        <v>1643</v>
      </c>
    </row>
    <row r="168" spans="1:14" ht="15.75" thickBot="1" x14ac:dyDescent="0.3">
      <c r="A168" s="44" t="s">
        <v>979</v>
      </c>
      <c r="B168" s="107" t="s">
        <v>980</v>
      </c>
      <c r="C168" s="78" t="s">
        <v>808</v>
      </c>
      <c r="D168" s="108">
        <v>7</v>
      </c>
      <c r="E168" s="108">
        <v>18</v>
      </c>
      <c r="F168" s="78" t="s">
        <v>1643</v>
      </c>
      <c r="G168" s="78" t="s">
        <v>1691</v>
      </c>
      <c r="H168" s="78" t="s">
        <v>1643</v>
      </c>
      <c r="I168" s="78" t="s">
        <v>1687</v>
      </c>
      <c r="J168" s="78" t="s">
        <v>1643</v>
      </c>
      <c r="K168" s="78" t="s">
        <v>1643</v>
      </c>
      <c r="L168" s="78" t="s">
        <v>1644</v>
      </c>
      <c r="M168" s="78" t="s">
        <v>1643</v>
      </c>
      <c r="N168" s="78" t="s">
        <v>1643</v>
      </c>
    </row>
    <row r="169" spans="1:14" ht="15.75" thickBot="1" x14ac:dyDescent="0.3">
      <c r="A169" s="44" t="s">
        <v>1003</v>
      </c>
      <c r="B169" s="107" t="s">
        <v>1004</v>
      </c>
      <c r="C169" s="78" t="s">
        <v>808</v>
      </c>
      <c r="D169" s="108">
        <v>5</v>
      </c>
      <c r="E169" s="108">
        <v>12</v>
      </c>
      <c r="F169" s="78" t="s">
        <v>1643</v>
      </c>
      <c r="G169" s="78" t="s">
        <v>1749</v>
      </c>
      <c r="H169" s="78" t="s">
        <v>1643</v>
      </c>
      <c r="I169" s="78" t="s">
        <v>1750</v>
      </c>
      <c r="J169" s="78" t="s">
        <v>1643</v>
      </c>
      <c r="K169" s="78" t="s">
        <v>1643</v>
      </c>
      <c r="L169" s="78" t="s">
        <v>1644</v>
      </c>
      <c r="M169" s="78" t="s">
        <v>1643</v>
      </c>
      <c r="N169" s="78" t="s">
        <v>1643</v>
      </c>
    </row>
    <row r="170" spans="1:14" ht="15.75" thickBot="1" x14ac:dyDescent="0.3">
      <c r="A170" s="44" t="s">
        <v>1015</v>
      </c>
      <c r="B170" s="107" t="s">
        <v>1016</v>
      </c>
      <c r="C170" s="78" t="s">
        <v>808</v>
      </c>
      <c r="D170" s="108">
        <v>5</v>
      </c>
      <c r="E170" s="108">
        <v>8</v>
      </c>
      <c r="F170" s="78" t="s">
        <v>1643</v>
      </c>
      <c r="G170" s="78" t="s">
        <v>1691</v>
      </c>
      <c r="H170" s="78" t="s">
        <v>1643</v>
      </c>
      <c r="I170" s="78" t="s">
        <v>1691</v>
      </c>
      <c r="J170" s="78" t="s">
        <v>1643</v>
      </c>
      <c r="K170" s="78" t="s">
        <v>1643</v>
      </c>
      <c r="L170" s="78" t="s">
        <v>1644</v>
      </c>
      <c r="M170" s="78" t="s">
        <v>1643</v>
      </c>
      <c r="N170" s="78" t="s">
        <v>1643</v>
      </c>
    </row>
    <row r="171" spans="1:14" ht="15.75" thickBot="1" x14ac:dyDescent="0.3">
      <c r="A171" s="44" t="s">
        <v>1029</v>
      </c>
      <c r="B171" s="107" t="s">
        <v>1030</v>
      </c>
      <c r="C171" s="78" t="s">
        <v>808</v>
      </c>
      <c r="D171" s="108">
        <v>6</v>
      </c>
      <c r="E171" s="108">
        <v>14</v>
      </c>
      <c r="F171" s="78" t="s">
        <v>1643</v>
      </c>
      <c r="G171" s="78" t="s">
        <v>1756</v>
      </c>
      <c r="H171" s="78" t="s">
        <v>1643</v>
      </c>
      <c r="I171" s="78" t="s">
        <v>1756</v>
      </c>
      <c r="J171" s="78" t="s">
        <v>1643</v>
      </c>
      <c r="K171" s="78" t="s">
        <v>1643</v>
      </c>
      <c r="L171" s="78" t="s">
        <v>1644</v>
      </c>
      <c r="M171" s="78" t="s">
        <v>1643</v>
      </c>
      <c r="N171" s="78" t="s">
        <v>1643</v>
      </c>
    </row>
    <row r="172" spans="1:14" ht="15.75" thickBot="1" x14ac:dyDescent="0.3">
      <c r="A172" s="44" t="s">
        <v>1033</v>
      </c>
      <c r="B172" s="107" t="s">
        <v>1034</v>
      </c>
      <c r="C172" s="78" t="s">
        <v>808</v>
      </c>
      <c r="D172" s="108">
        <v>3</v>
      </c>
      <c r="E172" s="108">
        <v>13</v>
      </c>
      <c r="F172" s="78" t="s">
        <v>1643</v>
      </c>
      <c r="G172" s="78" t="s">
        <v>3453</v>
      </c>
      <c r="H172" s="78" t="s">
        <v>1643</v>
      </c>
      <c r="I172" s="78" t="s">
        <v>3453</v>
      </c>
      <c r="J172" s="78" t="s">
        <v>1643</v>
      </c>
      <c r="K172" s="78" t="s">
        <v>1643</v>
      </c>
      <c r="L172" s="78" t="s">
        <v>1644</v>
      </c>
      <c r="M172" s="78" t="s">
        <v>1643</v>
      </c>
      <c r="N172" s="78" t="s">
        <v>1643</v>
      </c>
    </row>
    <row r="173" spans="1:14" ht="15.75" thickBot="1" x14ac:dyDescent="0.3">
      <c r="A173" s="44" t="s">
        <v>1045</v>
      </c>
      <c r="B173" s="107" t="s">
        <v>1046</v>
      </c>
      <c r="C173" s="78" t="s">
        <v>808</v>
      </c>
      <c r="D173" s="108">
        <v>4</v>
      </c>
      <c r="E173" s="108">
        <v>12</v>
      </c>
      <c r="F173" s="78" t="s">
        <v>1643</v>
      </c>
      <c r="G173" s="78" t="s">
        <v>1757</v>
      </c>
      <c r="H173" s="78" t="s">
        <v>1643</v>
      </c>
      <c r="I173" s="78" t="s">
        <v>1757</v>
      </c>
      <c r="J173" s="78" t="s">
        <v>1644</v>
      </c>
      <c r="K173" s="78" t="s">
        <v>1643</v>
      </c>
      <c r="L173" s="78" t="s">
        <v>1644</v>
      </c>
      <c r="M173" s="78" t="s">
        <v>1643</v>
      </c>
      <c r="N173" s="78" t="s">
        <v>1643</v>
      </c>
    </row>
    <row r="174" spans="1:14" ht="15.75" thickBot="1" x14ac:dyDescent="0.3">
      <c r="A174" s="44" t="s">
        <v>1069</v>
      </c>
      <c r="B174" s="107" t="s">
        <v>1070</v>
      </c>
      <c r="C174" s="78" t="s">
        <v>808</v>
      </c>
      <c r="D174" s="108">
        <v>9</v>
      </c>
      <c r="E174" s="108">
        <v>18</v>
      </c>
      <c r="F174" s="78" t="s">
        <v>1643</v>
      </c>
      <c r="G174" s="78" t="s">
        <v>1702</v>
      </c>
      <c r="H174" s="78" t="s">
        <v>1643</v>
      </c>
      <c r="I174" s="78" t="s">
        <v>1702</v>
      </c>
      <c r="J174" s="78" t="s">
        <v>1643</v>
      </c>
      <c r="K174" s="78" t="s">
        <v>1643</v>
      </c>
      <c r="L174" s="78" t="s">
        <v>1644</v>
      </c>
      <c r="M174" s="78" t="s">
        <v>1644</v>
      </c>
      <c r="N174" s="78" t="s">
        <v>1643</v>
      </c>
    </row>
    <row r="175" spans="1:14" ht="15.75" thickBot="1" x14ac:dyDescent="0.3">
      <c r="A175" s="44" t="s">
        <v>1081</v>
      </c>
      <c r="B175" s="107" t="s">
        <v>1082</v>
      </c>
      <c r="C175" s="78" t="s">
        <v>808</v>
      </c>
      <c r="D175" s="108">
        <v>4</v>
      </c>
      <c r="E175" s="108">
        <v>7</v>
      </c>
      <c r="F175" s="78" t="s">
        <v>1643</v>
      </c>
      <c r="G175" s="78" t="s">
        <v>1700</v>
      </c>
      <c r="H175" s="78" t="s">
        <v>1643</v>
      </c>
      <c r="I175" s="78" t="s">
        <v>1700</v>
      </c>
      <c r="J175" s="78" t="s">
        <v>1643</v>
      </c>
      <c r="K175" s="78" t="s">
        <v>1643</v>
      </c>
      <c r="L175" s="78" t="s">
        <v>1644</v>
      </c>
      <c r="M175" s="78" t="s">
        <v>1644</v>
      </c>
      <c r="N175" s="78" t="s">
        <v>1643</v>
      </c>
    </row>
    <row r="176" spans="1:14" ht="15.75" thickBot="1" x14ac:dyDescent="0.3">
      <c r="A176" s="44" t="s">
        <v>1087</v>
      </c>
      <c r="B176" s="107" t="s">
        <v>1088</v>
      </c>
      <c r="C176" s="78" t="s">
        <v>808</v>
      </c>
      <c r="D176" s="108">
        <v>13</v>
      </c>
      <c r="E176" s="108">
        <v>19</v>
      </c>
      <c r="F176" s="78" t="s">
        <v>1643</v>
      </c>
      <c r="G176" s="78" t="s">
        <v>1735</v>
      </c>
      <c r="H176" s="78" t="s">
        <v>1643</v>
      </c>
      <c r="I176" s="78" t="s">
        <v>1735</v>
      </c>
      <c r="J176" s="78" t="s">
        <v>1643</v>
      </c>
      <c r="K176" s="78" t="s">
        <v>1643</v>
      </c>
      <c r="L176" s="78" t="s">
        <v>1643</v>
      </c>
      <c r="M176" s="78" t="s">
        <v>1643</v>
      </c>
      <c r="N176" s="78" t="s">
        <v>1643</v>
      </c>
    </row>
    <row r="177" spans="1:14" ht="15.75" thickBot="1" x14ac:dyDescent="0.3">
      <c r="A177" s="44" t="s">
        <v>1095</v>
      </c>
      <c r="B177" s="107" t="s">
        <v>1096</v>
      </c>
      <c r="C177" s="78" t="s">
        <v>808</v>
      </c>
      <c r="D177" s="108">
        <v>4</v>
      </c>
      <c r="E177" s="108">
        <v>22</v>
      </c>
      <c r="F177" s="78" t="s">
        <v>1643</v>
      </c>
      <c r="G177" s="78" t="s">
        <v>1730</v>
      </c>
      <c r="H177" s="78" t="s">
        <v>1643</v>
      </c>
      <c r="I177" s="78" t="s">
        <v>1768</v>
      </c>
      <c r="J177" s="78" t="s">
        <v>1643</v>
      </c>
      <c r="K177" s="78" t="s">
        <v>1643</v>
      </c>
      <c r="L177" s="78" t="s">
        <v>1644</v>
      </c>
      <c r="M177" s="78" t="s">
        <v>1643</v>
      </c>
      <c r="N177" s="78" t="s">
        <v>1643</v>
      </c>
    </row>
    <row r="178" spans="1:14" ht="15.75" thickBot="1" x14ac:dyDescent="0.3">
      <c r="A178" s="44" t="s">
        <v>1109</v>
      </c>
      <c r="B178" s="107" t="s">
        <v>1110</v>
      </c>
      <c r="C178" s="78" t="s">
        <v>808</v>
      </c>
      <c r="D178" s="108">
        <v>7</v>
      </c>
      <c r="E178" s="108">
        <v>13</v>
      </c>
      <c r="F178" s="78" t="s">
        <v>1643</v>
      </c>
      <c r="G178" s="78" t="s">
        <v>1703</v>
      </c>
      <c r="H178" s="78" t="s">
        <v>1643</v>
      </c>
      <c r="I178" s="78" t="s">
        <v>1771</v>
      </c>
      <c r="J178" s="78" t="s">
        <v>1643</v>
      </c>
      <c r="K178" s="78" t="s">
        <v>1643</v>
      </c>
      <c r="L178" s="78" t="s">
        <v>1644</v>
      </c>
      <c r="M178" s="78" t="s">
        <v>1643</v>
      </c>
      <c r="N178" s="78" t="s">
        <v>1643</v>
      </c>
    </row>
    <row r="179" spans="1:14" ht="15.75" thickBot="1" x14ac:dyDescent="0.3">
      <c r="A179" s="44" t="s">
        <v>1127</v>
      </c>
      <c r="B179" s="107" t="s">
        <v>1128</v>
      </c>
      <c r="C179" s="78" t="s">
        <v>808</v>
      </c>
      <c r="D179" s="108">
        <v>7</v>
      </c>
      <c r="E179" s="108">
        <v>14</v>
      </c>
      <c r="F179" s="78" t="s">
        <v>1643</v>
      </c>
      <c r="G179" s="78" t="s">
        <v>1775</v>
      </c>
      <c r="H179" s="78" t="s">
        <v>1643</v>
      </c>
      <c r="I179" s="78" t="s">
        <v>1775</v>
      </c>
      <c r="J179" s="78" t="s">
        <v>1643</v>
      </c>
      <c r="K179" s="78" t="s">
        <v>1643</v>
      </c>
      <c r="L179" s="78" t="s">
        <v>1644</v>
      </c>
      <c r="M179" s="78" t="s">
        <v>1644</v>
      </c>
      <c r="N179" s="78" t="s">
        <v>1643</v>
      </c>
    </row>
    <row r="180" spans="1:14" ht="15.75" thickBot="1" x14ac:dyDescent="0.3">
      <c r="A180" s="44" t="s">
        <v>1135</v>
      </c>
      <c r="B180" s="107" t="s">
        <v>1136</v>
      </c>
      <c r="C180" s="78" t="s">
        <v>808</v>
      </c>
      <c r="D180" s="108">
        <v>5</v>
      </c>
      <c r="E180" s="108">
        <v>16</v>
      </c>
      <c r="F180" s="78" t="s">
        <v>1643</v>
      </c>
      <c r="G180" s="78" t="s">
        <v>1691</v>
      </c>
      <c r="H180" s="78" t="s">
        <v>1643</v>
      </c>
      <c r="I180" s="78" t="s">
        <v>1691</v>
      </c>
      <c r="J180" s="78" t="s">
        <v>1643</v>
      </c>
      <c r="K180" s="78" t="s">
        <v>1643</v>
      </c>
      <c r="L180" s="78" t="s">
        <v>1644</v>
      </c>
      <c r="M180" s="78" t="s">
        <v>1643</v>
      </c>
      <c r="N180" s="78" t="s">
        <v>1643</v>
      </c>
    </row>
    <row r="181" spans="1:14" ht="15.75" thickBot="1" x14ac:dyDescent="0.3">
      <c r="A181" s="44" t="s">
        <v>1143</v>
      </c>
      <c r="B181" s="107" t="s">
        <v>1144</v>
      </c>
      <c r="C181" s="78" t="s">
        <v>808</v>
      </c>
      <c r="D181" s="108">
        <v>5</v>
      </c>
      <c r="E181" s="108">
        <v>16</v>
      </c>
      <c r="F181" s="78" t="s">
        <v>1643</v>
      </c>
      <c r="G181" s="78" t="s">
        <v>3453</v>
      </c>
      <c r="H181" s="78" t="s">
        <v>1643</v>
      </c>
      <c r="I181" s="78" t="s">
        <v>3453</v>
      </c>
      <c r="J181" s="78" t="s">
        <v>1644</v>
      </c>
      <c r="K181" s="78" t="s">
        <v>1643</v>
      </c>
      <c r="L181" s="78" t="s">
        <v>1644</v>
      </c>
      <c r="M181" s="78" t="s">
        <v>1644</v>
      </c>
      <c r="N181" s="78" t="s">
        <v>1643</v>
      </c>
    </row>
    <row r="182" spans="1:14" ht="15.75" thickBot="1" x14ac:dyDescent="0.3">
      <c r="A182" s="44" t="s">
        <v>1163</v>
      </c>
      <c r="B182" s="107" t="s">
        <v>1164</v>
      </c>
      <c r="C182" s="78" t="s">
        <v>808</v>
      </c>
      <c r="D182" s="108">
        <v>6</v>
      </c>
      <c r="E182" s="108">
        <v>10</v>
      </c>
      <c r="F182" s="78" t="s">
        <v>1643</v>
      </c>
      <c r="G182" s="78" t="s">
        <v>1688</v>
      </c>
      <c r="H182" s="78" t="s">
        <v>1643</v>
      </c>
      <c r="I182" s="78" t="s">
        <v>1688</v>
      </c>
      <c r="J182" s="78" t="s">
        <v>1643</v>
      </c>
      <c r="K182" s="78" t="s">
        <v>1643</v>
      </c>
      <c r="L182" s="78" t="s">
        <v>1643</v>
      </c>
      <c r="M182" s="78" t="s">
        <v>1643</v>
      </c>
      <c r="N182" s="78" t="s">
        <v>1643</v>
      </c>
    </row>
    <row r="183" spans="1:14" ht="15.75" thickBot="1" x14ac:dyDescent="0.3">
      <c r="A183" s="44" t="s">
        <v>1193</v>
      </c>
      <c r="B183" s="107" t="s">
        <v>1194</v>
      </c>
      <c r="C183" s="78" t="s">
        <v>808</v>
      </c>
      <c r="D183" s="108">
        <v>3</v>
      </c>
      <c r="E183" s="108">
        <v>7</v>
      </c>
      <c r="F183" s="78" t="s">
        <v>1643</v>
      </c>
      <c r="G183" s="78" t="s">
        <v>1704</v>
      </c>
      <c r="H183" s="78" t="s">
        <v>1643</v>
      </c>
      <c r="I183" s="78" t="s">
        <v>1704</v>
      </c>
      <c r="J183" s="78" t="s">
        <v>1643</v>
      </c>
      <c r="K183" s="78" t="s">
        <v>1643</v>
      </c>
      <c r="L183" s="78" t="s">
        <v>1644</v>
      </c>
      <c r="M183" s="78" t="s">
        <v>1643</v>
      </c>
      <c r="N183" s="78" t="s">
        <v>1643</v>
      </c>
    </row>
    <row r="184" spans="1:14" ht="15.75" thickBot="1" x14ac:dyDescent="0.3">
      <c r="A184" s="44" t="s">
        <v>1199</v>
      </c>
      <c r="B184" s="107" t="s">
        <v>1200</v>
      </c>
      <c r="C184" s="78" t="s">
        <v>808</v>
      </c>
      <c r="D184" s="108">
        <v>2</v>
      </c>
      <c r="E184" s="108">
        <v>20</v>
      </c>
      <c r="F184" s="78" t="s">
        <v>1643</v>
      </c>
      <c r="G184" s="78" t="s">
        <v>1789</v>
      </c>
      <c r="H184" s="78" t="s">
        <v>1643</v>
      </c>
      <c r="I184" s="78" t="s">
        <v>1790</v>
      </c>
      <c r="J184" s="78" t="s">
        <v>1643</v>
      </c>
      <c r="K184" s="78" t="s">
        <v>1643</v>
      </c>
      <c r="L184" s="78" t="s">
        <v>1644</v>
      </c>
      <c r="M184" s="78" t="s">
        <v>1643</v>
      </c>
      <c r="N184" s="78" t="s">
        <v>1643</v>
      </c>
    </row>
    <row r="185" spans="1:14" ht="15.75" thickBot="1" x14ac:dyDescent="0.3">
      <c r="A185" s="44" t="s">
        <v>1217</v>
      </c>
      <c r="B185" s="107" t="s">
        <v>1218</v>
      </c>
      <c r="C185" s="78" t="s">
        <v>808</v>
      </c>
      <c r="D185" s="108">
        <v>7</v>
      </c>
      <c r="E185" s="108">
        <v>14</v>
      </c>
      <c r="F185" s="78" t="s">
        <v>1643</v>
      </c>
      <c r="G185" s="78" t="s">
        <v>1681</v>
      </c>
      <c r="H185" s="78" t="s">
        <v>1643</v>
      </c>
      <c r="I185" s="78" t="s">
        <v>1681</v>
      </c>
      <c r="J185" s="78" t="s">
        <v>1643</v>
      </c>
      <c r="K185" s="78" t="s">
        <v>1643</v>
      </c>
      <c r="L185" s="78" t="s">
        <v>1644</v>
      </c>
      <c r="M185" s="78" t="s">
        <v>1643</v>
      </c>
      <c r="N185" s="78" t="s">
        <v>1643</v>
      </c>
    </row>
    <row r="186" spans="1:14" ht="15.75" thickBot="1" x14ac:dyDescent="0.3">
      <c r="A186" s="44" t="s">
        <v>1229</v>
      </c>
      <c r="B186" s="107" t="s">
        <v>1230</v>
      </c>
      <c r="C186" s="78" t="s">
        <v>808</v>
      </c>
      <c r="D186" s="108">
        <v>7</v>
      </c>
      <c r="E186" s="108">
        <v>13</v>
      </c>
      <c r="F186" s="78" t="s">
        <v>1643</v>
      </c>
      <c r="G186" s="78" t="s">
        <v>1799</v>
      </c>
      <c r="H186" s="78" t="s">
        <v>1643</v>
      </c>
      <c r="I186" s="78" t="s">
        <v>1799</v>
      </c>
      <c r="J186" s="78" t="s">
        <v>1643</v>
      </c>
      <c r="K186" s="78" t="s">
        <v>1643</v>
      </c>
      <c r="L186" s="78" t="s">
        <v>1644</v>
      </c>
      <c r="M186" s="78" t="s">
        <v>1643</v>
      </c>
      <c r="N186" s="78" t="s">
        <v>1643</v>
      </c>
    </row>
    <row r="187" spans="1:14" ht="15.75" thickBot="1" x14ac:dyDescent="0.3">
      <c r="A187" s="44" t="s">
        <v>1251</v>
      </c>
      <c r="B187" s="107" t="s">
        <v>1252</v>
      </c>
      <c r="C187" s="78" t="s">
        <v>808</v>
      </c>
      <c r="D187" s="108">
        <v>9</v>
      </c>
      <c r="E187" s="108">
        <v>11</v>
      </c>
      <c r="F187" s="78" t="s">
        <v>1643</v>
      </c>
      <c r="G187" s="78" t="s">
        <v>1762</v>
      </c>
      <c r="H187" s="78" t="s">
        <v>1643</v>
      </c>
      <c r="I187" s="78" t="s">
        <v>1762</v>
      </c>
      <c r="J187" s="78" t="s">
        <v>1643</v>
      </c>
      <c r="K187" s="78" t="s">
        <v>1643</v>
      </c>
      <c r="L187" s="78" t="s">
        <v>1644</v>
      </c>
      <c r="M187" s="78" t="s">
        <v>1643</v>
      </c>
      <c r="N187" s="78" t="s">
        <v>1643</v>
      </c>
    </row>
    <row r="188" spans="1:14" ht="15.75" thickBot="1" x14ac:dyDescent="0.3">
      <c r="A188" s="44" t="s">
        <v>1257</v>
      </c>
      <c r="B188" s="107" t="s">
        <v>1258</v>
      </c>
      <c r="C188" s="78" t="s">
        <v>808</v>
      </c>
      <c r="D188" s="108">
        <v>3</v>
      </c>
      <c r="E188" s="108">
        <v>38</v>
      </c>
      <c r="F188" s="78" t="s">
        <v>1643</v>
      </c>
      <c r="G188" s="78" t="s">
        <v>1730</v>
      </c>
      <c r="H188" s="78" t="s">
        <v>1643</v>
      </c>
      <c r="I188" s="78" t="s">
        <v>1730</v>
      </c>
      <c r="J188" s="78" t="s">
        <v>1643</v>
      </c>
      <c r="K188" s="78" t="s">
        <v>1643</v>
      </c>
      <c r="L188" s="78" t="s">
        <v>1643</v>
      </c>
      <c r="M188" s="78" t="s">
        <v>1643</v>
      </c>
      <c r="N188" s="78" t="s">
        <v>1643</v>
      </c>
    </row>
    <row r="189" spans="1:14" ht="15.75" thickBot="1" x14ac:dyDescent="0.3">
      <c r="A189" s="44" t="s">
        <v>1277</v>
      </c>
      <c r="B189" s="107" t="s">
        <v>1278</v>
      </c>
      <c r="C189" s="78" t="s">
        <v>808</v>
      </c>
      <c r="D189" s="108">
        <v>2</v>
      </c>
      <c r="E189" s="108">
        <v>17</v>
      </c>
      <c r="F189" s="78" t="s">
        <v>1643</v>
      </c>
      <c r="G189" s="78" t="s">
        <v>1762</v>
      </c>
      <c r="H189" s="78" t="s">
        <v>1643</v>
      </c>
      <c r="I189" s="78" t="s">
        <v>1806</v>
      </c>
      <c r="J189" s="78" t="s">
        <v>1643</v>
      </c>
      <c r="K189" s="78" t="s">
        <v>1643</v>
      </c>
      <c r="L189" s="78" t="s">
        <v>1644</v>
      </c>
      <c r="M189" s="78" t="s">
        <v>1643</v>
      </c>
      <c r="N189" s="78" t="s">
        <v>1643</v>
      </c>
    </row>
    <row r="190" spans="1:14" ht="15.75" thickBot="1" x14ac:dyDescent="0.3">
      <c r="A190" s="44" t="s">
        <v>1289</v>
      </c>
      <c r="B190" s="107" t="s">
        <v>1290</v>
      </c>
      <c r="C190" s="78" t="s">
        <v>808</v>
      </c>
      <c r="D190" s="108">
        <v>4</v>
      </c>
      <c r="E190" s="108">
        <v>8</v>
      </c>
      <c r="F190" s="78" t="s">
        <v>1643</v>
      </c>
      <c r="G190" s="78" t="s">
        <v>1700</v>
      </c>
      <c r="H190" s="78" t="s">
        <v>1643</v>
      </c>
      <c r="I190" s="78" t="s">
        <v>1756</v>
      </c>
      <c r="J190" s="78" t="s">
        <v>1643</v>
      </c>
      <c r="K190" s="78" t="s">
        <v>1643</v>
      </c>
      <c r="L190" s="78" t="s">
        <v>1644</v>
      </c>
      <c r="M190" s="78" t="s">
        <v>1644</v>
      </c>
      <c r="N190" s="78" t="s">
        <v>1643</v>
      </c>
    </row>
    <row r="191" spans="1:14" ht="15.75" thickBot="1" x14ac:dyDescent="0.3">
      <c r="A191" s="44" t="s">
        <v>1295</v>
      </c>
      <c r="B191" s="107" t="s">
        <v>1296</v>
      </c>
      <c r="C191" s="78" t="s">
        <v>808</v>
      </c>
      <c r="D191" s="108">
        <v>8</v>
      </c>
      <c r="E191" s="108">
        <v>30</v>
      </c>
      <c r="F191" s="78" t="s">
        <v>1643</v>
      </c>
      <c r="G191" s="78" t="s">
        <v>1745</v>
      </c>
      <c r="H191" s="78" t="s">
        <v>1643</v>
      </c>
      <c r="I191" s="78" t="s">
        <v>1745</v>
      </c>
      <c r="J191" s="78" t="s">
        <v>1643</v>
      </c>
      <c r="K191" s="78" t="s">
        <v>1643</v>
      </c>
      <c r="L191" s="78" t="s">
        <v>1644</v>
      </c>
      <c r="M191" s="78" t="s">
        <v>1643</v>
      </c>
      <c r="N191" s="78" t="s">
        <v>1643</v>
      </c>
    </row>
    <row r="192" spans="1:14" ht="15.75" thickBot="1" x14ac:dyDescent="0.3">
      <c r="A192" s="44" t="s">
        <v>1305</v>
      </c>
      <c r="B192" s="107" t="s">
        <v>1306</v>
      </c>
      <c r="C192" s="78" t="s">
        <v>808</v>
      </c>
      <c r="D192" s="108">
        <v>6</v>
      </c>
      <c r="E192" s="108">
        <v>19</v>
      </c>
      <c r="F192" s="78" t="s">
        <v>1643</v>
      </c>
      <c r="G192" s="78" t="s">
        <v>1810</v>
      </c>
      <c r="H192" s="78" t="s">
        <v>1643</v>
      </c>
      <c r="I192" s="78" t="s">
        <v>1712</v>
      </c>
      <c r="J192" s="78" t="s">
        <v>1643</v>
      </c>
      <c r="K192" s="78" t="s">
        <v>1643</v>
      </c>
      <c r="L192" s="78" t="s">
        <v>1644</v>
      </c>
      <c r="M192" s="78" t="s">
        <v>1643</v>
      </c>
      <c r="N192" s="78" t="s">
        <v>1643</v>
      </c>
    </row>
    <row r="193" spans="1:14" ht="15.75" thickBot="1" x14ac:dyDescent="0.3">
      <c r="A193" s="44" t="s">
        <v>1309</v>
      </c>
      <c r="B193" s="107" t="s">
        <v>1310</v>
      </c>
      <c r="C193" s="78" t="s">
        <v>808</v>
      </c>
      <c r="D193" s="108">
        <v>3</v>
      </c>
      <c r="E193" s="108">
        <v>12</v>
      </c>
      <c r="F193" s="78" t="s">
        <v>1643</v>
      </c>
      <c r="G193" s="78" t="s">
        <v>1690</v>
      </c>
      <c r="H193" s="78" t="s">
        <v>1643</v>
      </c>
      <c r="I193" s="78" t="s">
        <v>1690</v>
      </c>
      <c r="J193" s="78" t="s">
        <v>1643</v>
      </c>
      <c r="K193" s="78" t="s">
        <v>1643</v>
      </c>
      <c r="L193" s="78" t="s">
        <v>1644</v>
      </c>
      <c r="M193" s="78" t="s">
        <v>1643</v>
      </c>
      <c r="N193" s="78" t="s">
        <v>1643</v>
      </c>
    </row>
    <row r="194" spans="1:14" ht="15.75" thickBot="1" x14ac:dyDescent="0.3">
      <c r="A194" s="44" t="s">
        <v>1321</v>
      </c>
      <c r="B194" s="107" t="s">
        <v>1322</v>
      </c>
      <c r="C194" s="78" t="s">
        <v>808</v>
      </c>
      <c r="D194" s="108">
        <v>12</v>
      </c>
      <c r="E194" s="108">
        <v>18</v>
      </c>
      <c r="F194" s="78" t="s">
        <v>1643</v>
      </c>
      <c r="G194" s="78" t="s">
        <v>1701</v>
      </c>
      <c r="H194" s="78" t="s">
        <v>1643</v>
      </c>
      <c r="I194" s="78" t="s">
        <v>1701</v>
      </c>
      <c r="J194" s="78" t="s">
        <v>1644</v>
      </c>
      <c r="K194" s="78" t="s">
        <v>1643</v>
      </c>
      <c r="L194" s="78" t="s">
        <v>1644</v>
      </c>
      <c r="M194" s="78" t="s">
        <v>1644</v>
      </c>
      <c r="N194" s="78" t="s">
        <v>1643</v>
      </c>
    </row>
    <row r="195" spans="1:14" ht="15.75" thickBot="1" x14ac:dyDescent="0.3">
      <c r="A195" s="44" t="s">
        <v>1339</v>
      </c>
      <c r="B195" s="107" t="s">
        <v>1340</v>
      </c>
      <c r="C195" s="78" t="s">
        <v>808</v>
      </c>
      <c r="D195" s="108">
        <v>7</v>
      </c>
      <c r="E195" s="108">
        <v>8</v>
      </c>
      <c r="F195" s="78" t="s">
        <v>1643</v>
      </c>
      <c r="G195" s="78" t="s">
        <v>1693</v>
      </c>
      <c r="H195" s="78" t="s">
        <v>1643</v>
      </c>
      <c r="I195" s="78" t="s">
        <v>1693</v>
      </c>
      <c r="J195" s="78" t="s">
        <v>1644</v>
      </c>
      <c r="K195" s="78" t="s">
        <v>1643</v>
      </c>
      <c r="L195" s="78" t="s">
        <v>1644</v>
      </c>
      <c r="M195" s="78" t="s">
        <v>1643</v>
      </c>
      <c r="N195" s="78" t="s">
        <v>1643</v>
      </c>
    </row>
    <row r="196" spans="1:14" ht="15.75" thickBot="1" x14ac:dyDescent="0.3">
      <c r="A196" s="44" t="s">
        <v>1349</v>
      </c>
      <c r="B196" s="107" t="s">
        <v>1350</v>
      </c>
      <c r="C196" s="78" t="s">
        <v>808</v>
      </c>
      <c r="D196" s="108">
        <v>12</v>
      </c>
      <c r="E196" s="108">
        <v>13</v>
      </c>
      <c r="F196" s="78" t="s">
        <v>1643</v>
      </c>
      <c r="G196" s="78" t="s">
        <v>1702</v>
      </c>
      <c r="H196" s="78" t="s">
        <v>1643</v>
      </c>
      <c r="I196" s="78" t="s">
        <v>1702</v>
      </c>
      <c r="J196" s="78" t="s">
        <v>1643</v>
      </c>
      <c r="K196" s="78" t="s">
        <v>1643</v>
      </c>
      <c r="L196" s="78" t="s">
        <v>1644</v>
      </c>
      <c r="M196" s="78" t="s">
        <v>1644</v>
      </c>
      <c r="N196" s="78" t="s">
        <v>1643</v>
      </c>
    </row>
    <row r="197" spans="1:14" ht="15.75" thickBot="1" x14ac:dyDescent="0.3">
      <c r="A197" s="44" t="s">
        <v>1353</v>
      </c>
      <c r="B197" s="107" t="s">
        <v>1354</v>
      </c>
      <c r="C197" s="78" t="s">
        <v>808</v>
      </c>
      <c r="D197" s="108">
        <v>6</v>
      </c>
      <c r="E197" s="108">
        <v>7</v>
      </c>
      <c r="F197" s="78" t="s">
        <v>1643</v>
      </c>
      <c r="G197" s="78" t="s">
        <v>1691</v>
      </c>
      <c r="H197" s="78" t="s">
        <v>1643</v>
      </c>
      <c r="I197" s="78" t="s">
        <v>1691</v>
      </c>
      <c r="J197" s="78" t="s">
        <v>1643</v>
      </c>
      <c r="K197" s="78" t="s">
        <v>1643</v>
      </c>
      <c r="L197" s="78" t="s">
        <v>1644</v>
      </c>
      <c r="M197" s="78" t="s">
        <v>1643</v>
      </c>
      <c r="N197" s="78" t="s">
        <v>1643</v>
      </c>
    </row>
    <row r="198" spans="1:14" ht="15.75" thickBot="1" x14ac:dyDescent="0.3">
      <c r="A198" s="44" t="s">
        <v>1361</v>
      </c>
      <c r="B198" s="107" t="s">
        <v>1362</v>
      </c>
      <c r="C198" s="78" t="s">
        <v>808</v>
      </c>
      <c r="D198" s="108">
        <v>8</v>
      </c>
      <c r="E198" s="108">
        <v>27</v>
      </c>
      <c r="F198" s="78" t="s">
        <v>1643</v>
      </c>
      <c r="G198" s="78" t="s">
        <v>1817</v>
      </c>
      <c r="H198" s="78" t="s">
        <v>1643</v>
      </c>
      <c r="I198" s="78" t="s">
        <v>1817</v>
      </c>
      <c r="J198" s="78" t="s">
        <v>1643</v>
      </c>
      <c r="K198" s="78" t="s">
        <v>1643</v>
      </c>
      <c r="L198" s="78" t="s">
        <v>1644</v>
      </c>
      <c r="M198" s="78" t="s">
        <v>1643</v>
      </c>
      <c r="N198" s="78" t="s">
        <v>1643</v>
      </c>
    </row>
    <row r="199" spans="1:14" ht="15.75" thickBot="1" x14ac:dyDescent="0.3">
      <c r="A199" s="44" t="s">
        <v>1369</v>
      </c>
      <c r="B199" s="107" t="s">
        <v>1370</v>
      </c>
      <c r="C199" s="78" t="s">
        <v>808</v>
      </c>
      <c r="D199" s="108">
        <v>9</v>
      </c>
      <c r="E199" s="108">
        <v>25</v>
      </c>
      <c r="F199" s="78" t="s">
        <v>1643</v>
      </c>
      <c r="G199" s="78" t="s">
        <v>1775</v>
      </c>
      <c r="H199" s="78" t="s">
        <v>1643</v>
      </c>
      <c r="I199" s="78" t="s">
        <v>1775</v>
      </c>
      <c r="J199" s="78" t="s">
        <v>1643</v>
      </c>
      <c r="K199" s="78" t="s">
        <v>1643</v>
      </c>
      <c r="L199" s="78" t="s">
        <v>1644</v>
      </c>
      <c r="M199" s="78" t="s">
        <v>1644</v>
      </c>
      <c r="N199" s="78" t="s">
        <v>1643</v>
      </c>
    </row>
    <row r="200" spans="1:14" ht="15.75" thickBot="1" x14ac:dyDescent="0.3">
      <c r="A200" s="44" t="s">
        <v>1395</v>
      </c>
      <c r="B200" s="107" t="s">
        <v>1396</v>
      </c>
      <c r="C200" s="78" t="s">
        <v>808</v>
      </c>
      <c r="D200" s="108">
        <v>8</v>
      </c>
      <c r="E200" s="108">
        <v>10</v>
      </c>
      <c r="F200" s="78" t="s">
        <v>1643</v>
      </c>
      <c r="G200" s="78" t="s">
        <v>1702</v>
      </c>
      <c r="H200" s="78" t="s">
        <v>1643</v>
      </c>
      <c r="I200" s="78" t="s">
        <v>1702</v>
      </c>
      <c r="J200" s="78" t="s">
        <v>1643</v>
      </c>
      <c r="K200" s="78" t="s">
        <v>1643</v>
      </c>
      <c r="L200" s="78" t="s">
        <v>1644</v>
      </c>
      <c r="M200" s="78" t="s">
        <v>1644</v>
      </c>
      <c r="N200" s="78" t="s">
        <v>1643</v>
      </c>
    </row>
    <row r="201" spans="1:14" ht="15.75" thickBot="1" x14ac:dyDescent="0.3">
      <c r="A201" s="44" t="s">
        <v>1403</v>
      </c>
      <c r="B201" s="107" t="s">
        <v>1404</v>
      </c>
      <c r="C201" s="78" t="s">
        <v>808</v>
      </c>
      <c r="D201" s="127">
        <v>4</v>
      </c>
      <c r="E201" s="127">
        <v>13</v>
      </c>
      <c r="F201" s="78" t="s">
        <v>1643</v>
      </c>
      <c r="G201" s="78" t="s">
        <v>1700</v>
      </c>
      <c r="H201" s="78" t="s">
        <v>1643</v>
      </c>
      <c r="I201" s="78" t="s">
        <v>1700</v>
      </c>
      <c r="J201" s="78" t="s">
        <v>1643</v>
      </c>
      <c r="K201" s="78" t="s">
        <v>1643</v>
      </c>
      <c r="L201" s="78" t="s">
        <v>1644</v>
      </c>
      <c r="M201" s="78" t="s">
        <v>1643</v>
      </c>
      <c r="N201" s="78" t="s">
        <v>1643</v>
      </c>
    </row>
    <row r="202" spans="1:14" ht="15.75" thickBot="1" x14ac:dyDescent="0.3">
      <c r="A202" s="44" t="s">
        <v>1411</v>
      </c>
      <c r="B202" s="107" t="s">
        <v>1412</v>
      </c>
      <c r="C202" s="78" t="s">
        <v>808</v>
      </c>
      <c r="D202" s="108">
        <v>10</v>
      </c>
      <c r="E202" s="108">
        <v>8</v>
      </c>
      <c r="F202" s="78" t="s">
        <v>1643</v>
      </c>
      <c r="G202" s="78" t="s">
        <v>1831</v>
      </c>
      <c r="H202" s="78" t="s">
        <v>1643</v>
      </c>
      <c r="I202" s="78" t="s">
        <v>1831</v>
      </c>
      <c r="J202" s="78" t="s">
        <v>1643</v>
      </c>
      <c r="K202" s="78" t="s">
        <v>1643</v>
      </c>
      <c r="L202" s="78" t="s">
        <v>1644</v>
      </c>
      <c r="M202" s="78" t="s">
        <v>1644</v>
      </c>
      <c r="N202" s="78" t="s">
        <v>1643</v>
      </c>
    </row>
    <row r="203" spans="1:14" ht="15.75" thickBot="1" x14ac:dyDescent="0.3">
      <c r="A203" s="44" t="s">
        <v>1419</v>
      </c>
      <c r="B203" s="107" t="s">
        <v>1420</v>
      </c>
      <c r="C203" s="78" t="s">
        <v>808</v>
      </c>
      <c r="D203" s="108">
        <v>3</v>
      </c>
      <c r="E203" s="108">
        <v>15</v>
      </c>
      <c r="F203" s="78" t="s">
        <v>1643</v>
      </c>
      <c r="G203" s="78" t="s">
        <v>1813</v>
      </c>
      <c r="H203" s="78" t="s">
        <v>1643</v>
      </c>
      <c r="I203" s="78" t="s">
        <v>1813</v>
      </c>
      <c r="J203" s="78" t="s">
        <v>1643</v>
      </c>
      <c r="K203" s="78" t="s">
        <v>1643</v>
      </c>
      <c r="L203" s="78" t="s">
        <v>1644</v>
      </c>
      <c r="M203" s="78" t="s">
        <v>1643</v>
      </c>
      <c r="N203" s="78" t="s">
        <v>1643</v>
      </c>
    </row>
    <row r="204" spans="1:14" ht="15.75" thickBot="1" x14ac:dyDescent="0.3">
      <c r="A204" s="44" t="s">
        <v>1435</v>
      </c>
      <c r="B204" s="107" t="s">
        <v>1436</v>
      </c>
      <c r="C204" s="78" t="s">
        <v>808</v>
      </c>
      <c r="D204" s="108">
        <v>7</v>
      </c>
      <c r="E204" s="108">
        <v>19</v>
      </c>
      <c r="F204" s="78" t="s">
        <v>1643</v>
      </c>
      <c r="G204" s="78" t="s">
        <v>1690</v>
      </c>
      <c r="H204" s="78" t="s">
        <v>1643</v>
      </c>
      <c r="I204" s="78" t="s">
        <v>1690</v>
      </c>
      <c r="J204" s="78" t="s">
        <v>1643</v>
      </c>
      <c r="K204" s="78" t="s">
        <v>1643</v>
      </c>
      <c r="L204" s="78" t="s">
        <v>1644</v>
      </c>
      <c r="M204" s="78" t="s">
        <v>1643</v>
      </c>
      <c r="N204" s="78" t="s">
        <v>1643</v>
      </c>
    </row>
    <row r="205" spans="1:14" ht="15.75" thickBot="1" x14ac:dyDescent="0.3">
      <c r="A205" s="44" t="s">
        <v>1437</v>
      </c>
      <c r="B205" s="107" t="s">
        <v>1438</v>
      </c>
      <c r="C205" s="78" t="s">
        <v>808</v>
      </c>
      <c r="D205" s="108">
        <v>6</v>
      </c>
      <c r="E205" s="108">
        <v>7</v>
      </c>
      <c r="F205" s="78" t="s">
        <v>1643</v>
      </c>
      <c r="G205" s="78" t="s">
        <v>1832</v>
      </c>
      <c r="H205" s="78" t="s">
        <v>1643</v>
      </c>
      <c r="I205" s="78" t="s">
        <v>1833</v>
      </c>
      <c r="J205" s="78" t="s">
        <v>1643</v>
      </c>
      <c r="K205" s="78" t="s">
        <v>1643</v>
      </c>
      <c r="L205" s="78" t="s">
        <v>1644</v>
      </c>
      <c r="M205" s="78" t="s">
        <v>1643</v>
      </c>
      <c r="N205" s="78" t="s">
        <v>1643</v>
      </c>
    </row>
    <row r="206" spans="1:14" ht="15.75" thickBot="1" x14ac:dyDescent="0.3">
      <c r="A206" s="44" t="s">
        <v>1445</v>
      </c>
      <c r="B206" s="107" t="s">
        <v>1446</v>
      </c>
      <c r="C206" s="78" t="s">
        <v>808</v>
      </c>
      <c r="D206" s="108">
        <v>4</v>
      </c>
      <c r="E206" s="108">
        <v>12</v>
      </c>
      <c r="F206" s="78" t="s">
        <v>1643</v>
      </c>
      <c r="G206" s="78" t="s">
        <v>1691</v>
      </c>
      <c r="H206" s="78" t="s">
        <v>1643</v>
      </c>
      <c r="I206" s="78" t="s">
        <v>1691</v>
      </c>
      <c r="J206" s="78" t="s">
        <v>1643</v>
      </c>
      <c r="K206" s="78" t="s">
        <v>1643</v>
      </c>
      <c r="L206" s="78" t="s">
        <v>1644</v>
      </c>
      <c r="M206" s="78" t="s">
        <v>1643</v>
      </c>
      <c r="N206" s="78" t="s">
        <v>1643</v>
      </c>
    </row>
    <row r="207" spans="1:14" ht="15.75" thickBot="1" x14ac:dyDescent="0.3">
      <c r="A207" s="44" t="s">
        <v>1451</v>
      </c>
      <c r="B207" s="107" t="s">
        <v>1452</v>
      </c>
      <c r="C207" s="78" t="s">
        <v>808</v>
      </c>
      <c r="D207" s="108">
        <v>8</v>
      </c>
      <c r="E207" s="108">
        <v>7</v>
      </c>
      <c r="F207" s="78" t="s">
        <v>1643</v>
      </c>
      <c r="G207" s="78" t="s">
        <v>1834</v>
      </c>
      <c r="H207" s="78" t="s">
        <v>1643</v>
      </c>
      <c r="I207" s="78" t="s">
        <v>1834</v>
      </c>
      <c r="J207" s="78" t="s">
        <v>1643</v>
      </c>
      <c r="K207" s="78" t="s">
        <v>1643</v>
      </c>
      <c r="L207" s="78" t="s">
        <v>1644</v>
      </c>
      <c r="M207" s="78" t="s">
        <v>1643</v>
      </c>
      <c r="N207" s="78" t="s">
        <v>1643</v>
      </c>
    </row>
    <row r="208" spans="1:14" ht="15.75" thickBot="1" x14ac:dyDescent="0.3">
      <c r="A208" s="44" t="s">
        <v>1455</v>
      </c>
      <c r="B208" s="107" t="s">
        <v>1456</v>
      </c>
      <c r="C208" s="78" t="s">
        <v>808</v>
      </c>
      <c r="D208" s="108">
        <v>8</v>
      </c>
      <c r="E208" s="108">
        <v>12</v>
      </c>
      <c r="F208" s="78" t="s">
        <v>1643</v>
      </c>
      <c r="G208" s="78" t="s">
        <v>1835</v>
      </c>
      <c r="H208" s="78" t="s">
        <v>1643</v>
      </c>
      <c r="I208" s="78" t="s">
        <v>1692</v>
      </c>
      <c r="J208" s="78" t="s">
        <v>1643</v>
      </c>
      <c r="K208" s="78" t="s">
        <v>1643</v>
      </c>
      <c r="L208" s="78" t="s">
        <v>1644</v>
      </c>
      <c r="M208" s="78" t="s">
        <v>1643</v>
      </c>
      <c r="N208" s="78" t="s">
        <v>1643</v>
      </c>
    </row>
    <row r="209" spans="1:14" ht="15.75" thickBot="1" x14ac:dyDescent="0.3">
      <c r="A209" s="44" t="s">
        <v>1461</v>
      </c>
      <c r="B209" s="107" t="s">
        <v>1462</v>
      </c>
      <c r="C209" s="78" t="s">
        <v>808</v>
      </c>
      <c r="D209" s="108">
        <v>8</v>
      </c>
      <c r="E209" s="108">
        <v>23</v>
      </c>
      <c r="F209" s="78" t="s">
        <v>1643</v>
      </c>
      <c r="G209" s="78" t="s">
        <v>1702</v>
      </c>
      <c r="H209" s="78" t="s">
        <v>1643</v>
      </c>
      <c r="I209" s="78" t="s">
        <v>1702</v>
      </c>
      <c r="J209" s="78" t="s">
        <v>1643</v>
      </c>
      <c r="K209" s="78" t="s">
        <v>1643</v>
      </c>
      <c r="L209" s="78" t="s">
        <v>1644</v>
      </c>
      <c r="M209" s="78" t="s">
        <v>1644</v>
      </c>
      <c r="N209" s="78" t="s">
        <v>1643</v>
      </c>
    </row>
    <row r="210" spans="1:14" ht="15.75" thickBot="1" x14ac:dyDescent="0.3">
      <c r="A210" s="44" t="s">
        <v>1467</v>
      </c>
      <c r="B210" s="107" t="s">
        <v>1468</v>
      </c>
      <c r="C210" s="78" t="s">
        <v>808</v>
      </c>
      <c r="D210" s="108">
        <v>8</v>
      </c>
      <c r="E210" s="108">
        <v>11</v>
      </c>
      <c r="F210" s="78" t="s">
        <v>1643</v>
      </c>
      <c r="G210" s="78" t="s">
        <v>1787</v>
      </c>
      <c r="H210" s="78" t="s">
        <v>1643</v>
      </c>
      <c r="I210" s="78" t="s">
        <v>1787</v>
      </c>
      <c r="J210" s="78" t="s">
        <v>1643</v>
      </c>
      <c r="K210" s="78" t="s">
        <v>1643</v>
      </c>
      <c r="L210" s="78" t="s">
        <v>1644</v>
      </c>
      <c r="M210" s="78" t="s">
        <v>1644</v>
      </c>
      <c r="N210" s="78" t="s">
        <v>1643</v>
      </c>
    </row>
    <row r="211" spans="1:14" ht="15.75" thickBot="1" x14ac:dyDescent="0.3">
      <c r="A211" s="44" t="s">
        <v>1480</v>
      </c>
      <c r="B211" s="107" t="s">
        <v>1481</v>
      </c>
      <c r="C211" s="78" t="s">
        <v>808</v>
      </c>
      <c r="D211" s="108">
        <v>10</v>
      </c>
      <c r="E211" s="108">
        <v>22</v>
      </c>
      <c r="F211" s="78" t="s">
        <v>1643</v>
      </c>
      <c r="G211" s="78" t="s">
        <v>1697</v>
      </c>
      <c r="H211" s="78" t="s">
        <v>1643</v>
      </c>
      <c r="I211" s="78" t="s">
        <v>1697</v>
      </c>
      <c r="J211" s="78" t="s">
        <v>1643</v>
      </c>
      <c r="K211" s="78" t="s">
        <v>1643</v>
      </c>
      <c r="L211" s="78" t="s">
        <v>1644</v>
      </c>
      <c r="M211" s="78" t="s">
        <v>1644</v>
      </c>
      <c r="N211" s="78" t="s">
        <v>1643</v>
      </c>
    </row>
    <row r="212" spans="1:14" ht="15.75" thickBot="1" x14ac:dyDescent="0.3">
      <c r="A212" s="44" t="s">
        <v>1486</v>
      </c>
      <c r="B212" s="107" t="s">
        <v>1487</v>
      </c>
      <c r="C212" s="78" t="s">
        <v>808</v>
      </c>
      <c r="D212" s="108">
        <v>4</v>
      </c>
      <c r="E212" s="108">
        <v>11</v>
      </c>
      <c r="F212" s="78" t="s">
        <v>1643</v>
      </c>
      <c r="G212" s="78" t="s">
        <v>1724</v>
      </c>
      <c r="H212" s="78" t="s">
        <v>1643</v>
      </c>
      <c r="I212" s="78" t="s">
        <v>1842</v>
      </c>
      <c r="J212" s="78" t="s">
        <v>1643</v>
      </c>
      <c r="K212" s="78" t="s">
        <v>1643</v>
      </c>
      <c r="L212" s="78" t="s">
        <v>1644</v>
      </c>
      <c r="M212" s="78" t="s">
        <v>1643</v>
      </c>
      <c r="N212" s="78" t="s">
        <v>1643</v>
      </c>
    </row>
    <row r="213" spans="1:14" ht="15.75" thickBot="1" x14ac:dyDescent="0.3">
      <c r="A213" s="44" t="s">
        <v>1488</v>
      </c>
      <c r="B213" s="107" t="s">
        <v>1489</v>
      </c>
      <c r="C213" s="78" t="s">
        <v>808</v>
      </c>
      <c r="D213" s="108">
        <v>8</v>
      </c>
      <c r="E213" s="108">
        <v>20</v>
      </c>
      <c r="F213" s="78" t="s">
        <v>1643</v>
      </c>
      <c r="G213" s="78" t="s">
        <v>1681</v>
      </c>
      <c r="H213" s="78" t="s">
        <v>1643</v>
      </c>
      <c r="I213" s="78" t="s">
        <v>1681</v>
      </c>
      <c r="J213" s="78" t="s">
        <v>1643</v>
      </c>
      <c r="K213" s="78" t="s">
        <v>1643</v>
      </c>
      <c r="L213" s="78" t="s">
        <v>1644</v>
      </c>
      <c r="M213" s="78" t="s">
        <v>1643</v>
      </c>
      <c r="N213" s="78" t="s">
        <v>1643</v>
      </c>
    </row>
    <row r="214" spans="1:14" ht="15.75" thickBot="1" x14ac:dyDescent="0.3">
      <c r="A214" s="44" t="s">
        <v>1504</v>
      </c>
      <c r="B214" s="107" t="s">
        <v>1505</v>
      </c>
      <c r="C214" s="78" t="s">
        <v>808</v>
      </c>
      <c r="D214" s="108">
        <v>5</v>
      </c>
      <c r="E214" s="108">
        <v>12</v>
      </c>
      <c r="F214" s="78" t="s">
        <v>1643</v>
      </c>
      <c r="G214" s="78" t="s">
        <v>1701</v>
      </c>
      <c r="H214" s="78" t="s">
        <v>1643</v>
      </c>
      <c r="I214" s="78" t="s">
        <v>1701</v>
      </c>
      <c r="J214" s="78" t="s">
        <v>1643</v>
      </c>
      <c r="K214" s="78" t="s">
        <v>1643</v>
      </c>
      <c r="L214" s="78" t="s">
        <v>1644</v>
      </c>
      <c r="M214" s="78" t="s">
        <v>1643</v>
      </c>
      <c r="N214" s="78" t="s">
        <v>1643</v>
      </c>
    </row>
    <row r="215" spans="1:14" ht="15.75" thickBot="1" x14ac:dyDescent="0.3">
      <c r="A215" s="44" t="s">
        <v>1508</v>
      </c>
      <c r="B215" s="107" t="s">
        <v>1509</v>
      </c>
      <c r="C215" s="78" t="s">
        <v>808</v>
      </c>
      <c r="D215" s="108">
        <v>4</v>
      </c>
      <c r="E215" s="108">
        <v>18</v>
      </c>
      <c r="F215" s="78" t="s">
        <v>1643</v>
      </c>
      <c r="G215" s="78" t="s">
        <v>1844</v>
      </c>
      <c r="H215" s="78" t="s">
        <v>1643</v>
      </c>
      <c r="I215" s="78" t="s">
        <v>1728</v>
      </c>
      <c r="J215" s="78" t="s">
        <v>1643</v>
      </c>
      <c r="K215" s="78" t="s">
        <v>1643</v>
      </c>
      <c r="L215" s="78" t="s">
        <v>1644</v>
      </c>
      <c r="M215" s="78" t="s">
        <v>1643</v>
      </c>
      <c r="N215" s="78" t="s">
        <v>1643</v>
      </c>
    </row>
    <row r="216" spans="1:14" ht="15.75" thickBot="1" x14ac:dyDescent="0.3">
      <c r="A216" s="44" t="s">
        <v>1510</v>
      </c>
      <c r="B216" s="107" t="s">
        <v>1511</v>
      </c>
      <c r="C216" s="78" t="s">
        <v>808</v>
      </c>
      <c r="D216" s="108">
        <v>8</v>
      </c>
      <c r="E216" s="108">
        <v>10</v>
      </c>
      <c r="F216" s="78" t="s">
        <v>1643</v>
      </c>
      <c r="G216" s="78" t="s">
        <v>1687</v>
      </c>
      <c r="H216" s="78" t="s">
        <v>1643</v>
      </c>
      <c r="I216" s="78" t="s">
        <v>1687</v>
      </c>
      <c r="J216" s="78" t="s">
        <v>1643</v>
      </c>
      <c r="K216" s="78" t="s">
        <v>1643</v>
      </c>
      <c r="L216" s="78" t="s">
        <v>1643</v>
      </c>
      <c r="M216" s="78" t="s">
        <v>1643</v>
      </c>
      <c r="N216" s="78" t="s">
        <v>1643</v>
      </c>
    </row>
    <row r="217" spans="1:14" ht="15.75" thickBot="1" x14ac:dyDescent="0.3">
      <c r="A217" s="44" t="s">
        <v>1520</v>
      </c>
      <c r="B217" s="107" t="s">
        <v>1521</v>
      </c>
      <c r="C217" s="78" t="s">
        <v>808</v>
      </c>
      <c r="D217" s="108">
        <v>6</v>
      </c>
      <c r="E217" s="108">
        <v>14</v>
      </c>
      <c r="F217" s="78" t="s">
        <v>1643</v>
      </c>
      <c r="G217" s="78" t="s">
        <v>1702</v>
      </c>
      <c r="H217" s="78" t="s">
        <v>1643</v>
      </c>
      <c r="I217" s="78" t="s">
        <v>1702</v>
      </c>
      <c r="J217" s="78" t="s">
        <v>1643</v>
      </c>
      <c r="K217" s="78" t="s">
        <v>1643</v>
      </c>
      <c r="L217" s="78" t="s">
        <v>1644</v>
      </c>
      <c r="M217" s="78" t="s">
        <v>1644</v>
      </c>
      <c r="N217" s="78" t="s">
        <v>1643</v>
      </c>
    </row>
    <row r="218" spans="1:14" ht="15.75" thickBot="1" x14ac:dyDescent="0.3">
      <c r="A218" s="44" t="s">
        <v>1524</v>
      </c>
      <c r="B218" s="107" t="s">
        <v>1525</v>
      </c>
      <c r="C218" s="78" t="s">
        <v>808</v>
      </c>
      <c r="D218" s="108">
        <v>6</v>
      </c>
      <c r="E218" s="108">
        <v>15</v>
      </c>
      <c r="F218" s="78" t="s">
        <v>1643</v>
      </c>
      <c r="G218" s="78" t="s">
        <v>1695</v>
      </c>
      <c r="H218" s="78" t="s">
        <v>1643</v>
      </c>
      <c r="I218" s="78" t="s">
        <v>1695</v>
      </c>
      <c r="J218" s="78" t="s">
        <v>1643</v>
      </c>
      <c r="K218" s="78" t="s">
        <v>1643</v>
      </c>
      <c r="L218" s="78" t="s">
        <v>1644</v>
      </c>
      <c r="M218" s="78" t="s">
        <v>1644</v>
      </c>
      <c r="N218" s="78" t="s">
        <v>1643</v>
      </c>
    </row>
    <row r="219" spans="1:14" ht="15.75" thickBot="1" x14ac:dyDescent="0.3">
      <c r="A219" s="44" t="s">
        <v>1526</v>
      </c>
      <c r="B219" s="107" t="s">
        <v>1527</v>
      </c>
      <c r="C219" s="78" t="s">
        <v>808</v>
      </c>
      <c r="D219" s="108">
        <v>5</v>
      </c>
      <c r="E219" s="108">
        <v>10</v>
      </c>
      <c r="F219" s="78" t="s">
        <v>1643</v>
      </c>
      <c r="G219" s="78" t="s">
        <v>1775</v>
      </c>
      <c r="H219" s="78" t="s">
        <v>1643</v>
      </c>
      <c r="I219" s="78" t="s">
        <v>1775</v>
      </c>
      <c r="J219" s="78" t="s">
        <v>1643</v>
      </c>
      <c r="K219" s="78" t="s">
        <v>1643</v>
      </c>
      <c r="L219" s="78" t="s">
        <v>1644</v>
      </c>
      <c r="M219" s="78" t="s">
        <v>1644</v>
      </c>
      <c r="N219" s="78" t="s">
        <v>1643</v>
      </c>
    </row>
    <row r="220" spans="1:14" ht="15.75" thickBot="1" x14ac:dyDescent="0.3">
      <c r="A220" s="44" t="s">
        <v>1534</v>
      </c>
      <c r="B220" s="107" t="s">
        <v>1535</v>
      </c>
      <c r="C220" s="78" t="s">
        <v>808</v>
      </c>
      <c r="D220" s="108">
        <v>10</v>
      </c>
      <c r="E220" s="108">
        <v>17</v>
      </c>
      <c r="F220" s="78" t="s">
        <v>1643</v>
      </c>
      <c r="G220" s="78" t="s">
        <v>1791</v>
      </c>
      <c r="H220" s="78" t="s">
        <v>1643</v>
      </c>
      <c r="I220" s="78" t="s">
        <v>1847</v>
      </c>
      <c r="J220" s="78" t="s">
        <v>1643</v>
      </c>
      <c r="K220" s="78" t="s">
        <v>1643</v>
      </c>
      <c r="L220" s="78" t="s">
        <v>1644</v>
      </c>
      <c r="M220" s="78" t="s">
        <v>1643</v>
      </c>
      <c r="N220" s="78" t="s">
        <v>1643</v>
      </c>
    </row>
    <row r="221" spans="1:14" ht="15.75" thickBot="1" x14ac:dyDescent="0.3">
      <c r="A221" s="44" t="s">
        <v>1562</v>
      </c>
      <c r="B221" s="107" t="s">
        <v>1563</v>
      </c>
      <c r="C221" s="78" t="s">
        <v>808</v>
      </c>
      <c r="D221" s="108">
        <v>2</v>
      </c>
      <c r="E221" s="108">
        <v>6</v>
      </c>
      <c r="F221" s="78" t="s">
        <v>1644</v>
      </c>
      <c r="G221" s="78" t="s">
        <v>1951</v>
      </c>
      <c r="H221" s="78" t="s">
        <v>1644</v>
      </c>
      <c r="I221" s="78" t="s">
        <v>1951</v>
      </c>
      <c r="J221" s="78" t="s">
        <v>1644</v>
      </c>
      <c r="K221" s="78" t="s">
        <v>1644</v>
      </c>
      <c r="L221" s="78" t="s">
        <v>1644</v>
      </c>
      <c r="M221" s="78" t="s">
        <v>1643</v>
      </c>
      <c r="N221" s="78" t="s">
        <v>1643</v>
      </c>
    </row>
    <row r="222" spans="1:14" ht="15.75" thickBot="1" x14ac:dyDescent="0.3">
      <c r="A222" s="44" t="s">
        <v>1576</v>
      </c>
      <c r="B222" s="107" t="s">
        <v>1577</v>
      </c>
      <c r="C222" s="78" t="s">
        <v>808</v>
      </c>
      <c r="D222" s="108">
        <v>4</v>
      </c>
      <c r="E222" s="108">
        <v>14</v>
      </c>
      <c r="F222" s="78" t="s">
        <v>1643</v>
      </c>
      <c r="G222" s="78" t="s">
        <v>1683</v>
      </c>
      <c r="H222" s="78" t="s">
        <v>1643</v>
      </c>
      <c r="I222" s="78" t="s">
        <v>1858</v>
      </c>
      <c r="J222" s="78" t="s">
        <v>1643</v>
      </c>
      <c r="K222" s="78" t="s">
        <v>1643</v>
      </c>
      <c r="L222" s="78" t="s">
        <v>1644</v>
      </c>
      <c r="M222" s="78" t="s">
        <v>1643</v>
      </c>
      <c r="N222" s="78" t="s">
        <v>1643</v>
      </c>
    </row>
    <row r="223" spans="1:14" ht="15.75" thickBot="1" x14ac:dyDescent="0.3">
      <c r="A223" s="44" t="s">
        <v>1578</v>
      </c>
      <c r="B223" s="107" t="s">
        <v>1579</v>
      </c>
      <c r="C223" s="78" t="s">
        <v>808</v>
      </c>
      <c r="D223" s="108">
        <v>10</v>
      </c>
      <c r="E223" s="108">
        <v>34</v>
      </c>
      <c r="F223" s="78" t="s">
        <v>1643</v>
      </c>
      <c r="G223" s="78" t="s">
        <v>1681</v>
      </c>
      <c r="H223" s="78" t="s">
        <v>1643</v>
      </c>
      <c r="I223" s="78" t="s">
        <v>1681</v>
      </c>
      <c r="J223" s="78" t="s">
        <v>1643</v>
      </c>
      <c r="K223" s="78" t="s">
        <v>1643</v>
      </c>
      <c r="L223" s="78" t="s">
        <v>1644</v>
      </c>
      <c r="M223" s="78" t="s">
        <v>1643</v>
      </c>
      <c r="N223" s="78" t="s">
        <v>1643</v>
      </c>
    </row>
    <row r="224" spans="1:14" ht="15.75" thickBot="1" x14ac:dyDescent="0.3">
      <c r="A224" s="44" t="s">
        <v>1582</v>
      </c>
      <c r="B224" s="107" t="s">
        <v>1583</v>
      </c>
      <c r="C224" s="78" t="s">
        <v>808</v>
      </c>
      <c r="D224" s="108">
        <v>7</v>
      </c>
      <c r="E224" s="108">
        <v>12</v>
      </c>
      <c r="F224" s="78" t="s">
        <v>1643</v>
      </c>
      <c r="G224" s="78" t="s">
        <v>1859</v>
      </c>
      <c r="H224" s="78" t="s">
        <v>1643</v>
      </c>
      <c r="I224" s="78" t="s">
        <v>1859</v>
      </c>
      <c r="J224" s="78" t="s">
        <v>1643</v>
      </c>
      <c r="K224" s="78" t="s">
        <v>1643</v>
      </c>
      <c r="L224" s="78" t="s">
        <v>1644</v>
      </c>
      <c r="M224" s="78" t="s">
        <v>1643</v>
      </c>
      <c r="N224" s="78" t="s">
        <v>1643</v>
      </c>
    </row>
    <row r="225" spans="1:14" ht="15.75" thickBot="1" x14ac:dyDescent="0.3">
      <c r="A225" s="44" t="s">
        <v>1584</v>
      </c>
      <c r="B225" s="107" t="s">
        <v>1585</v>
      </c>
      <c r="C225" s="78" t="s">
        <v>808</v>
      </c>
      <c r="D225" s="108">
        <v>11</v>
      </c>
      <c r="E225" s="108">
        <v>21</v>
      </c>
      <c r="F225" s="78" t="s">
        <v>1643</v>
      </c>
      <c r="G225" s="78" t="s">
        <v>1687</v>
      </c>
      <c r="H225" s="78" t="s">
        <v>1643</v>
      </c>
      <c r="I225" s="78" t="s">
        <v>1687</v>
      </c>
      <c r="J225" s="78" t="s">
        <v>1643</v>
      </c>
      <c r="K225" s="78" t="s">
        <v>1643</v>
      </c>
      <c r="L225" s="78" t="s">
        <v>1644</v>
      </c>
      <c r="M225" s="78" t="s">
        <v>1643</v>
      </c>
      <c r="N225" s="78" t="s">
        <v>1643</v>
      </c>
    </row>
    <row r="226" spans="1:14" ht="15.75" thickBot="1" x14ac:dyDescent="0.3">
      <c r="A226" s="44" t="s">
        <v>1590</v>
      </c>
      <c r="B226" s="107" t="s">
        <v>1591</v>
      </c>
      <c r="C226" s="78" t="s">
        <v>808</v>
      </c>
      <c r="D226" s="108">
        <v>7</v>
      </c>
      <c r="E226" s="108">
        <v>12</v>
      </c>
      <c r="F226" s="78" t="s">
        <v>1643</v>
      </c>
      <c r="G226" s="78" t="s">
        <v>1697</v>
      </c>
      <c r="H226" s="78" t="s">
        <v>1643</v>
      </c>
      <c r="I226" s="78" t="s">
        <v>1697</v>
      </c>
      <c r="J226" s="78" t="s">
        <v>1643</v>
      </c>
      <c r="K226" s="78" t="s">
        <v>1643</v>
      </c>
      <c r="L226" s="78" t="s">
        <v>1644</v>
      </c>
      <c r="M226" s="78" t="s">
        <v>1643</v>
      </c>
      <c r="N226" s="78" t="s">
        <v>1643</v>
      </c>
    </row>
    <row r="227" spans="1:14" ht="15.75" thickBot="1" x14ac:dyDescent="0.3">
      <c r="A227" s="44" t="s">
        <v>801</v>
      </c>
      <c r="B227" s="107" t="s">
        <v>802</v>
      </c>
      <c r="C227" s="78" t="s">
        <v>803</v>
      </c>
      <c r="D227" s="108">
        <v>17</v>
      </c>
      <c r="E227" s="108">
        <v>38</v>
      </c>
      <c r="F227" s="78" t="s">
        <v>1643</v>
      </c>
      <c r="G227" s="78" t="s">
        <v>1679</v>
      </c>
      <c r="H227" s="78" t="s">
        <v>1643</v>
      </c>
      <c r="I227" s="78" t="s">
        <v>1679</v>
      </c>
      <c r="J227" s="78" t="s">
        <v>1643</v>
      </c>
      <c r="K227" s="78" t="s">
        <v>1643</v>
      </c>
      <c r="L227" s="78" t="s">
        <v>1644</v>
      </c>
      <c r="M227" s="78" t="s">
        <v>1644</v>
      </c>
      <c r="N227" s="78" t="s">
        <v>1643</v>
      </c>
    </row>
    <row r="228" spans="1:14" ht="15.75" thickBot="1" x14ac:dyDescent="0.3">
      <c r="A228" s="44" t="s">
        <v>818</v>
      </c>
      <c r="B228" s="107" t="s">
        <v>819</v>
      </c>
      <c r="C228" s="78" t="s">
        <v>803</v>
      </c>
      <c r="D228" s="108">
        <v>11</v>
      </c>
      <c r="E228" s="108">
        <v>22</v>
      </c>
      <c r="F228" s="78" t="s">
        <v>1643</v>
      </c>
      <c r="G228" s="78" t="s">
        <v>1685</v>
      </c>
      <c r="H228" s="78" t="s">
        <v>1643</v>
      </c>
      <c r="I228" s="78" t="s">
        <v>1685</v>
      </c>
      <c r="J228" s="78" t="s">
        <v>1644</v>
      </c>
      <c r="K228" s="78" t="s">
        <v>1643</v>
      </c>
      <c r="L228" s="78" t="s">
        <v>1643</v>
      </c>
      <c r="M228" s="78" t="s">
        <v>1644</v>
      </c>
      <c r="N228" s="78" t="s">
        <v>1643</v>
      </c>
    </row>
    <row r="229" spans="1:14" ht="15.75" thickBot="1" x14ac:dyDescent="0.3">
      <c r="A229" s="44" t="s">
        <v>846</v>
      </c>
      <c r="B229" s="107" t="s">
        <v>847</v>
      </c>
      <c r="C229" s="78" t="s">
        <v>803</v>
      </c>
      <c r="D229" s="108">
        <v>21</v>
      </c>
      <c r="E229" s="108">
        <v>26</v>
      </c>
      <c r="F229" s="78" t="s">
        <v>1643</v>
      </c>
      <c r="G229" s="78" t="s">
        <v>1698</v>
      </c>
      <c r="H229" s="78" t="s">
        <v>1643</v>
      </c>
      <c r="I229" s="78" t="s">
        <v>1699</v>
      </c>
      <c r="J229" s="78" t="s">
        <v>1643</v>
      </c>
      <c r="K229" s="78" t="s">
        <v>1643</v>
      </c>
      <c r="L229" s="78" t="s">
        <v>1643</v>
      </c>
      <c r="M229" s="78" t="s">
        <v>1643</v>
      </c>
      <c r="N229" s="78" t="s">
        <v>1643</v>
      </c>
    </row>
    <row r="230" spans="1:14" ht="15.75" thickBot="1" x14ac:dyDescent="0.3">
      <c r="A230" s="44" t="s">
        <v>851</v>
      </c>
      <c r="B230" s="107" t="s">
        <v>852</v>
      </c>
      <c r="C230" s="78" t="s">
        <v>803</v>
      </c>
      <c r="D230" s="108">
        <v>15</v>
      </c>
      <c r="E230" s="108">
        <v>25</v>
      </c>
      <c r="F230" s="78" t="s">
        <v>1643</v>
      </c>
      <c r="G230" s="78" t="s">
        <v>1701</v>
      </c>
      <c r="H230" s="78" t="s">
        <v>1643</v>
      </c>
      <c r="I230" s="78" t="s">
        <v>1701</v>
      </c>
      <c r="J230" s="78" t="s">
        <v>1643</v>
      </c>
      <c r="K230" s="78" t="s">
        <v>1643</v>
      </c>
      <c r="L230" s="78" t="s">
        <v>1643</v>
      </c>
      <c r="M230" s="78" t="s">
        <v>1643</v>
      </c>
      <c r="N230" s="78" t="s">
        <v>1643</v>
      </c>
    </row>
    <row r="231" spans="1:14" ht="15.75" thickBot="1" x14ac:dyDescent="0.3">
      <c r="A231" s="44" t="s">
        <v>871</v>
      </c>
      <c r="B231" s="107" t="s">
        <v>872</v>
      </c>
      <c r="C231" s="78" t="s">
        <v>803</v>
      </c>
      <c r="D231" s="108">
        <v>14</v>
      </c>
      <c r="E231" s="108">
        <v>29</v>
      </c>
      <c r="F231" s="78" t="s">
        <v>1643</v>
      </c>
      <c r="G231" s="78" t="s">
        <v>1709</v>
      </c>
      <c r="H231" s="78" t="s">
        <v>1643</v>
      </c>
      <c r="I231" s="78" t="s">
        <v>1709</v>
      </c>
      <c r="J231" s="78" t="s">
        <v>1644</v>
      </c>
      <c r="K231" s="78" t="s">
        <v>1643</v>
      </c>
      <c r="L231" s="78" t="s">
        <v>1644</v>
      </c>
      <c r="M231" s="78" t="s">
        <v>1644</v>
      </c>
      <c r="N231" s="78" t="s">
        <v>1643</v>
      </c>
    </row>
    <row r="232" spans="1:14" ht="15.75" thickBot="1" x14ac:dyDescent="0.3">
      <c r="A232" s="44" t="s">
        <v>877</v>
      </c>
      <c r="B232" s="107" t="s">
        <v>878</v>
      </c>
      <c r="C232" s="78" t="s">
        <v>803</v>
      </c>
      <c r="D232" s="108">
        <v>12</v>
      </c>
      <c r="E232" s="108">
        <v>22</v>
      </c>
      <c r="F232" s="78" t="s">
        <v>1643</v>
      </c>
      <c r="G232" s="78" t="s">
        <v>1711</v>
      </c>
      <c r="H232" s="78" t="s">
        <v>1643</v>
      </c>
      <c r="I232" s="78" t="s">
        <v>1711</v>
      </c>
      <c r="J232" s="78" t="s">
        <v>1643</v>
      </c>
      <c r="K232" s="78" t="s">
        <v>1643</v>
      </c>
      <c r="L232" s="78" t="s">
        <v>1644</v>
      </c>
      <c r="M232" s="78" t="s">
        <v>1643</v>
      </c>
      <c r="N232" s="78" t="s">
        <v>1643</v>
      </c>
    </row>
    <row r="233" spans="1:14" ht="15.75" thickBot="1" x14ac:dyDescent="0.3">
      <c r="A233" s="44" t="s">
        <v>887</v>
      </c>
      <c r="B233" s="107" t="s">
        <v>888</v>
      </c>
      <c r="C233" s="78" t="s">
        <v>803</v>
      </c>
      <c r="D233" s="108">
        <v>10</v>
      </c>
      <c r="E233" s="108">
        <v>23</v>
      </c>
      <c r="F233" s="78" t="s">
        <v>1643</v>
      </c>
      <c r="G233" s="78" t="s">
        <v>1714</v>
      </c>
      <c r="H233" s="78" t="s">
        <v>1643</v>
      </c>
      <c r="I233" s="78" t="s">
        <v>1714</v>
      </c>
      <c r="J233" s="78" t="s">
        <v>1644</v>
      </c>
      <c r="K233" s="78" t="s">
        <v>1643</v>
      </c>
      <c r="L233" s="78" t="s">
        <v>1644</v>
      </c>
      <c r="M233" s="78" t="s">
        <v>1643</v>
      </c>
      <c r="N233" s="78" t="s">
        <v>1643</v>
      </c>
    </row>
    <row r="234" spans="1:14" ht="15.75" thickBot="1" x14ac:dyDescent="0.3">
      <c r="A234" s="44" t="s">
        <v>899</v>
      </c>
      <c r="B234" s="107" t="s">
        <v>900</v>
      </c>
      <c r="C234" s="78" t="s">
        <v>803</v>
      </c>
      <c r="D234" s="108">
        <v>20</v>
      </c>
      <c r="E234" s="108">
        <v>31</v>
      </c>
      <c r="F234" s="78" t="s">
        <v>1643</v>
      </c>
      <c r="G234" s="78" t="s">
        <v>1720</v>
      </c>
      <c r="H234" s="78" t="s">
        <v>1643</v>
      </c>
      <c r="I234" s="78" t="s">
        <v>1720</v>
      </c>
      <c r="J234" s="78" t="s">
        <v>1643</v>
      </c>
      <c r="K234" s="78" t="s">
        <v>1643</v>
      </c>
      <c r="L234" s="78" t="s">
        <v>1644</v>
      </c>
      <c r="M234" s="78" t="s">
        <v>1644</v>
      </c>
      <c r="N234" s="78" t="s">
        <v>1643</v>
      </c>
    </row>
    <row r="235" spans="1:14" ht="15.75" thickBot="1" x14ac:dyDescent="0.3">
      <c r="A235" s="44" t="s">
        <v>901</v>
      </c>
      <c r="B235" s="107" t="s">
        <v>902</v>
      </c>
      <c r="C235" s="78" t="s">
        <v>803</v>
      </c>
      <c r="D235" s="108">
        <v>6</v>
      </c>
      <c r="E235" s="108">
        <v>24</v>
      </c>
      <c r="F235" s="78" t="s">
        <v>1643</v>
      </c>
      <c r="G235" s="78" t="s">
        <v>1683</v>
      </c>
      <c r="H235" s="78" t="s">
        <v>1643</v>
      </c>
      <c r="I235" s="78" t="s">
        <v>1683</v>
      </c>
      <c r="J235" s="78" t="s">
        <v>1643</v>
      </c>
      <c r="K235" s="78" t="s">
        <v>1643</v>
      </c>
      <c r="L235" s="78" t="s">
        <v>1644</v>
      </c>
      <c r="M235" s="78" t="s">
        <v>1643</v>
      </c>
      <c r="N235" s="78" t="s">
        <v>1643</v>
      </c>
    </row>
    <row r="236" spans="1:14" ht="15.75" thickBot="1" x14ac:dyDescent="0.3">
      <c r="A236" s="44" t="s">
        <v>905</v>
      </c>
      <c r="B236" s="107" t="s">
        <v>906</v>
      </c>
      <c r="C236" s="78" t="s">
        <v>803</v>
      </c>
      <c r="D236" s="108">
        <v>9</v>
      </c>
      <c r="E236" s="108">
        <v>12</v>
      </c>
      <c r="F236" s="78" t="s">
        <v>1643</v>
      </c>
      <c r="G236" s="78" t="s">
        <v>1708</v>
      </c>
      <c r="H236" s="78" t="s">
        <v>1643</v>
      </c>
      <c r="I236" s="78" t="s">
        <v>1708</v>
      </c>
      <c r="J236" s="78" t="s">
        <v>1643</v>
      </c>
      <c r="K236" s="78" t="s">
        <v>1643</v>
      </c>
      <c r="L236" s="78" t="s">
        <v>1643</v>
      </c>
      <c r="M236" s="78" t="s">
        <v>1644</v>
      </c>
      <c r="N236" s="78" t="s">
        <v>1643</v>
      </c>
    </row>
    <row r="237" spans="1:14" ht="15.75" thickBot="1" x14ac:dyDescent="0.3">
      <c r="A237" s="44" t="s">
        <v>941</v>
      </c>
      <c r="B237" s="107" t="s">
        <v>942</v>
      </c>
      <c r="C237" s="78" t="s">
        <v>803</v>
      </c>
      <c r="D237" s="108">
        <v>9</v>
      </c>
      <c r="E237" s="108">
        <v>21</v>
      </c>
      <c r="F237" s="78" t="s">
        <v>1643</v>
      </c>
      <c r="G237" s="78" t="s">
        <v>1702</v>
      </c>
      <c r="H237" s="78" t="s">
        <v>1643</v>
      </c>
      <c r="I237" s="78" t="s">
        <v>1708</v>
      </c>
      <c r="J237" s="78" t="s">
        <v>1643</v>
      </c>
      <c r="K237" s="78" t="s">
        <v>1643</v>
      </c>
      <c r="L237" s="78" t="s">
        <v>1644</v>
      </c>
      <c r="M237" s="78" t="s">
        <v>1644</v>
      </c>
      <c r="N237" s="78" t="s">
        <v>1643</v>
      </c>
    </row>
    <row r="238" spans="1:14" ht="15.75" thickBot="1" x14ac:dyDescent="0.3">
      <c r="A238" s="44" t="s">
        <v>945</v>
      </c>
      <c r="B238" s="107" t="s">
        <v>946</v>
      </c>
      <c r="C238" s="78" t="s">
        <v>803</v>
      </c>
      <c r="D238" s="108">
        <v>22</v>
      </c>
      <c r="E238" s="108">
        <v>33</v>
      </c>
      <c r="F238" s="78" t="s">
        <v>1643</v>
      </c>
      <c r="G238" s="78" t="s">
        <v>1729</v>
      </c>
      <c r="H238" s="78" t="s">
        <v>1643</v>
      </c>
      <c r="I238" s="78" t="s">
        <v>1729</v>
      </c>
      <c r="J238" s="78" t="s">
        <v>1643</v>
      </c>
      <c r="K238" s="78" t="s">
        <v>1643</v>
      </c>
      <c r="L238" s="78" t="s">
        <v>1644</v>
      </c>
      <c r="M238" s="78" t="s">
        <v>1644</v>
      </c>
      <c r="N238" s="78" t="s">
        <v>1643</v>
      </c>
    </row>
    <row r="239" spans="1:14" ht="15.75" thickBot="1" x14ac:dyDescent="0.3">
      <c r="A239" s="44" t="s">
        <v>949</v>
      </c>
      <c r="B239" s="107" t="s">
        <v>950</v>
      </c>
      <c r="C239" s="78" t="s">
        <v>803</v>
      </c>
      <c r="D239" s="108">
        <v>12</v>
      </c>
      <c r="E239" s="108">
        <v>21</v>
      </c>
      <c r="F239" s="78" t="s">
        <v>1643</v>
      </c>
      <c r="G239" s="78" t="s">
        <v>1730</v>
      </c>
      <c r="H239" s="78" t="s">
        <v>1643</v>
      </c>
      <c r="I239" s="78" t="s">
        <v>1730</v>
      </c>
      <c r="J239" s="78" t="s">
        <v>1643</v>
      </c>
      <c r="K239" s="78" t="s">
        <v>1643</v>
      </c>
      <c r="L239" s="78" t="s">
        <v>1643</v>
      </c>
      <c r="M239" s="78" t="s">
        <v>1643</v>
      </c>
      <c r="N239" s="78" t="s">
        <v>1643</v>
      </c>
    </row>
    <row r="240" spans="1:14" ht="15.75" thickBot="1" x14ac:dyDescent="0.3">
      <c r="A240" s="44" t="s">
        <v>951</v>
      </c>
      <c r="B240" s="107" t="s">
        <v>952</v>
      </c>
      <c r="C240" s="78" t="s">
        <v>803</v>
      </c>
      <c r="D240" s="108">
        <v>28</v>
      </c>
      <c r="E240" s="108">
        <v>60</v>
      </c>
      <c r="F240" s="78" t="s">
        <v>1643</v>
      </c>
      <c r="G240" s="78" t="s">
        <v>1731</v>
      </c>
      <c r="H240" s="78" t="s">
        <v>1643</v>
      </c>
      <c r="I240" s="78" t="s">
        <v>1731</v>
      </c>
      <c r="J240" s="78" t="s">
        <v>1643</v>
      </c>
      <c r="K240" s="78" t="s">
        <v>1643</v>
      </c>
      <c r="L240" s="78" t="s">
        <v>1643</v>
      </c>
      <c r="M240" s="78" t="s">
        <v>1643</v>
      </c>
      <c r="N240" s="78" t="s">
        <v>1643</v>
      </c>
    </row>
    <row r="241" spans="1:14" ht="15.75" thickBot="1" x14ac:dyDescent="0.3">
      <c r="A241" s="44" t="s">
        <v>965</v>
      </c>
      <c r="B241" s="107" t="s">
        <v>966</v>
      </c>
      <c r="C241" s="78" t="s">
        <v>803</v>
      </c>
      <c r="D241" s="108">
        <v>7</v>
      </c>
      <c r="E241" s="108">
        <v>17</v>
      </c>
      <c r="F241" s="78" t="s">
        <v>1643</v>
      </c>
      <c r="G241" s="78" t="s">
        <v>1737</v>
      </c>
      <c r="H241" s="78" t="s">
        <v>1643</v>
      </c>
      <c r="I241" s="78" t="s">
        <v>1738</v>
      </c>
      <c r="J241" s="78" t="s">
        <v>1643</v>
      </c>
      <c r="K241" s="78" t="s">
        <v>1643</v>
      </c>
      <c r="L241" s="78" t="s">
        <v>1644</v>
      </c>
      <c r="M241" s="78" t="s">
        <v>1644</v>
      </c>
      <c r="N241" s="78" t="s">
        <v>1643</v>
      </c>
    </row>
    <row r="242" spans="1:14" ht="15.75" thickBot="1" x14ac:dyDescent="0.3">
      <c r="A242" s="44" t="s">
        <v>975</v>
      </c>
      <c r="B242" s="107" t="s">
        <v>976</v>
      </c>
      <c r="C242" s="78" t="s">
        <v>803</v>
      </c>
      <c r="D242" s="108">
        <v>18</v>
      </c>
      <c r="E242" s="108">
        <v>19</v>
      </c>
      <c r="F242" s="78" t="s">
        <v>1643</v>
      </c>
      <c r="G242" s="78" t="s">
        <v>1688</v>
      </c>
      <c r="H242" s="78" t="s">
        <v>1643</v>
      </c>
      <c r="I242" s="78" t="s">
        <v>1688</v>
      </c>
      <c r="J242" s="78" t="s">
        <v>1643</v>
      </c>
      <c r="K242" s="78" t="s">
        <v>1643</v>
      </c>
      <c r="L242" s="78" t="s">
        <v>1643</v>
      </c>
      <c r="M242" s="78" t="s">
        <v>1644</v>
      </c>
      <c r="N242" s="78" t="s">
        <v>1643</v>
      </c>
    </row>
    <row r="243" spans="1:14" ht="15.75" thickBot="1" x14ac:dyDescent="0.3">
      <c r="A243" s="44" t="s">
        <v>981</v>
      </c>
      <c r="B243" s="107" t="s">
        <v>982</v>
      </c>
      <c r="C243" s="78" t="s">
        <v>803</v>
      </c>
      <c r="D243" s="108">
        <v>13</v>
      </c>
      <c r="E243" s="108">
        <v>40</v>
      </c>
      <c r="F243" s="78" t="s">
        <v>1643</v>
      </c>
      <c r="G243" s="78" t="s">
        <v>1745</v>
      </c>
      <c r="H243" s="78" t="s">
        <v>1643</v>
      </c>
      <c r="I243" s="78" t="s">
        <v>1745</v>
      </c>
      <c r="J243" s="78" t="s">
        <v>1643</v>
      </c>
      <c r="K243" s="78" t="s">
        <v>1643</v>
      </c>
      <c r="L243" s="78" t="s">
        <v>1644</v>
      </c>
      <c r="M243" s="78" t="s">
        <v>1643</v>
      </c>
      <c r="N243" s="78" t="s">
        <v>1643</v>
      </c>
    </row>
    <row r="244" spans="1:14" ht="15.75" thickBot="1" x14ac:dyDescent="0.3">
      <c r="A244" s="44" t="s">
        <v>1007</v>
      </c>
      <c r="B244" s="107" t="s">
        <v>1008</v>
      </c>
      <c r="C244" s="78" t="s">
        <v>803</v>
      </c>
      <c r="D244" s="108">
        <v>20</v>
      </c>
      <c r="E244" s="108">
        <v>30</v>
      </c>
      <c r="F244" s="78" t="s">
        <v>1643</v>
      </c>
      <c r="G244" s="78" t="s">
        <v>1751</v>
      </c>
      <c r="H244" s="78" t="s">
        <v>1643</v>
      </c>
      <c r="I244" s="78" t="s">
        <v>1751</v>
      </c>
      <c r="J244" s="78" t="s">
        <v>1643</v>
      </c>
      <c r="K244" s="78" t="s">
        <v>1643</v>
      </c>
      <c r="L244" s="78" t="s">
        <v>1643</v>
      </c>
      <c r="M244" s="78" t="s">
        <v>1644</v>
      </c>
      <c r="N244" s="78" t="s">
        <v>1643</v>
      </c>
    </row>
    <row r="245" spans="1:14" ht="15.75" thickBot="1" x14ac:dyDescent="0.3">
      <c r="A245" s="44" t="s">
        <v>1009</v>
      </c>
      <c r="B245" s="107" t="s">
        <v>1010</v>
      </c>
      <c r="C245" s="78" t="s">
        <v>803</v>
      </c>
      <c r="D245" s="108">
        <v>18</v>
      </c>
      <c r="E245" s="108">
        <v>24</v>
      </c>
      <c r="F245" s="78" t="s">
        <v>1643</v>
      </c>
      <c r="G245" s="78" t="s">
        <v>1688</v>
      </c>
      <c r="H245" s="78" t="s">
        <v>1643</v>
      </c>
      <c r="I245" s="78" t="s">
        <v>1752</v>
      </c>
      <c r="J245" s="78" t="s">
        <v>1643</v>
      </c>
      <c r="K245" s="78" t="s">
        <v>1643</v>
      </c>
      <c r="L245" s="78" t="s">
        <v>1644</v>
      </c>
      <c r="M245" s="78" t="s">
        <v>1643</v>
      </c>
      <c r="N245" s="78" t="s">
        <v>1643</v>
      </c>
    </row>
    <row r="246" spans="1:14" ht="15.75" thickBot="1" x14ac:dyDescent="0.3">
      <c r="A246" s="44" t="s">
        <v>1017</v>
      </c>
      <c r="B246" s="107" t="s">
        <v>1018</v>
      </c>
      <c r="C246" s="78" t="s">
        <v>803</v>
      </c>
      <c r="D246" s="108">
        <v>6</v>
      </c>
      <c r="E246" s="108">
        <v>17</v>
      </c>
      <c r="F246" s="78" t="s">
        <v>1643</v>
      </c>
      <c r="G246" s="78" t="s">
        <v>1754</v>
      </c>
      <c r="H246" s="78" t="s">
        <v>1643</v>
      </c>
      <c r="I246" s="78" t="s">
        <v>1754</v>
      </c>
      <c r="J246" s="78" t="s">
        <v>1643</v>
      </c>
      <c r="K246" s="78" t="s">
        <v>1643</v>
      </c>
      <c r="L246" s="78" t="s">
        <v>1644</v>
      </c>
      <c r="M246" s="78" t="s">
        <v>1644</v>
      </c>
      <c r="N246" s="78" t="s">
        <v>1643</v>
      </c>
    </row>
    <row r="247" spans="1:14" ht="15.75" thickBot="1" x14ac:dyDescent="0.3">
      <c r="A247" s="44" t="s">
        <v>1027</v>
      </c>
      <c r="B247" s="107" t="s">
        <v>1028</v>
      </c>
      <c r="C247" s="78" t="s">
        <v>803</v>
      </c>
      <c r="D247" s="108">
        <v>8</v>
      </c>
      <c r="E247" s="108">
        <v>12</v>
      </c>
      <c r="F247" s="78" t="s">
        <v>1643</v>
      </c>
      <c r="G247" s="78" t="s">
        <v>1702</v>
      </c>
      <c r="H247" s="78" t="s">
        <v>1643</v>
      </c>
      <c r="I247" s="78" t="s">
        <v>1702</v>
      </c>
      <c r="J247" s="78" t="s">
        <v>1643</v>
      </c>
      <c r="K247" s="78" t="s">
        <v>1643</v>
      </c>
      <c r="L247" s="78" t="s">
        <v>1644</v>
      </c>
      <c r="M247" s="78" t="s">
        <v>1644</v>
      </c>
      <c r="N247" s="78" t="s">
        <v>1643</v>
      </c>
    </row>
    <row r="248" spans="1:14" ht="15.75" thickBot="1" x14ac:dyDescent="0.3">
      <c r="A248" s="44" t="s">
        <v>1043</v>
      </c>
      <c r="B248" s="107" t="s">
        <v>1044</v>
      </c>
      <c r="C248" s="78" t="s">
        <v>803</v>
      </c>
      <c r="D248" s="108">
        <v>12</v>
      </c>
      <c r="E248" s="108">
        <v>25</v>
      </c>
      <c r="F248" s="78" t="s">
        <v>1643</v>
      </c>
      <c r="G248" s="78" t="s">
        <v>1722</v>
      </c>
      <c r="H248" s="78" t="s">
        <v>1643</v>
      </c>
      <c r="I248" s="78" t="s">
        <v>1722</v>
      </c>
      <c r="J248" s="78" t="s">
        <v>1643</v>
      </c>
      <c r="K248" s="78" t="s">
        <v>1643</v>
      </c>
      <c r="L248" s="78" t="s">
        <v>1644</v>
      </c>
      <c r="M248" s="78" t="s">
        <v>1643</v>
      </c>
      <c r="N248" s="78" t="s">
        <v>1643</v>
      </c>
    </row>
    <row r="249" spans="1:14" ht="15.75" thickBot="1" x14ac:dyDescent="0.3">
      <c r="A249" s="44" t="s">
        <v>1053</v>
      </c>
      <c r="B249" s="107" t="s">
        <v>1054</v>
      </c>
      <c r="C249" s="78" t="s">
        <v>803</v>
      </c>
      <c r="D249" s="108">
        <v>7</v>
      </c>
      <c r="E249" s="108">
        <v>10</v>
      </c>
      <c r="F249" s="78" t="s">
        <v>1643</v>
      </c>
      <c r="G249" s="78" t="s">
        <v>1687</v>
      </c>
      <c r="H249" s="78" t="s">
        <v>1643</v>
      </c>
      <c r="I249" s="78" t="s">
        <v>1687</v>
      </c>
      <c r="J249" s="78" t="s">
        <v>1643</v>
      </c>
      <c r="K249" s="78" t="s">
        <v>1643</v>
      </c>
      <c r="L249" s="78" t="s">
        <v>1644</v>
      </c>
      <c r="M249" s="78" t="s">
        <v>1643</v>
      </c>
      <c r="N249" s="78" t="s">
        <v>1643</v>
      </c>
    </row>
    <row r="250" spans="1:14" ht="15.75" thickBot="1" x14ac:dyDescent="0.3">
      <c r="A250" s="44" t="s">
        <v>1055</v>
      </c>
      <c r="B250" s="107" t="s">
        <v>1056</v>
      </c>
      <c r="C250" s="78" t="s">
        <v>803</v>
      </c>
      <c r="D250" s="108">
        <v>22</v>
      </c>
      <c r="E250" s="108">
        <v>36</v>
      </c>
      <c r="F250" s="78" t="s">
        <v>1643</v>
      </c>
      <c r="G250" s="78" t="s">
        <v>1711</v>
      </c>
      <c r="H250" s="78" t="s">
        <v>1643</v>
      </c>
      <c r="I250" s="78" t="s">
        <v>1711</v>
      </c>
      <c r="J250" s="78" t="s">
        <v>1643</v>
      </c>
      <c r="K250" s="78" t="s">
        <v>1643</v>
      </c>
      <c r="L250" s="78" t="s">
        <v>1643</v>
      </c>
      <c r="M250" s="78" t="s">
        <v>1643</v>
      </c>
      <c r="N250" s="78" t="s">
        <v>1643</v>
      </c>
    </row>
    <row r="251" spans="1:14" ht="15.75" thickBot="1" x14ac:dyDescent="0.3">
      <c r="A251" s="44" t="s">
        <v>1059</v>
      </c>
      <c r="B251" s="107" t="s">
        <v>1060</v>
      </c>
      <c r="C251" s="78" t="s">
        <v>803</v>
      </c>
      <c r="D251" s="108">
        <v>13</v>
      </c>
      <c r="E251" s="108">
        <v>26</v>
      </c>
      <c r="F251" s="78" t="s">
        <v>1643</v>
      </c>
      <c r="G251" s="78" t="s">
        <v>1760</v>
      </c>
      <c r="H251" s="78" t="s">
        <v>1643</v>
      </c>
      <c r="I251" s="78" t="s">
        <v>1761</v>
      </c>
      <c r="J251" s="78" t="s">
        <v>1643</v>
      </c>
      <c r="K251" s="78" t="s">
        <v>1643</v>
      </c>
      <c r="L251" s="78" t="s">
        <v>1643</v>
      </c>
      <c r="M251" s="78" t="s">
        <v>1643</v>
      </c>
      <c r="N251" s="78" t="s">
        <v>1643</v>
      </c>
    </row>
    <row r="252" spans="1:14" ht="15.75" thickBot="1" x14ac:dyDescent="0.3">
      <c r="A252" s="44" t="s">
        <v>1061</v>
      </c>
      <c r="B252" s="107" t="s">
        <v>1062</v>
      </c>
      <c r="C252" s="78" t="s">
        <v>803</v>
      </c>
      <c r="D252" s="108">
        <v>10</v>
      </c>
      <c r="E252" s="108">
        <v>15</v>
      </c>
      <c r="F252" s="78" t="s">
        <v>1643</v>
      </c>
      <c r="G252" s="78" t="s">
        <v>1762</v>
      </c>
      <c r="H252" s="78" t="s">
        <v>1643</v>
      </c>
      <c r="I252" s="78" t="s">
        <v>1763</v>
      </c>
      <c r="J252" s="78" t="s">
        <v>1643</v>
      </c>
      <c r="K252" s="78" t="s">
        <v>1643</v>
      </c>
      <c r="L252" s="78" t="s">
        <v>1644</v>
      </c>
      <c r="M252" s="78" t="s">
        <v>1643</v>
      </c>
      <c r="N252" s="78" t="s">
        <v>1643</v>
      </c>
    </row>
    <row r="253" spans="1:14" ht="15.75" thickBot="1" x14ac:dyDescent="0.3">
      <c r="A253" s="44" t="s">
        <v>1067</v>
      </c>
      <c r="B253" s="107" t="s">
        <v>1068</v>
      </c>
      <c r="C253" s="78" t="s">
        <v>803</v>
      </c>
      <c r="D253" s="108">
        <v>10</v>
      </c>
      <c r="E253" s="108">
        <v>14</v>
      </c>
      <c r="F253" s="78" t="s">
        <v>1643</v>
      </c>
      <c r="G253" s="78" t="s">
        <v>1700</v>
      </c>
      <c r="H253" s="78" t="s">
        <v>1643</v>
      </c>
      <c r="I253" s="78" t="s">
        <v>1700</v>
      </c>
      <c r="J253" s="78" t="s">
        <v>1643</v>
      </c>
      <c r="K253" s="78" t="s">
        <v>1643</v>
      </c>
      <c r="L253" s="78" t="s">
        <v>1644</v>
      </c>
      <c r="M253" s="78" t="s">
        <v>1643</v>
      </c>
      <c r="N253" s="78" t="s">
        <v>1643</v>
      </c>
    </row>
    <row r="254" spans="1:14" ht="15.75" thickBot="1" x14ac:dyDescent="0.3">
      <c r="A254" s="44" t="s">
        <v>1073</v>
      </c>
      <c r="B254" s="107" t="s">
        <v>1074</v>
      </c>
      <c r="C254" s="78" t="s">
        <v>803</v>
      </c>
      <c r="D254" s="108">
        <v>10</v>
      </c>
      <c r="E254" s="108">
        <v>10</v>
      </c>
      <c r="F254" s="78" t="s">
        <v>1643</v>
      </c>
      <c r="G254" s="78" t="s">
        <v>1681</v>
      </c>
      <c r="H254" s="78" t="s">
        <v>1643</v>
      </c>
      <c r="I254" s="78" t="s">
        <v>1681</v>
      </c>
      <c r="J254" s="78" t="s">
        <v>1643</v>
      </c>
      <c r="K254" s="78" t="s">
        <v>1643</v>
      </c>
      <c r="L254" s="78" t="s">
        <v>1644</v>
      </c>
      <c r="M254" s="78" t="s">
        <v>1643</v>
      </c>
      <c r="N254" s="78" t="s">
        <v>1643</v>
      </c>
    </row>
    <row r="255" spans="1:14" ht="15.75" thickBot="1" x14ac:dyDescent="0.3">
      <c r="A255" s="44" t="s">
        <v>1077</v>
      </c>
      <c r="B255" s="107" t="s">
        <v>1078</v>
      </c>
      <c r="C255" s="78" t="s">
        <v>803</v>
      </c>
      <c r="D255" s="108">
        <v>14</v>
      </c>
      <c r="E255" s="108">
        <v>38</v>
      </c>
      <c r="F255" s="78" t="s">
        <v>1643</v>
      </c>
      <c r="G255" s="78" t="s">
        <v>1765</v>
      </c>
      <c r="H255" s="78" t="s">
        <v>1643</v>
      </c>
      <c r="I255" s="78" t="s">
        <v>1765</v>
      </c>
      <c r="J255" s="78" t="s">
        <v>1643</v>
      </c>
      <c r="K255" s="78" t="s">
        <v>1643</v>
      </c>
      <c r="L255" s="78" t="s">
        <v>1644</v>
      </c>
      <c r="M255" s="78" t="s">
        <v>1643</v>
      </c>
      <c r="N255" s="78" t="s">
        <v>1643</v>
      </c>
    </row>
    <row r="256" spans="1:14" ht="15.75" thickBot="1" x14ac:dyDescent="0.3">
      <c r="A256" s="44" t="s">
        <v>1079</v>
      </c>
      <c r="B256" s="107" t="s">
        <v>1080</v>
      </c>
      <c r="C256" s="78" t="s">
        <v>803</v>
      </c>
      <c r="D256" s="108">
        <v>3</v>
      </c>
      <c r="E256" s="108">
        <v>2</v>
      </c>
      <c r="F256" s="78" t="s">
        <v>1643</v>
      </c>
      <c r="G256" s="78" t="s">
        <v>3453</v>
      </c>
      <c r="H256" s="78" t="s">
        <v>1643</v>
      </c>
      <c r="I256" s="78" t="s">
        <v>3453</v>
      </c>
      <c r="J256" s="78" t="s">
        <v>1643</v>
      </c>
      <c r="K256" s="78" t="s">
        <v>1643</v>
      </c>
      <c r="L256" s="78" t="s">
        <v>1644</v>
      </c>
      <c r="M256" s="78" t="s">
        <v>1643</v>
      </c>
      <c r="N256" s="78" t="s">
        <v>1643</v>
      </c>
    </row>
    <row r="257" spans="1:14" ht="15.75" thickBot="1" x14ac:dyDescent="0.3">
      <c r="A257" s="44" t="s">
        <v>1097</v>
      </c>
      <c r="B257" s="107" t="s">
        <v>1098</v>
      </c>
      <c r="C257" s="78" t="s">
        <v>803</v>
      </c>
      <c r="D257" s="108">
        <v>12</v>
      </c>
      <c r="E257" s="108">
        <v>45</v>
      </c>
      <c r="F257" s="78" t="s">
        <v>1643</v>
      </c>
      <c r="G257" s="78" t="s">
        <v>1730</v>
      </c>
      <c r="H257" s="78" t="s">
        <v>1643</v>
      </c>
      <c r="I257" s="78" t="s">
        <v>1730</v>
      </c>
      <c r="J257" s="78" t="s">
        <v>1643</v>
      </c>
      <c r="K257" s="78" t="s">
        <v>1643</v>
      </c>
      <c r="L257" s="78" t="s">
        <v>1644</v>
      </c>
      <c r="M257" s="78" t="s">
        <v>1643</v>
      </c>
      <c r="N257" s="78" t="s">
        <v>1643</v>
      </c>
    </row>
    <row r="258" spans="1:14" ht="15.75" thickBot="1" x14ac:dyDescent="0.3">
      <c r="A258" s="44" t="s">
        <v>1105</v>
      </c>
      <c r="B258" s="107" t="s">
        <v>1106</v>
      </c>
      <c r="C258" s="78" t="s">
        <v>803</v>
      </c>
      <c r="D258" s="108">
        <v>15</v>
      </c>
      <c r="E258" s="108">
        <v>22</v>
      </c>
      <c r="F258" s="78" t="s">
        <v>1643</v>
      </c>
      <c r="G258" s="78" t="s">
        <v>1701</v>
      </c>
      <c r="H258" s="78" t="s">
        <v>1643</v>
      </c>
      <c r="I258" s="78" t="s">
        <v>1701</v>
      </c>
      <c r="J258" s="78" t="s">
        <v>1643</v>
      </c>
      <c r="K258" s="78" t="s">
        <v>1643</v>
      </c>
      <c r="L258" s="78" t="s">
        <v>1644</v>
      </c>
      <c r="M258" s="78" t="s">
        <v>1644</v>
      </c>
      <c r="N258" s="78" t="s">
        <v>1643</v>
      </c>
    </row>
    <row r="259" spans="1:14" ht="15.75" thickBot="1" x14ac:dyDescent="0.3">
      <c r="A259" s="44" t="s">
        <v>1115</v>
      </c>
      <c r="B259" s="107" t="s">
        <v>1116</v>
      </c>
      <c r="C259" s="78" t="s">
        <v>803</v>
      </c>
      <c r="D259" s="108">
        <v>10</v>
      </c>
      <c r="E259" s="108">
        <v>16</v>
      </c>
      <c r="F259" s="78" t="s">
        <v>1643</v>
      </c>
      <c r="G259" s="78" t="s">
        <v>1773</v>
      </c>
      <c r="H259" s="78" t="s">
        <v>1643</v>
      </c>
      <c r="I259" s="78" t="s">
        <v>1773</v>
      </c>
      <c r="J259" s="78" t="s">
        <v>1643</v>
      </c>
      <c r="K259" s="78" t="s">
        <v>1643</v>
      </c>
      <c r="L259" s="78" t="s">
        <v>1644</v>
      </c>
      <c r="M259" s="78" t="s">
        <v>1644</v>
      </c>
      <c r="N259" s="78" t="s">
        <v>1643</v>
      </c>
    </row>
    <row r="260" spans="1:14" ht="15.75" thickBot="1" x14ac:dyDescent="0.3">
      <c r="A260" s="44" t="s">
        <v>1117</v>
      </c>
      <c r="B260" s="107" t="s">
        <v>1118</v>
      </c>
      <c r="C260" s="78" t="s">
        <v>803</v>
      </c>
      <c r="D260" s="108">
        <v>7</v>
      </c>
      <c r="E260" s="108">
        <v>36</v>
      </c>
      <c r="F260" s="78" t="s">
        <v>1643</v>
      </c>
      <c r="G260" s="78" t="s">
        <v>1774</v>
      </c>
      <c r="H260" s="78" t="s">
        <v>1643</v>
      </c>
      <c r="I260" s="78" t="s">
        <v>1774</v>
      </c>
      <c r="J260" s="78" t="s">
        <v>1643</v>
      </c>
      <c r="K260" s="78" t="s">
        <v>1643</v>
      </c>
      <c r="L260" s="78" t="s">
        <v>1644</v>
      </c>
      <c r="M260" s="78" t="s">
        <v>1643</v>
      </c>
      <c r="N260" s="78" t="s">
        <v>1643</v>
      </c>
    </row>
    <row r="261" spans="1:14" ht="15.75" thickBot="1" x14ac:dyDescent="0.3">
      <c r="A261" s="44" t="s">
        <v>1121</v>
      </c>
      <c r="B261" s="107" t="s">
        <v>1122</v>
      </c>
      <c r="C261" s="78" t="s">
        <v>803</v>
      </c>
      <c r="D261" s="108">
        <v>13</v>
      </c>
      <c r="E261" s="108">
        <v>30</v>
      </c>
      <c r="F261" s="78" t="s">
        <v>1643</v>
      </c>
      <c r="G261" s="78" t="s">
        <v>1690</v>
      </c>
      <c r="H261" s="78" t="s">
        <v>1643</v>
      </c>
      <c r="I261" s="78" t="s">
        <v>1712</v>
      </c>
      <c r="J261" s="78" t="s">
        <v>1643</v>
      </c>
      <c r="K261" s="78" t="s">
        <v>1643</v>
      </c>
      <c r="L261" s="78" t="s">
        <v>1644</v>
      </c>
      <c r="M261" s="78" t="s">
        <v>1643</v>
      </c>
      <c r="N261" s="78" t="s">
        <v>1643</v>
      </c>
    </row>
    <row r="262" spans="1:14" ht="15.75" thickBot="1" x14ac:dyDescent="0.3">
      <c r="A262" s="44" t="s">
        <v>1123</v>
      </c>
      <c r="B262" s="107" t="s">
        <v>1124</v>
      </c>
      <c r="C262" s="78" t="s">
        <v>803</v>
      </c>
      <c r="D262" s="108">
        <v>7</v>
      </c>
      <c r="E262" s="108">
        <v>25</v>
      </c>
      <c r="F262" s="78" t="s">
        <v>1643</v>
      </c>
      <c r="G262" s="78" t="s">
        <v>3453</v>
      </c>
      <c r="H262" s="78" t="s">
        <v>1643</v>
      </c>
      <c r="I262" s="78" t="s">
        <v>3453</v>
      </c>
      <c r="J262" s="78" t="s">
        <v>1643</v>
      </c>
      <c r="K262" s="78" t="s">
        <v>1643</v>
      </c>
      <c r="L262" s="78" t="s">
        <v>1644</v>
      </c>
      <c r="M262" s="78" t="s">
        <v>1643</v>
      </c>
      <c r="N262" s="78" t="s">
        <v>1643</v>
      </c>
    </row>
    <row r="263" spans="1:14" ht="15.75" thickBot="1" x14ac:dyDescent="0.3">
      <c r="A263" s="44" t="s">
        <v>1125</v>
      </c>
      <c r="B263" s="107" t="s">
        <v>1126</v>
      </c>
      <c r="C263" s="78" t="s">
        <v>803</v>
      </c>
      <c r="D263" s="108">
        <v>6</v>
      </c>
      <c r="E263" s="108">
        <v>8</v>
      </c>
      <c r="F263" s="78" t="s">
        <v>1643</v>
      </c>
      <c r="G263" s="78" t="s">
        <v>1700</v>
      </c>
      <c r="H263" s="78" t="s">
        <v>1643</v>
      </c>
      <c r="I263" s="78" t="s">
        <v>1700</v>
      </c>
      <c r="J263" s="78" t="s">
        <v>1643</v>
      </c>
      <c r="K263" s="78" t="s">
        <v>1643</v>
      </c>
      <c r="L263" s="78" t="s">
        <v>1644</v>
      </c>
      <c r="M263" s="78" t="s">
        <v>1644</v>
      </c>
      <c r="N263" s="78" t="s">
        <v>1643</v>
      </c>
    </row>
    <row r="264" spans="1:14" ht="15.75" thickBot="1" x14ac:dyDescent="0.3">
      <c r="A264" s="44" t="s">
        <v>1131</v>
      </c>
      <c r="B264" s="107" t="s">
        <v>1132</v>
      </c>
      <c r="C264" s="78" t="s">
        <v>803</v>
      </c>
      <c r="D264" s="108">
        <v>10</v>
      </c>
      <c r="E264" s="108">
        <v>18</v>
      </c>
      <c r="F264" s="78" t="s">
        <v>1643</v>
      </c>
      <c r="G264" s="78" t="s">
        <v>1735</v>
      </c>
      <c r="H264" s="78" t="s">
        <v>1643</v>
      </c>
      <c r="I264" s="78" t="s">
        <v>1735</v>
      </c>
      <c r="J264" s="78" t="s">
        <v>1643</v>
      </c>
      <c r="K264" s="78" t="s">
        <v>1643</v>
      </c>
      <c r="L264" s="78" t="s">
        <v>1643</v>
      </c>
      <c r="M264" s="78" t="s">
        <v>1643</v>
      </c>
      <c r="N264" s="78" t="s">
        <v>1643</v>
      </c>
    </row>
    <row r="265" spans="1:14" ht="15.75" thickBot="1" x14ac:dyDescent="0.3">
      <c r="A265" s="44" t="s">
        <v>1133</v>
      </c>
      <c r="B265" s="107" t="s">
        <v>1134</v>
      </c>
      <c r="C265" s="78" t="s">
        <v>803</v>
      </c>
      <c r="D265" s="108">
        <v>10</v>
      </c>
      <c r="E265" s="108">
        <v>21</v>
      </c>
      <c r="F265" s="78" t="s">
        <v>1643</v>
      </c>
      <c r="G265" s="78" t="s">
        <v>1778</v>
      </c>
      <c r="H265" s="78" t="s">
        <v>1643</v>
      </c>
      <c r="I265" s="78" t="s">
        <v>1779</v>
      </c>
      <c r="J265" s="78" t="s">
        <v>1643</v>
      </c>
      <c r="K265" s="78" t="s">
        <v>1643</v>
      </c>
      <c r="L265" s="78" t="s">
        <v>1644</v>
      </c>
      <c r="M265" s="78" t="s">
        <v>1643</v>
      </c>
      <c r="N265" s="78" t="s">
        <v>1643</v>
      </c>
    </row>
    <row r="266" spans="1:14" ht="15.75" thickBot="1" x14ac:dyDescent="0.3">
      <c r="A266" s="44" t="s">
        <v>1141</v>
      </c>
      <c r="B266" s="107" t="s">
        <v>1142</v>
      </c>
      <c r="C266" s="78" t="s">
        <v>803</v>
      </c>
      <c r="D266" s="108">
        <v>22</v>
      </c>
      <c r="E266" s="108">
        <v>38</v>
      </c>
      <c r="F266" s="78" t="s">
        <v>1643</v>
      </c>
      <c r="G266" s="78" t="s">
        <v>1711</v>
      </c>
      <c r="H266" s="78" t="s">
        <v>1643</v>
      </c>
      <c r="I266" s="78" t="s">
        <v>1711</v>
      </c>
      <c r="J266" s="78" t="s">
        <v>1643</v>
      </c>
      <c r="K266" s="78" t="s">
        <v>1643</v>
      </c>
      <c r="L266" s="78" t="s">
        <v>1644</v>
      </c>
      <c r="M266" s="78" t="s">
        <v>1643</v>
      </c>
      <c r="N266" s="78" t="s">
        <v>1643</v>
      </c>
    </row>
    <row r="267" spans="1:14" ht="15.75" thickBot="1" x14ac:dyDescent="0.3">
      <c r="A267" s="44" t="s">
        <v>1145</v>
      </c>
      <c r="B267" s="107" t="s">
        <v>1146</v>
      </c>
      <c r="C267" s="78" t="s">
        <v>803</v>
      </c>
      <c r="D267" s="108">
        <v>7</v>
      </c>
      <c r="E267" s="108">
        <v>16</v>
      </c>
      <c r="F267" s="78" t="s">
        <v>1643</v>
      </c>
      <c r="G267" s="78" t="s">
        <v>1720</v>
      </c>
      <c r="H267" s="78" t="s">
        <v>1643</v>
      </c>
      <c r="I267" s="78" t="s">
        <v>3453</v>
      </c>
      <c r="J267" s="78" t="s">
        <v>1643</v>
      </c>
      <c r="K267" s="78" t="s">
        <v>1643</v>
      </c>
      <c r="L267" s="78" t="s">
        <v>1644</v>
      </c>
      <c r="M267" s="78" t="s">
        <v>1644</v>
      </c>
      <c r="N267" s="78" t="s">
        <v>1643</v>
      </c>
    </row>
    <row r="268" spans="1:14" ht="15.75" thickBot="1" x14ac:dyDescent="0.3">
      <c r="A268" s="44" t="s">
        <v>1153</v>
      </c>
      <c r="B268" s="107" t="s">
        <v>1154</v>
      </c>
      <c r="C268" s="78" t="s">
        <v>803</v>
      </c>
      <c r="D268" s="108">
        <v>11</v>
      </c>
      <c r="E268" s="108">
        <v>24</v>
      </c>
      <c r="F268" s="78" t="s">
        <v>1643</v>
      </c>
      <c r="G268" s="78" t="s">
        <v>1780</v>
      </c>
      <c r="H268" s="78" t="s">
        <v>1643</v>
      </c>
      <c r="I268" s="78" t="s">
        <v>1780</v>
      </c>
      <c r="J268" s="78" t="s">
        <v>1643</v>
      </c>
      <c r="K268" s="78" t="s">
        <v>1643</v>
      </c>
      <c r="L268" s="78" t="s">
        <v>1644</v>
      </c>
      <c r="M268" s="78" t="s">
        <v>1644</v>
      </c>
      <c r="N268" s="78" t="s">
        <v>1643</v>
      </c>
    </row>
    <row r="269" spans="1:14" ht="15.75" thickBot="1" x14ac:dyDescent="0.3">
      <c r="A269" s="44" t="s">
        <v>1155</v>
      </c>
      <c r="B269" s="107" t="s">
        <v>1156</v>
      </c>
      <c r="C269" s="78" t="s">
        <v>803</v>
      </c>
      <c r="D269" s="108">
        <v>10</v>
      </c>
      <c r="E269" s="108">
        <v>17</v>
      </c>
      <c r="F269" s="78" t="s">
        <v>1643</v>
      </c>
      <c r="G269" s="78" t="s">
        <v>1781</v>
      </c>
      <c r="H269" s="78" t="s">
        <v>1643</v>
      </c>
      <c r="I269" s="78" t="s">
        <v>1781</v>
      </c>
      <c r="J269" s="78" t="s">
        <v>1643</v>
      </c>
      <c r="K269" s="78" t="s">
        <v>1643</v>
      </c>
      <c r="L269" s="78" t="s">
        <v>1643</v>
      </c>
      <c r="M269" s="78" t="s">
        <v>1643</v>
      </c>
      <c r="N269" s="78" t="s">
        <v>1643</v>
      </c>
    </row>
    <row r="270" spans="1:14" ht="15.75" thickBot="1" x14ac:dyDescent="0.3">
      <c r="A270" s="44" t="s">
        <v>1169</v>
      </c>
      <c r="B270" s="107" t="s">
        <v>1170</v>
      </c>
      <c r="C270" s="78" t="s">
        <v>803</v>
      </c>
      <c r="D270" s="108">
        <v>9</v>
      </c>
      <c r="E270" s="108">
        <v>11</v>
      </c>
      <c r="F270" s="78" t="s">
        <v>1643</v>
      </c>
      <c r="G270" s="78" t="s">
        <v>1783</v>
      </c>
      <c r="H270" s="78" t="s">
        <v>1643</v>
      </c>
      <c r="I270" s="78" t="s">
        <v>1783</v>
      </c>
      <c r="J270" s="78" t="s">
        <v>1643</v>
      </c>
      <c r="K270" s="78" t="s">
        <v>1643</v>
      </c>
      <c r="L270" s="78" t="s">
        <v>1644</v>
      </c>
      <c r="M270" s="78" t="s">
        <v>1643</v>
      </c>
      <c r="N270" s="78" t="s">
        <v>1643</v>
      </c>
    </row>
    <row r="271" spans="1:14" ht="15.75" thickBot="1" x14ac:dyDescent="0.3">
      <c r="A271" s="44" t="s">
        <v>1175</v>
      </c>
      <c r="B271" s="107" t="s">
        <v>1176</v>
      </c>
      <c r="C271" s="78" t="s">
        <v>803</v>
      </c>
      <c r="D271" s="108">
        <v>5</v>
      </c>
      <c r="E271" s="108">
        <v>16</v>
      </c>
      <c r="F271" s="78" t="s">
        <v>1643</v>
      </c>
      <c r="G271" s="78" t="s">
        <v>1690</v>
      </c>
      <c r="H271" s="78" t="s">
        <v>1643</v>
      </c>
      <c r="I271" s="78" t="s">
        <v>1690</v>
      </c>
      <c r="J271" s="78" t="s">
        <v>1643</v>
      </c>
      <c r="K271" s="78" t="s">
        <v>1643</v>
      </c>
      <c r="L271" s="78" t="s">
        <v>1644</v>
      </c>
      <c r="M271" s="78" t="s">
        <v>1643</v>
      </c>
      <c r="N271" s="78" t="s">
        <v>1643</v>
      </c>
    </row>
    <row r="272" spans="1:14" ht="15.75" thickBot="1" x14ac:dyDescent="0.3">
      <c r="A272" s="44" t="s">
        <v>1189</v>
      </c>
      <c r="B272" s="107" t="s">
        <v>1190</v>
      </c>
      <c r="C272" s="78" t="s">
        <v>803</v>
      </c>
      <c r="D272" s="108">
        <v>7</v>
      </c>
      <c r="E272" s="108">
        <v>10</v>
      </c>
      <c r="F272" s="78" t="s">
        <v>1643</v>
      </c>
      <c r="G272" s="78" t="s">
        <v>1788</v>
      </c>
      <c r="H272" s="78" t="s">
        <v>1643</v>
      </c>
      <c r="I272" s="78" t="s">
        <v>1788</v>
      </c>
      <c r="J272" s="78" t="s">
        <v>1643</v>
      </c>
      <c r="K272" s="78" t="s">
        <v>1643</v>
      </c>
      <c r="L272" s="78" t="s">
        <v>1644</v>
      </c>
      <c r="M272" s="78" t="s">
        <v>1643</v>
      </c>
      <c r="N272" s="78" t="s">
        <v>1643</v>
      </c>
    </row>
    <row r="273" spans="1:14" ht="15.75" thickBot="1" x14ac:dyDescent="0.3">
      <c r="A273" s="44" t="s">
        <v>1207</v>
      </c>
      <c r="B273" s="107" t="s">
        <v>1208</v>
      </c>
      <c r="C273" s="78" t="s">
        <v>803</v>
      </c>
      <c r="D273" s="108">
        <v>5</v>
      </c>
      <c r="E273" s="108">
        <v>11</v>
      </c>
      <c r="F273" s="78" t="s">
        <v>1643</v>
      </c>
      <c r="G273" s="78" t="s">
        <v>3453</v>
      </c>
      <c r="H273" s="78" t="s">
        <v>1643</v>
      </c>
      <c r="I273" s="78" t="s">
        <v>3453</v>
      </c>
      <c r="J273" s="78" t="s">
        <v>1643</v>
      </c>
      <c r="K273" s="78" t="s">
        <v>1643</v>
      </c>
      <c r="L273" s="78" t="s">
        <v>1644</v>
      </c>
      <c r="M273" s="78" t="s">
        <v>1643</v>
      </c>
      <c r="N273" s="78" t="s">
        <v>1643</v>
      </c>
    </row>
    <row r="274" spans="1:14" ht="15.75" thickBot="1" x14ac:dyDescent="0.3">
      <c r="A274" s="44" t="s">
        <v>1223</v>
      </c>
      <c r="B274" s="107" t="s">
        <v>1224</v>
      </c>
      <c r="C274" s="78" t="s">
        <v>803</v>
      </c>
      <c r="D274" s="108">
        <v>20</v>
      </c>
      <c r="E274" s="108">
        <v>38</v>
      </c>
      <c r="F274" s="78" t="s">
        <v>1643</v>
      </c>
      <c r="G274" s="78" t="s">
        <v>1798</v>
      </c>
      <c r="H274" s="78" t="s">
        <v>1643</v>
      </c>
      <c r="I274" s="78" t="s">
        <v>1798</v>
      </c>
      <c r="J274" s="78" t="s">
        <v>1643</v>
      </c>
      <c r="K274" s="78" t="s">
        <v>1643</v>
      </c>
      <c r="L274" s="78" t="s">
        <v>1643</v>
      </c>
      <c r="M274" s="78" t="s">
        <v>1643</v>
      </c>
      <c r="N274" s="78" t="s">
        <v>1643</v>
      </c>
    </row>
    <row r="275" spans="1:14" ht="15.75" thickBot="1" x14ac:dyDescent="0.3">
      <c r="A275" s="44" t="s">
        <v>1235</v>
      </c>
      <c r="B275" s="107" t="s">
        <v>1236</v>
      </c>
      <c r="C275" s="78" t="s">
        <v>803</v>
      </c>
      <c r="D275" s="108">
        <v>10</v>
      </c>
      <c r="E275" s="108">
        <v>24</v>
      </c>
      <c r="F275" s="78" t="s">
        <v>1643</v>
      </c>
      <c r="G275" s="78" t="s">
        <v>1711</v>
      </c>
      <c r="H275" s="78" t="s">
        <v>1643</v>
      </c>
      <c r="I275" s="78" t="s">
        <v>1711</v>
      </c>
      <c r="J275" s="78" t="s">
        <v>1643</v>
      </c>
      <c r="K275" s="78" t="s">
        <v>1643</v>
      </c>
      <c r="L275" s="78" t="s">
        <v>1644</v>
      </c>
      <c r="M275" s="78" t="s">
        <v>1643</v>
      </c>
      <c r="N275" s="78" t="s">
        <v>1643</v>
      </c>
    </row>
    <row r="276" spans="1:14" ht="15.75" thickBot="1" x14ac:dyDescent="0.3">
      <c r="A276" s="44" t="s">
        <v>1241</v>
      </c>
      <c r="B276" s="107" t="s">
        <v>1242</v>
      </c>
      <c r="C276" s="78" t="s">
        <v>803</v>
      </c>
      <c r="D276" s="108">
        <v>6</v>
      </c>
      <c r="E276" s="108">
        <v>10</v>
      </c>
      <c r="F276" s="78" t="s">
        <v>1643</v>
      </c>
      <c r="G276" s="78" t="s">
        <v>1799</v>
      </c>
      <c r="H276" s="78" t="s">
        <v>1643</v>
      </c>
      <c r="I276" s="78" t="s">
        <v>1799</v>
      </c>
      <c r="J276" s="78" t="s">
        <v>1643</v>
      </c>
      <c r="K276" s="78" t="s">
        <v>1643</v>
      </c>
      <c r="L276" s="78" t="s">
        <v>1644</v>
      </c>
      <c r="M276" s="78" t="s">
        <v>1643</v>
      </c>
      <c r="N276" s="78" t="s">
        <v>1643</v>
      </c>
    </row>
    <row r="277" spans="1:14" ht="15.75" thickBot="1" x14ac:dyDescent="0.3">
      <c r="A277" s="44" t="s">
        <v>1255</v>
      </c>
      <c r="B277" s="107" t="s">
        <v>1256</v>
      </c>
      <c r="C277" s="78" t="s">
        <v>803</v>
      </c>
      <c r="D277" s="108">
        <v>56</v>
      </c>
      <c r="E277" s="108">
        <v>31</v>
      </c>
      <c r="F277" s="78" t="s">
        <v>1643</v>
      </c>
      <c r="G277" s="78" t="s">
        <v>1801</v>
      </c>
      <c r="H277" s="78" t="s">
        <v>1643</v>
      </c>
      <c r="I277" s="78" t="s">
        <v>1684</v>
      </c>
      <c r="J277" s="78" t="s">
        <v>1643</v>
      </c>
      <c r="K277" s="78" t="s">
        <v>1643</v>
      </c>
      <c r="L277" s="78" t="s">
        <v>1643</v>
      </c>
      <c r="M277" s="78" t="s">
        <v>1644</v>
      </c>
      <c r="N277" s="78" t="s">
        <v>1643</v>
      </c>
    </row>
    <row r="278" spans="1:14" ht="15.75" thickBot="1" x14ac:dyDescent="0.3">
      <c r="A278" s="44" t="s">
        <v>1265</v>
      </c>
      <c r="B278" s="107" t="s">
        <v>1266</v>
      </c>
      <c r="C278" s="78" t="s">
        <v>803</v>
      </c>
      <c r="D278" s="108">
        <v>18</v>
      </c>
      <c r="E278" s="108">
        <v>29</v>
      </c>
      <c r="F278" s="78" t="s">
        <v>1643</v>
      </c>
      <c r="G278" s="78" t="s">
        <v>1803</v>
      </c>
      <c r="H278" s="78" t="s">
        <v>1643</v>
      </c>
      <c r="I278" s="78" t="s">
        <v>1803</v>
      </c>
      <c r="J278" s="78" t="s">
        <v>1643</v>
      </c>
      <c r="K278" s="78" t="s">
        <v>1643</v>
      </c>
      <c r="L278" s="78" t="s">
        <v>1644</v>
      </c>
      <c r="M278" s="78" t="s">
        <v>1644</v>
      </c>
      <c r="N278" s="78" t="s">
        <v>1643</v>
      </c>
    </row>
    <row r="279" spans="1:14" ht="15.75" thickBot="1" x14ac:dyDescent="0.3">
      <c r="A279" s="44" t="s">
        <v>1269</v>
      </c>
      <c r="B279" s="107" t="s">
        <v>1270</v>
      </c>
      <c r="C279" s="78" t="s">
        <v>803</v>
      </c>
      <c r="D279" s="108">
        <v>14</v>
      </c>
      <c r="E279" s="108">
        <v>27</v>
      </c>
      <c r="F279" s="78" t="s">
        <v>1643</v>
      </c>
      <c r="G279" s="78" t="s">
        <v>1688</v>
      </c>
      <c r="H279" s="78" t="s">
        <v>1643</v>
      </c>
      <c r="I279" s="78" t="s">
        <v>1688</v>
      </c>
      <c r="J279" s="78" t="s">
        <v>1643</v>
      </c>
      <c r="K279" s="78" t="s">
        <v>1643</v>
      </c>
      <c r="L279" s="78" t="s">
        <v>1644</v>
      </c>
      <c r="M279" s="78" t="s">
        <v>1643</v>
      </c>
      <c r="N279" s="78" t="s">
        <v>1643</v>
      </c>
    </row>
    <row r="280" spans="1:14" ht="15.75" thickBot="1" x14ac:dyDescent="0.3">
      <c r="A280" s="44" t="s">
        <v>1281</v>
      </c>
      <c r="B280" s="107" t="s">
        <v>1282</v>
      </c>
      <c r="C280" s="78" t="s">
        <v>803</v>
      </c>
      <c r="D280" s="108">
        <v>6</v>
      </c>
      <c r="E280" s="108">
        <v>14</v>
      </c>
      <c r="F280" s="78" t="s">
        <v>1643</v>
      </c>
      <c r="G280" s="78" t="s">
        <v>1807</v>
      </c>
      <c r="H280" s="78" t="s">
        <v>1643</v>
      </c>
      <c r="I280" s="78" t="s">
        <v>1807</v>
      </c>
      <c r="J280" s="78" t="s">
        <v>1643</v>
      </c>
      <c r="K280" s="78" t="s">
        <v>1643</v>
      </c>
      <c r="L280" s="78" t="s">
        <v>1644</v>
      </c>
      <c r="M280" s="78" t="s">
        <v>1643</v>
      </c>
      <c r="N280" s="78" t="s">
        <v>1643</v>
      </c>
    </row>
    <row r="281" spans="1:14" ht="15.75" thickBot="1" x14ac:dyDescent="0.3">
      <c r="A281" s="44" t="s">
        <v>1285</v>
      </c>
      <c r="B281" s="107" t="s">
        <v>1286</v>
      </c>
      <c r="C281" s="78" t="s">
        <v>803</v>
      </c>
      <c r="D281" s="108">
        <v>8</v>
      </c>
      <c r="E281" s="108">
        <v>19</v>
      </c>
      <c r="F281" s="78" t="s">
        <v>1643</v>
      </c>
      <c r="G281" s="78" t="s">
        <v>3453</v>
      </c>
      <c r="H281" s="78" t="s">
        <v>1643</v>
      </c>
      <c r="I281" s="78" t="s">
        <v>3453</v>
      </c>
      <c r="J281" s="78" t="s">
        <v>1643</v>
      </c>
      <c r="K281" s="78" t="s">
        <v>1643</v>
      </c>
      <c r="L281" s="78" t="s">
        <v>1644</v>
      </c>
      <c r="M281" s="78" t="s">
        <v>1644</v>
      </c>
      <c r="N281" s="78" t="s">
        <v>1643</v>
      </c>
    </row>
    <row r="282" spans="1:14" ht="15.75" thickBot="1" x14ac:dyDescent="0.3">
      <c r="A282" s="44" t="s">
        <v>1287</v>
      </c>
      <c r="B282" s="107" t="s">
        <v>1288</v>
      </c>
      <c r="C282" s="78" t="s">
        <v>803</v>
      </c>
      <c r="D282" s="108">
        <v>28</v>
      </c>
      <c r="E282" s="108">
        <v>29</v>
      </c>
      <c r="F282" s="78" t="s">
        <v>1643</v>
      </c>
      <c r="G282" s="78" t="s">
        <v>1808</v>
      </c>
      <c r="H282" s="78" t="s">
        <v>1643</v>
      </c>
      <c r="I282" s="78" t="s">
        <v>1678</v>
      </c>
      <c r="J282" s="78" t="s">
        <v>1643</v>
      </c>
      <c r="K282" s="78" t="s">
        <v>1643</v>
      </c>
      <c r="L282" s="78" t="s">
        <v>1643</v>
      </c>
      <c r="M282" s="78" t="s">
        <v>1643</v>
      </c>
      <c r="N282" s="78" t="s">
        <v>1643</v>
      </c>
    </row>
    <row r="283" spans="1:14" ht="15.75" thickBot="1" x14ac:dyDescent="0.3">
      <c r="A283" s="44" t="s">
        <v>1291</v>
      </c>
      <c r="B283" s="107" t="s">
        <v>1292</v>
      </c>
      <c r="C283" s="78" t="s">
        <v>803</v>
      </c>
      <c r="D283" s="108">
        <v>4</v>
      </c>
      <c r="E283" s="108">
        <v>14</v>
      </c>
      <c r="F283" s="78" t="s">
        <v>1643</v>
      </c>
      <c r="G283" s="78" t="s">
        <v>1809</v>
      </c>
      <c r="H283" s="78" t="s">
        <v>1643</v>
      </c>
      <c r="I283" s="78" t="s">
        <v>1809</v>
      </c>
      <c r="J283" s="78" t="s">
        <v>1643</v>
      </c>
      <c r="K283" s="78" t="s">
        <v>1643</v>
      </c>
      <c r="L283" s="78" t="s">
        <v>1644</v>
      </c>
      <c r="M283" s="78" t="s">
        <v>1643</v>
      </c>
      <c r="N283" s="78" t="s">
        <v>1643</v>
      </c>
    </row>
    <row r="284" spans="1:14" ht="15.75" thickBot="1" x14ac:dyDescent="0.3">
      <c r="A284" s="44" t="s">
        <v>1301</v>
      </c>
      <c r="B284" s="107" t="s">
        <v>1302</v>
      </c>
      <c r="C284" s="78" t="s">
        <v>803</v>
      </c>
      <c r="D284" s="108">
        <v>14</v>
      </c>
      <c r="E284" s="108">
        <v>14</v>
      </c>
      <c r="F284" s="78" t="s">
        <v>1643</v>
      </c>
      <c r="G284" s="78" t="s">
        <v>1683</v>
      </c>
      <c r="H284" s="78" t="s">
        <v>1643</v>
      </c>
      <c r="I284" s="78" t="s">
        <v>1683</v>
      </c>
      <c r="J284" s="78" t="s">
        <v>1643</v>
      </c>
      <c r="K284" s="78" t="s">
        <v>1643</v>
      </c>
      <c r="L284" s="78" t="s">
        <v>1644</v>
      </c>
      <c r="M284" s="78" t="s">
        <v>1643</v>
      </c>
      <c r="N284" s="78" t="s">
        <v>1643</v>
      </c>
    </row>
    <row r="285" spans="1:14" ht="15.75" thickBot="1" x14ac:dyDescent="0.3">
      <c r="A285" s="44" t="s">
        <v>1315</v>
      </c>
      <c r="B285" s="107" t="s">
        <v>1316</v>
      </c>
      <c r="C285" s="78" t="s">
        <v>803</v>
      </c>
      <c r="D285" s="108">
        <v>27</v>
      </c>
      <c r="E285" s="108">
        <v>45</v>
      </c>
      <c r="F285" s="78" t="s">
        <v>1643</v>
      </c>
      <c r="G285" s="78" t="s">
        <v>1704</v>
      </c>
      <c r="H285" s="78" t="s">
        <v>1643</v>
      </c>
      <c r="I285" s="78" t="s">
        <v>1704</v>
      </c>
      <c r="J285" s="78" t="s">
        <v>1644</v>
      </c>
      <c r="K285" s="78" t="s">
        <v>1643</v>
      </c>
      <c r="L285" s="78" t="s">
        <v>1644</v>
      </c>
      <c r="M285" s="78" t="s">
        <v>1643</v>
      </c>
      <c r="N285" s="78" t="s">
        <v>1643</v>
      </c>
    </row>
    <row r="286" spans="1:14" ht="15.75" thickBot="1" x14ac:dyDescent="0.3">
      <c r="A286" s="44" t="s">
        <v>1331</v>
      </c>
      <c r="B286" s="107" t="s">
        <v>1332</v>
      </c>
      <c r="C286" s="78" t="s">
        <v>803</v>
      </c>
      <c r="D286" s="108">
        <v>7</v>
      </c>
      <c r="E286" s="108">
        <v>19</v>
      </c>
      <c r="F286" s="78" t="s">
        <v>1644</v>
      </c>
      <c r="G286" s="78" t="s">
        <v>1951</v>
      </c>
      <c r="H286" s="78" t="s">
        <v>1644</v>
      </c>
      <c r="I286" s="78" t="s">
        <v>1951</v>
      </c>
      <c r="J286" s="78" t="s">
        <v>1644</v>
      </c>
      <c r="K286" s="78" t="s">
        <v>1644</v>
      </c>
      <c r="L286" s="78" t="s">
        <v>1644</v>
      </c>
      <c r="M286" s="78" t="s">
        <v>1644</v>
      </c>
      <c r="N286" s="78" t="s">
        <v>1643</v>
      </c>
    </row>
    <row r="287" spans="1:14" ht="15.75" thickBot="1" x14ac:dyDescent="0.3">
      <c r="A287" s="44" t="s">
        <v>1341</v>
      </c>
      <c r="B287" s="107" t="s">
        <v>1342</v>
      </c>
      <c r="C287" s="78" t="s">
        <v>803</v>
      </c>
      <c r="D287" s="108">
        <v>26</v>
      </c>
      <c r="E287" s="108">
        <v>74</v>
      </c>
      <c r="F287" s="78" t="s">
        <v>1643</v>
      </c>
      <c r="G287" s="78" t="s">
        <v>1784</v>
      </c>
      <c r="H287" s="78" t="s">
        <v>1643</v>
      </c>
      <c r="I287" s="78" t="s">
        <v>1784</v>
      </c>
      <c r="J287" s="78" t="s">
        <v>1643</v>
      </c>
      <c r="K287" s="78" t="s">
        <v>1643</v>
      </c>
      <c r="L287" s="78" t="s">
        <v>1644</v>
      </c>
      <c r="M287" s="78" t="s">
        <v>1644</v>
      </c>
      <c r="N287" s="78" t="s">
        <v>1643</v>
      </c>
    </row>
    <row r="288" spans="1:14" ht="15.75" thickBot="1" x14ac:dyDescent="0.3">
      <c r="A288" s="44" t="s">
        <v>1343</v>
      </c>
      <c r="B288" s="107" t="s">
        <v>1344</v>
      </c>
      <c r="C288" s="78" t="s">
        <v>803</v>
      </c>
      <c r="D288" s="108">
        <v>15</v>
      </c>
      <c r="E288" s="108">
        <v>25</v>
      </c>
      <c r="F288" s="78" t="s">
        <v>1643</v>
      </c>
      <c r="G288" s="78" t="s">
        <v>1777</v>
      </c>
      <c r="H288" s="78" t="s">
        <v>1643</v>
      </c>
      <c r="I288" s="78" t="s">
        <v>1777</v>
      </c>
      <c r="J288" s="78" t="s">
        <v>1643</v>
      </c>
      <c r="K288" s="78" t="s">
        <v>1643</v>
      </c>
      <c r="L288" s="78" t="s">
        <v>1643</v>
      </c>
      <c r="M288" s="78" t="s">
        <v>1644</v>
      </c>
      <c r="N288" s="78" t="s">
        <v>1643</v>
      </c>
    </row>
    <row r="289" spans="1:14" ht="15.75" thickBot="1" x14ac:dyDescent="0.3">
      <c r="A289" s="44" t="s">
        <v>1347</v>
      </c>
      <c r="B289" s="107" t="s">
        <v>1348</v>
      </c>
      <c r="C289" s="78" t="s">
        <v>803</v>
      </c>
      <c r="D289" s="108">
        <v>29</v>
      </c>
      <c r="E289" s="108">
        <v>43</v>
      </c>
      <c r="F289" s="78" t="s">
        <v>1643</v>
      </c>
      <c r="G289" s="78" t="s">
        <v>1815</v>
      </c>
      <c r="H289" s="78" t="s">
        <v>1643</v>
      </c>
      <c r="I289" s="78" t="s">
        <v>1816</v>
      </c>
      <c r="J289" s="78" t="s">
        <v>1643</v>
      </c>
      <c r="K289" s="78" t="s">
        <v>1643</v>
      </c>
      <c r="L289" s="78" t="s">
        <v>1643</v>
      </c>
      <c r="M289" s="78" t="s">
        <v>1643</v>
      </c>
      <c r="N289" s="78" t="s">
        <v>1643</v>
      </c>
    </row>
    <row r="290" spans="1:14" ht="15.75" thickBot="1" x14ac:dyDescent="0.3">
      <c r="A290" s="44" t="s">
        <v>1355</v>
      </c>
      <c r="B290" s="107" t="s">
        <v>1356</v>
      </c>
      <c r="C290" s="78" t="s">
        <v>803</v>
      </c>
      <c r="D290" s="108">
        <v>19</v>
      </c>
      <c r="E290" s="108">
        <v>15</v>
      </c>
      <c r="F290" s="78" t="s">
        <v>1643</v>
      </c>
      <c r="G290" s="78" t="s">
        <v>1702</v>
      </c>
      <c r="H290" s="78" t="s">
        <v>1643</v>
      </c>
      <c r="I290" s="78" t="s">
        <v>1702</v>
      </c>
      <c r="J290" s="78" t="s">
        <v>1643</v>
      </c>
      <c r="K290" s="78" t="s">
        <v>1643</v>
      </c>
      <c r="L290" s="78" t="s">
        <v>1643</v>
      </c>
      <c r="M290" s="78" t="s">
        <v>1644</v>
      </c>
      <c r="N290" s="78" t="s">
        <v>1643</v>
      </c>
    </row>
    <row r="291" spans="1:14" ht="15.75" thickBot="1" x14ac:dyDescent="0.3">
      <c r="A291" s="44" t="s">
        <v>1365</v>
      </c>
      <c r="B291" s="107" t="s">
        <v>1366</v>
      </c>
      <c r="C291" s="78" t="s">
        <v>803</v>
      </c>
      <c r="D291" s="108">
        <v>15</v>
      </c>
      <c r="E291" s="108">
        <v>16</v>
      </c>
      <c r="F291" s="78" t="s">
        <v>1643</v>
      </c>
      <c r="G291" s="78" t="s">
        <v>1690</v>
      </c>
      <c r="H291" s="78" t="s">
        <v>1643</v>
      </c>
      <c r="I291" s="78" t="s">
        <v>1728</v>
      </c>
      <c r="J291" s="78" t="s">
        <v>1643</v>
      </c>
      <c r="K291" s="78" t="s">
        <v>1643</v>
      </c>
      <c r="L291" s="78" t="s">
        <v>1643</v>
      </c>
      <c r="M291" s="78" t="s">
        <v>1643</v>
      </c>
      <c r="N291" s="78" t="s">
        <v>1643</v>
      </c>
    </row>
    <row r="292" spans="1:14" ht="15.75" thickBot="1" x14ac:dyDescent="0.3">
      <c r="A292" s="44" t="s">
        <v>1381</v>
      </c>
      <c r="B292" s="107" t="s">
        <v>1382</v>
      </c>
      <c r="C292" s="78" t="s">
        <v>803</v>
      </c>
      <c r="D292" s="108">
        <v>11</v>
      </c>
      <c r="E292" s="108">
        <v>18</v>
      </c>
      <c r="F292" s="78" t="s">
        <v>1643</v>
      </c>
      <c r="G292" s="78" t="s">
        <v>1821</v>
      </c>
      <c r="H292" s="78" t="s">
        <v>1643</v>
      </c>
      <c r="I292" s="78" t="s">
        <v>1681</v>
      </c>
      <c r="J292" s="78" t="s">
        <v>1643</v>
      </c>
      <c r="K292" s="78" t="s">
        <v>1643</v>
      </c>
      <c r="L292" s="78" t="s">
        <v>1644</v>
      </c>
      <c r="M292" s="78" t="s">
        <v>1643</v>
      </c>
      <c r="N292" s="78" t="s">
        <v>1643</v>
      </c>
    </row>
    <row r="293" spans="1:14" ht="15.75" thickBot="1" x14ac:dyDescent="0.3">
      <c r="A293" s="44" t="s">
        <v>1383</v>
      </c>
      <c r="B293" s="107" t="s">
        <v>1384</v>
      </c>
      <c r="C293" s="78" t="s">
        <v>803</v>
      </c>
      <c r="D293" s="108">
        <v>7</v>
      </c>
      <c r="E293" s="108">
        <v>21</v>
      </c>
      <c r="F293" s="78" t="s">
        <v>1643</v>
      </c>
      <c r="G293" s="78" t="s">
        <v>1822</v>
      </c>
      <c r="H293" s="78" t="s">
        <v>1643</v>
      </c>
      <c r="I293" s="78" t="s">
        <v>1684</v>
      </c>
      <c r="J293" s="78" t="s">
        <v>1643</v>
      </c>
      <c r="K293" s="78" t="s">
        <v>1643</v>
      </c>
      <c r="L293" s="78" t="s">
        <v>1644</v>
      </c>
      <c r="M293" s="78" t="s">
        <v>1644</v>
      </c>
      <c r="N293" s="78" t="s">
        <v>1643</v>
      </c>
    </row>
    <row r="294" spans="1:14" ht="15.75" thickBot="1" x14ac:dyDescent="0.3">
      <c r="A294" s="44" t="s">
        <v>1387</v>
      </c>
      <c r="B294" s="107" t="s">
        <v>1388</v>
      </c>
      <c r="C294" s="78" t="s">
        <v>803</v>
      </c>
      <c r="D294" s="108">
        <v>18</v>
      </c>
      <c r="E294" s="108">
        <v>45</v>
      </c>
      <c r="F294" s="78" t="s">
        <v>1643</v>
      </c>
      <c r="G294" s="78" t="s">
        <v>1824</v>
      </c>
      <c r="H294" s="78" t="s">
        <v>1643</v>
      </c>
      <c r="I294" s="78" t="s">
        <v>1825</v>
      </c>
      <c r="J294" s="78" t="s">
        <v>1643</v>
      </c>
      <c r="K294" s="78" t="s">
        <v>1643</v>
      </c>
      <c r="L294" s="78" t="s">
        <v>1644</v>
      </c>
      <c r="M294" s="78" t="s">
        <v>1643</v>
      </c>
      <c r="N294" s="78" t="s">
        <v>1643</v>
      </c>
    </row>
    <row r="295" spans="1:14" ht="15.75" thickBot="1" x14ac:dyDescent="0.3">
      <c r="A295" s="44" t="s">
        <v>1421</v>
      </c>
      <c r="B295" s="107" t="s">
        <v>1422</v>
      </c>
      <c r="C295" s="78" t="s">
        <v>803</v>
      </c>
      <c r="D295" s="108">
        <v>4</v>
      </c>
      <c r="E295" s="108">
        <v>11</v>
      </c>
      <c r="F295" s="78" t="s">
        <v>1643</v>
      </c>
      <c r="G295" s="78" t="s">
        <v>1774</v>
      </c>
      <c r="H295" s="78" t="s">
        <v>1643</v>
      </c>
      <c r="I295" s="78" t="s">
        <v>1774</v>
      </c>
      <c r="J295" s="78" t="s">
        <v>1643</v>
      </c>
      <c r="K295" s="78" t="s">
        <v>1643</v>
      </c>
      <c r="L295" s="78" t="s">
        <v>1644</v>
      </c>
      <c r="M295" s="78" t="s">
        <v>1643</v>
      </c>
      <c r="N295" s="78" t="s">
        <v>1643</v>
      </c>
    </row>
    <row r="296" spans="1:14" ht="15.75" thickBot="1" x14ac:dyDescent="0.3">
      <c r="A296" s="44" t="s">
        <v>1447</v>
      </c>
      <c r="B296" s="107" t="s">
        <v>1448</v>
      </c>
      <c r="C296" s="78" t="s">
        <v>803</v>
      </c>
      <c r="D296" s="108">
        <v>22</v>
      </c>
      <c r="E296" s="108">
        <v>41</v>
      </c>
      <c r="F296" s="78" t="s">
        <v>1643</v>
      </c>
      <c r="G296" s="78" t="s">
        <v>1711</v>
      </c>
      <c r="H296" s="78" t="s">
        <v>1643</v>
      </c>
      <c r="I296" s="78" t="s">
        <v>1711</v>
      </c>
      <c r="J296" s="78" t="s">
        <v>1643</v>
      </c>
      <c r="K296" s="78" t="s">
        <v>1643</v>
      </c>
      <c r="L296" s="78" t="s">
        <v>1643</v>
      </c>
      <c r="M296" s="78" t="s">
        <v>1643</v>
      </c>
      <c r="N296" s="78" t="s">
        <v>1643</v>
      </c>
    </row>
    <row r="297" spans="1:14" ht="15.75" thickBot="1" x14ac:dyDescent="0.3">
      <c r="A297" s="44" t="s">
        <v>1490</v>
      </c>
      <c r="B297" s="107" t="s">
        <v>1491</v>
      </c>
      <c r="C297" s="78" t="s">
        <v>803</v>
      </c>
      <c r="D297" s="108">
        <v>26</v>
      </c>
      <c r="E297" s="108">
        <v>39</v>
      </c>
      <c r="F297" s="78" t="s">
        <v>1643</v>
      </c>
      <c r="G297" s="78" t="s">
        <v>1724</v>
      </c>
      <c r="H297" s="78" t="s">
        <v>1643</v>
      </c>
      <c r="I297" s="78" t="s">
        <v>1687</v>
      </c>
      <c r="J297" s="78" t="s">
        <v>1643</v>
      </c>
      <c r="K297" s="78" t="s">
        <v>1643</v>
      </c>
      <c r="L297" s="78" t="s">
        <v>1643</v>
      </c>
      <c r="M297" s="78" t="s">
        <v>1643</v>
      </c>
      <c r="N297" s="78" t="s">
        <v>1643</v>
      </c>
    </row>
    <row r="298" spans="1:14" ht="15.75" thickBot="1" x14ac:dyDescent="0.3">
      <c r="A298" s="44" t="s">
        <v>1492</v>
      </c>
      <c r="B298" s="107" t="s">
        <v>1493</v>
      </c>
      <c r="C298" s="78" t="s">
        <v>803</v>
      </c>
      <c r="D298" s="108">
        <v>9</v>
      </c>
      <c r="E298" s="108">
        <v>12</v>
      </c>
      <c r="F298" s="78" t="s">
        <v>1643</v>
      </c>
      <c r="G298" s="78" t="s">
        <v>1711</v>
      </c>
      <c r="H298" s="78" t="s">
        <v>1643</v>
      </c>
      <c r="I298" s="78" t="s">
        <v>1711</v>
      </c>
      <c r="J298" s="78" t="s">
        <v>1643</v>
      </c>
      <c r="K298" s="78" t="s">
        <v>1643</v>
      </c>
      <c r="L298" s="78" t="s">
        <v>1644</v>
      </c>
      <c r="M298" s="78" t="s">
        <v>1643</v>
      </c>
      <c r="N298" s="78" t="s">
        <v>1643</v>
      </c>
    </row>
    <row r="299" spans="1:14" ht="15.75" thickBot="1" x14ac:dyDescent="0.3">
      <c r="A299" s="44" t="s">
        <v>1498</v>
      </c>
      <c r="B299" s="107" t="s">
        <v>1499</v>
      </c>
      <c r="C299" s="78" t="s">
        <v>803</v>
      </c>
      <c r="D299" s="108">
        <v>12</v>
      </c>
      <c r="E299" s="108">
        <v>17</v>
      </c>
      <c r="F299" s="78" t="s">
        <v>1643</v>
      </c>
      <c r="G299" s="78" t="s">
        <v>1684</v>
      </c>
      <c r="H299" s="78" t="s">
        <v>1643</v>
      </c>
      <c r="I299" s="78" t="s">
        <v>1684</v>
      </c>
      <c r="J299" s="78" t="s">
        <v>1643</v>
      </c>
      <c r="K299" s="78" t="s">
        <v>1643</v>
      </c>
      <c r="L299" s="78" t="s">
        <v>1644</v>
      </c>
      <c r="M299" s="78" t="s">
        <v>1644</v>
      </c>
      <c r="N299" s="78" t="s">
        <v>1643</v>
      </c>
    </row>
    <row r="300" spans="1:14" ht="15.75" thickBot="1" x14ac:dyDescent="0.3">
      <c r="A300" s="44" t="s">
        <v>1516</v>
      </c>
      <c r="B300" s="107" t="s">
        <v>1517</v>
      </c>
      <c r="C300" s="78" t="s">
        <v>803</v>
      </c>
      <c r="D300" s="108">
        <v>13</v>
      </c>
      <c r="E300" s="108">
        <v>20</v>
      </c>
      <c r="F300" s="78" t="s">
        <v>1643</v>
      </c>
      <c r="G300" s="78" t="s">
        <v>1775</v>
      </c>
      <c r="H300" s="78" t="s">
        <v>1643</v>
      </c>
      <c r="I300" s="78" t="s">
        <v>1775</v>
      </c>
      <c r="J300" s="78" t="s">
        <v>1643</v>
      </c>
      <c r="K300" s="78" t="s">
        <v>1643</v>
      </c>
      <c r="L300" s="78" t="s">
        <v>1644</v>
      </c>
      <c r="M300" s="78" t="s">
        <v>1644</v>
      </c>
      <c r="N300" s="78" t="s">
        <v>1643</v>
      </c>
    </row>
    <row r="301" spans="1:14" ht="15.75" thickBot="1" x14ac:dyDescent="0.3">
      <c r="A301" s="44" t="s">
        <v>1528</v>
      </c>
      <c r="B301" s="107" t="s">
        <v>1529</v>
      </c>
      <c r="C301" s="78" t="s">
        <v>803</v>
      </c>
      <c r="D301" s="108">
        <v>2</v>
      </c>
      <c r="E301" s="108">
        <v>35</v>
      </c>
      <c r="F301" s="78" t="s">
        <v>1643</v>
      </c>
      <c r="G301" s="78" t="s">
        <v>1846</v>
      </c>
      <c r="H301" s="78" t="s">
        <v>1643</v>
      </c>
      <c r="I301" s="78" t="s">
        <v>1846</v>
      </c>
      <c r="J301" s="78" t="s">
        <v>1643</v>
      </c>
      <c r="K301" s="78" t="s">
        <v>1643</v>
      </c>
      <c r="L301" s="78" t="s">
        <v>1644</v>
      </c>
      <c r="M301" s="78" t="s">
        <v>1643</v>
      </c>
      <c r="N301" s="78" t="s">
        <v>1643</v>
      </c>
    </row>
    <row r="302" spans="1:14" ht="15.75" thickBot="1" x14ac:dyDescent="0.3">
      <c r="A302" s="44" t="s">
        <v>1532</v>
      </c>
      <c r="B302" s="107" t="s">
        <v>1533</v>
      </c>
      <c r="C302" s="78" t="s">
        <v>803</v>
      </c>
      <c r="D302" s="108">
        <v>9</v>
      </c>
      <c r="E302" s="108">
        <v>20</v>
      </c>
      <c r="F302" s="78" t="s">
        <v>1643</v>
      </c>
      <c r="G302" s="78" t="s">
        <v>1680</v>
      </c>
      <c r="H302" s="78" t="s">
        <v>1643</v>
      </c>
      <c r="I302" s="78" t="s">
        <v>1680</v>
      </c>
      <c r="J302" s="78" t="s">
        <v>1643</v>
      </c>
      <c r="K302" s="78" t="s">
        <v>1643</v>
      </c>
      <c r="L302" s="78" t="s">
        <v>1644</v>
      </c>
      <c r="M302" s="78" t="s">
        <v>1644</v>
      </c>
      <c r="N302" s="78" t="s">
        <v>1643</v>
      </c>
    </row>
    <row r="303" spans="1:14" ht="15.75" thickBot="1" x14ac:dyDescent="0.3">
      <c r="A303" s="44" t="s">
        <v>1552</v>
      </c>
      <c r="B303" s="107" t="s">
        <v>1553</v>
      </c>
      <c r="C303" s="78" t="s">
        <v>803</v>
      </c>
      <c r="D303" s="108">
        <v>6</v>
      </c>
      <c r="E303" s="108">
        <v>10</v>
      </c>
      <c r="F303" s="78" t="s">
        <v>1643</v>
      </c>
      <c r="G303" s="78" t="s">
        <v>1853</v>
      </c>
      <c r="H303" s="78" t="s">
        <v>1643</v>
      </c>
      <c r="I303" s="78" t="s">
        <v>1854</v>
      </c>
      <c r="J303" s="78" t="s">
        <v>1643</v>
      </c>
      <c r="K303" s="78" t="s">
        <v>1643</v>
      </c>
      <c r="L303" s="78" t="s">
        <v>1644</v>
      </c>
      <c r="M303" s="78" t="s">
        <v>1644</v>
      </c>
      <c r="N303" s="78" t="s">
        <v>1643</v>
      </c>
    </row>
    <row r="304" spans="1:14" ht="15.75" thickBot="1" x14ac:dyDescent="0.3">
      <c r="A304" s="44" t="s">
        <v>1572</v>
      </c>
      <c r="B304" s="107" t="s">
        <v>1573</v>
      </c>
      <c r="C304" s="78" t="s">
        <v>803</v>
      </c>
      <c r="D304" s="108">
        <v>13</v>
      </c>
      <c r="E304" s="108">
        <v>20</v>
      </c>
      <c r="F304" s="78" t="s">
        <v>1643</v>
      </c>
      <c r="G304" s="78" t="s">
        <v>1711</v>
      </c>
      <c r="H304" s="78" t="s">
        <v>1643</v>
      </c>
      <c r="I304" s="78" t="s">
        <v>1711</v>
      </c>
      <c r="J304" s="78" t="s">
        <v>1643</v>
      </c>
      <c r="K304" s="78" t="s">
        <v>1643</v>
      </c>
      <c r="L304" s="78" t="s">
        <v>1644</v>
      </c>
      <c r="M304" s="78" t="s">
        <v>1643</v>
      </c>
      <c r="N304" s="78" t="s">
        <v>1643</v>
      </c>
    </row>
    <row r="305" spans="1:14" ht="15.75" thickBot="1" x14ac:dyDescent="0.3">
      <c r="A305" s="44" t="s">
        <v>1598</v>
      </c>
      <c r="B305" s="107" t="s">
        <v>1599</v>
      </c>
      <c r="C305" s="78" t="s">
        <v>803</v>
      </c>
      <c r="D305" s="108">
        <v>15</v>
      </c>
      <c r="E305" s="108">
        <v>30</v>
      </c>
      <c r="F305" s="78" t="s">
        <v>1643</v>
      </c>
      <c r="G305" s="78" t="s">
        <v>1767</v>
      </c>
      <c r="H305" s="78" t="s">
        <v>1643</v>
      </c>
      <c r="I305" s="78" t="s">
        <v>1767</v>
      </c>
      <c r="J305" s="78" t="s">
        <v>1643</v>
      </c>
      <c r="K305" s="78" t="s">
        <v>1643</v>
      </c>
      <c r="L305" s="78" t="s">
        <v>1643</v>
      </c>
      <c r="M305" s="78" t="s">
        <v>1643</v>
      </c>
      <c r="N305" s="78" t="s">
        <v>1643</v>
      </c>
    </row>
    <row r="306" spans="1:14" ht="15.75" thickBot="1" x14ac:dyDescent="0.3">
      <c r="A306" s="44" t="s">
        <v>820</v>
      </c>
      <c r="B306" s="107" t="s">
        <v>821</v>
      </c>
      <c r="C306" s="78" t="s">
        <v>822</v>
      </c>
      <c r="D306" s="108">
        <v>16</v>
      </c>
      <c r="E306" s="108">
        <v>24</v>
      </c>
      <c r="F306" s="78" t="s">
        <v>1643</v>
      </c>
      <c r="G306" s="78" t="s">
        <v>1686</v>
      </c>
      <c r="H306" s="78" t="s">
        <v>1643</v>
      </c>
      <c r="I306" s="78" t="s">
        <v>1686</v>
      </c>
      <c r="J306" s="78" t="s">
        <v>1643</v>
      </c>
      <c r="K306" s="78" t="s">
        <v>1643</v>
      </c>
      <c r="L306" s="78" t="s">
        <v>1644</v>
      </c>
      <c r="M306" s="78" t="s">
        <v>1643</v>
      </c>
      <c r="N306" s="78" t="s">
        <v>1643</v>
      </c>
    </row>
    <row r="307" spans="1:14" ht="15.75" thickBot="1" x14ac:dyDescent="0.3">
      <c r="A307" s="44" t="s">
        <v>823</v>
      </c>
      <c r="B307" s="107" t="s">
        <v>824</v>
      </c>
      <c r="C307" s="78" t="s">
        <v>822</v>
      </c>
      <c r="D307" s="108">
        <v>6</v>
      </c>
      <c r="E307" s="108">
        <v>9</v>
      </c>
      <c r="F307" s="78" t="s">
        <v>1643</v>
      </c>
      <c r="G307" s="78" t="s">
        <v>1687</v>
      </c>
      <c r="H307" s="78" t="s">
        <v>1643</v>
      </c>
      <c r="I307" s="78" t="s">
        <v>1687</v>
      </c>
      <c r="J307" s="78" t="s">
        <v>1643</v>
      </c>
      <c r="K307" s="78" t="s">
        <v>1643</v>
      </c>
      <c r="L307" s="78" t="s">
        <v>1643</v>
      </c>
      <c r="M307" s="78" t="s">
        <v>1643</v>
      </c>
      <c r="N307" s="78" t="s">
        <v>1643</v>
      </c>
    </row>
    <row r="308" spans="1:14" ht="15.75" thickBot="1" x14ac:dyDescent="0.3">
      <c r="A308" s="44" t="s">
        <v>831</v>
      </c>
      <c r="B308" s="107" t="s">
        <v>832</v>
      </c>
      <c r="C308" s="78" t="s">
        <v>822</v>
      </c>
      <c r="D308" s="108">
        <v>15</v>
      </c>
      <c r="E308" s="108">
        <v>22</v>
      </c>
      <c r="F308" s="78" t="s">
        <v>1643</v>
      </c>
      <c r="G308" s="78" t="s">
        <v>1690</v>
      </c>
      <c r="H308" s="78" t="s">
        <v>1643</v>
      </c>
      <c r="I308" s="78" t="s">
        <v>1690</v>
      </c>
      <c r="J308" s="78" t="s">
        <v>1643</v>
      </c>
      <c r="K308" s="78" t="s">
        <v>1643</v>
      </c>
      <c r="L308" s="78" t="s">
        <v>1644</v>
      </c>
      <c r="M308" s="78" t="s">
        <v>1643</v>
      </c>
      <c r="N308" s="78" t="s">
        <v>1643</v>
      </c>
    </row>
    <row r="309" spans="1:14" ht="15.75" thickBot="1" x14ac:dyDescent="0.3">
      <c r="A309" s="44" t="s">
        <v>855</v>
      </c>
      <c r="B309" s="107" t="s">
        <v>856</v>
      </c>
      <c r="C309" s="78" t="s">
        <v>822</v>
      </c>
      <c r="D309" s="108">
        <v>50</v>
      </c>
      <c r="E309" s="108">
        <v>35</v>
      </c>
      <c r="F309" s="78" t="s">
        <v>1643</v>
      </c>
      <c r="G309" s="78" t="s">
        <v>1703</v>
      </c>
      <c r="H309" s="78" t="s">
        <v>1643</v>
      </c>
      <c r="I309" s="78" t="s">
        <v>1703</v>
      </c>
      <c r="J309" s="78" t="s">
        <v>1643</v>
      </c>
      <c r="K309" s="78" t="s">
        <v>1643</v>
      </c>
      <c r="L309" s="78" t="s">
        <v>1643</v>
      </c>
      <c r="M309" s="78" t="s">
        <v>1644</v>
      </c>
      <c r="N309" s="78" t="s">
        <v>1643</v>
      </c>
    </row>
    <row r="310" spans="1:14" ht="15.75" thickBot="1" x14ac:dyDescent="0.3">
      <c r="A310" s="44" t="s">
        <v>867</v>
      </c>
      <c r="B310" s="107" t="s">
        <v>868</v>
      </c>
      <c r="C310" s="78" t="s">
        <v>822</v>
      </c>
      <c r="D310" s="108">
        <v>17</v>
      </c>
      <c r="E310" s="108">
        <v>25</v>
      </c>
      <c r="F310" s="78" t="s">
        <v>1643</v>
      </c>
      <c r="G310" s="78" t="s">
        <v>1701</v>
      </c>
      <c r="H310" s="78" t="s">
        <v>1643</v>
      </c>
      <c r="I310" s="78" t="s">
        <v>1701</v>
      </c>
      <c r="J310" s="78" t="s">
        <v>1643</v>
      </c>
      <c r="K310" s="78" t="s">
        <v>1643</v>
      </c>
      <c r="L310" s="78" t="s">
        <v>1644</v>
      </c>
      <c r="M310" s="78" t="s">
        <v>1643</v>
      </c>
      <c r="N310" s="78" t="s">
        <v>1643</v>
      </c>
    </row>
    <row r="311" spans="1:14" ht="15.75" thickBot="1" x14ac:dyDescent="0.3">
      <c r="A311" s="44" t="s">
        <v>891</v>
      </c>
      <c r="B311" s="107" t="s">
        <v>892</v>
      </c>
      <c r="C311" s="78" t="s">
        <v>822</v>
      </c>
      <c r="D311" s="108">
        <v>95</v>
      </c>
      <c r="E311" s="108">
        <v>105</v>
      </c>
      <c r="F311" s="78" t="s">
        <v>1643</v>
      </c>
      <c r="G311" s="78" t="s">
        <v>1716</v>
      </c>
      <c r="H311" s="78" t="s">
        <v>1643</v>
      </c>
      <c r="I311" s="78" t="s">
        <v>1716</v>
      </c>
      <c r="J311" s="78" t="s">
        <v>1643</v>
      </c>
      <c r="K311" s="78" t="s">
        <v>1643</v>
      </c>
      <c r="L311" s="78" t="s">
        <v>1643</v>
      </c>
      <c r="M311" s="78" t="s">
        <v>1644</v>
      </c>
      <c r="N311" s="78" t="s">
        <v>1643</v>
      </c>
    </row>
    <row r="312" spans="1:14" ht="15.75" thickBot="1" x14ac:dyDescent="0.3">
      <c r="A312" s="44" t="s">
        <v>897</v>
      </c>
      <c r="B312" s="107" t="s">
        <v>898</v>
      </c>
      <c r="C312" s="78" t="s">
        <v>822</v>
      </c>
      <c r="D312" s="108">
        <v>50</v>
      </c>
      <c r="E312" s="108">
        <v>89</v>
      </c>
      <c r="F312" s="78" t="s">
        <v>1643</v>
      </c>
      <c r="G312" s="78" t="s">
        <v>1719</v>
      </c>
      <c r="H312" s="78" t="s">
        <v>1643</v>
      </c>
      <c r="I312" s="78" t="s">
        <v>1693</v>
      </c>
      <c r="J312" s="78" t="s">
        <v>1643</v>
      </c>
      <c r="K312" s="78" t="s">
        <v>1643</v>
      </c>
      <c r="L312" s="78" t="s">
        <v>1644</v>
      </c>
      <c r="M312" s="78" t="s">
        <v>1644</v>
      </c>
      <c r="N312" s="78" t="s">
        <v>1643</v>
      </c>
    </row>
    <row r="313" spans="1:14" ht="15.75" thickBot="1" x14ac:dyDescent="0.3">
      <c r="A313" s="44" t="s">
        <v>907</v>
      </c>
      <c r="B313" s="107" t="s">
        <v>908</v>
      </c>
      <c r="C313" s="78" t="s">
        <v>822</v>
      </c>
      <c r="D313" s="108">
        <v>36</v>
      </c>
      <c r="E313" s="108">
        <v>32</v>
      </c>
      <c r="F313" s="78" t="s">
        <v>1643</v>
      </c>
      <c r="G313" s="78" t="s">
        <v>1688</v>
      </c>
      <c r="H313" s="78" t="s">
        <v>1643</v>
      </c>
      <c r="I313" s="78" t="s">
        <v>1688</v>
      </c>
      <c r="J313" s="78" t="s">
        <v>1643</v>
      </c>
      <c r="K313" s="78" t="s">
        <v>1643</v>
      </c>
      <c r="L313" s="78" t="s">
        <v>1644</v>
      </c>
      <c r="M313" s="78" t="s">
        <v>1643</v>
      </c>
      <c r="N313" s="78" t="s">
        <v>1643</v>
      </c>
    </row>
    <row r="314" spans="1:14" ht="15.75" thickBot="1" x14ac:dyDescent="0.3">
      <c r="A314" s="44" t="s">
        <v>917</v>
      </c>
      <c r="B314" s="107" t="s">
        <v>918</v>
      </c>
      <c r="C314" s="78" t="s">
        <v>822</v>
      </c>
      <c r="D314" s="108">
        <v>20</v>
      </c>
      <c r="E314" s="108">
        <v>61</v>
      </c>
      <c r="F314" s="78" t="s">
        <v>1643</v>
      </c>
      <c r="G314" s="78" t="s">
        <v>3453</v>
      </c>
      <c r="H314" s="78" t="s">
        <v>1643</v>
      </c>
      <c r="I314" s="78" t="s">
        <v>3453</v>
      </c>
      <c r="J314" s="78" t="s">
        <v>1643</v>
      </c>
      <c r="K314" s="78" t="s">
        <v>1643</v>
      </c>
      <c r="L314" s="78" t="s">
        <v>1644</v>
      </c>
      <c r="M314" s="78" t="s">
        <v>1644</v>
      </c>
      <c r="N314" s="78" t="s">
        <v>1643</v>
      </c>
    </row>
    <row r="315" spans="1:14" ht="15.75" thickBot="1" x14ac:dyDescent="0.3">
      <c r="A315" s="44" t="s">
        <v>933</v>
      </c>
      <c r="B315" s="107" t="s">
        <v>934</v>
      </c>
      <c r="C315" s="78" t="s">
        <v>822</v>
      </c>
      <c r="D315" s="108">
        <v>19</v>
      </c>
      <c r="E315" s="108">
        <v>59</v>
      </c>
      <c r="F315" s="78" t="s">
        <v>1643</v>
      </c>
      <c r="G315" s="78" t="s">
        <v>1690</v>
      </c>
      <c r="H315" s="78" t="s">
        <v>1643</v>
      </c>
      <c r="I315" s="78" t="s">
        <v>1725</v>
      </c>
      <c r="J315" s="78" t="s">
        <v>1643</v>
      </c>
      <c r="K315" s="78" t="s">
        <v>1643</v>
      </c>
      <c r="L315" s="78" t="s">
        <v>1644</v>
      </c>
      <c r="M315" s="78" t="s">
        <v>1644</v>
      </c>
      <c r="N315" s="78" t="s">
        <v>1643</v>
      </c>
    </row>
    <row r="316" spans="1:14" ht="15.75" thickBot="1" x14ac:dyDescent="0.3">
      <c r="A316" s="44" t="s">
        <v>953</v>
      </c>
      <c r="B316" s="107" t="s">
        <v>954</v>
      </c>
      <c r="C316" s="78" t="s">
        <v>822</v>
      </c>
      <c r="D316" s="108">
        <v>19</v>
      </c>
      <c r="E316" s="108">
        <v>22</v>
      </c>
      <c r="F316" s="78" t="s">
        <v>1643</v>
      </c>
      <c r="G316" s="78" t="s">
        <v>1732</v>
      </c>
      <c r="H316" s="78" t="s">
        <v>1643</v>
      </c>
      <c r="I316" s="78" t="s">
        <v>1732</v>
      </c>
      <c r="J316" s="78" t="s">
        <v>1643</v>
      </c>
      <c r="K316" s="78" t="s">
        <v>1643</v>
      </c>
      <c r="L316" s="78" t="s">
        <v>1643</v>
      </c>
      <c r="M316" s="78" t="s">
        <v>1643</v>
      </c>
      <c r="N316" s="78" t="s">
        <v>1643</v>
      </c>
    </row>
    <row r="317" spans="1:14" ht="15.75" thickBot="1" x14ac:dyDescent="0.3">
      <c r="A317" s="44" t="s">
        <v>957</v>
      </c>
      <c r="B317" s="107" t="s">
        <v>958</v>
      </c>
      <c r="C317" s="78" t="s">
        <v>822</v>
      </c>
      <c r="D317" s="108">
        <v>30</v>
      </c>
      <c r="E317" s="108">
        <v>52</v>
      </c>
      <c r="F317" s="78" t="s">
        <v>1643</v>
      </c>
      <c r="G317" s="78" t="s">
        <v>1733</v>
      </c>
      <c r="H317" s="78" t="s">
        <v>1643</v>
      </c>
      <c r="I317" s="78" t="s">
        <v>1733</v>
      </c>
      <c r="J317" s="78" t="s">
        <v>1643</v>
      </c>
      <c r="K317" s="78" t="s">
        <v>1643</v>
      </c>
      <c r="L317" s="78" t="s">
        <v>1643</v>
      </c>
      <c r="M317" s="78" t="s">
        <v>1644</v>
      </c>
      <c r="N317" s="78" t="s">
        <v>1643</v>
      </c>
    </row>
    <row r="318" spans="1:14" ht="15.75" thickBot="1" x14ac:dyDescent="0.3">
      <c r="A318" s="44" t="s">
        <v>971</v>
      </c>
      <c r="B318" s="107" t="s">
        <v>972</v>
      </c>
      <c r="C318" s="78" t="s">
        <v>822</v>
      </c>
      <c r="D318" s="108">
        <v>26</v>
      </c>
      <c r="E318" s="108">
        <v>47</v>
      </c>
      <c r="F318" s="78" t="s">
        <v>1643</v>
      </c>
      <c r="G318" s="78" t="s">
        <v>1711</v>
      </c>
      <c r="H318" s="78" t="s">
        <v>1643</v>
      </c>
      <c r="I318" s="78" t="s">
        <v>1711</v>
      </c>
      <c r="J318" s="78" t="s">
        <v>1643</v>
      </c>
      <c r="K318" s="78" t="s">
        <v>1643</v>
      </c>
      <c r="L318" s="78" t="s">
        <v>1643</v>
      </c>
      <c r="M318" s="78" t="s">
        <v>1643</v>
      </c>
      <c r="N318" s="78" t="s">
        <v>1643</v>
      </c>
    </row>
    <row r="319" spans="1:14" ht="15.75" thickBot="1" x14ac:dyDescent="0.3">
      <c r="A319" s="44" t="s">
        <v>973</v>
      </c>
      <c r="B319" s="107" t="s">
        <v>974</v>
      </c>
      <c r="C319" s="78" t="s">
        <v>822</v>
      </c>
      <c r="D319" s="108">
        <v>14</v>
      </c>
      <c r="E319" s="108">
        <v>52</v>
      </c>
      <c r="F319" s="78" t="s">
        <v>1643</v>
      </c>
      <c r="G319" s="78" t="s">
        <v>1742</v>
      </c>
      <c r="H319" s="78" t="s">
        <v>1643</v>
      </c>
      <c r="I319" s="78" t="s">
        <v>1742</v>
      </c>
      <c r="J319" s="78" t="s">
        <v>1643</v>
      </c>
      <c r="K319" s="78" t="s">
        <v>1643</v>
      </c>
      <c r="L319" s="78" t="s">
        <v>1644</v>
      </c>
      <c r="M319" s="78" t="s">
        <v>1643</v>
      </c>
      <c r="N319" s="78" t="s">
        <v>1643</v>
      </c>
    </row>
    <row r="320" spans="1:14" ht="15.75" thickBot="1" x14ac:dyDescent="0.3">
      <c r="A320" s="44" t="s">
        <v>983</v>
      </c>
      <c r="B320" s="107" t="s">
        <v>984</v>
      </c>
      <c r="C320" s="78" t="s">
        <v>822</v>
      </c>
      <c r="D320" s="108">
        <v>29</v>
      </c>
      <c r="E320" s="108">
        <v>35</v>
      </c>
      <c r="F320" s="78" t="s">
        <v>1643</v>
      </c>
      <c r="G320" s="78" t="s">
        <v>1746</v>
      </c>
      <c r="H320" s="78" t="s">
        <v>1643</v>
      </c>
      <c r="I320" s="78" t="s">
        <v>1746</v>
      </c>
      <c r="J320" s="78" t="s">
        <v>1643</v>
      </c>
      <c r="K320" s="78" t="s">
        <v>1643</v>
      </c>
      <c r="L320" s="78" t="s">
        <v>1643</v>
      </c>
      <c r="M320" s="78" t="s">
        <v>1643</v>
      </c>
      <c r="N320" s="78" t="s">
        <v>1643</v>
      </c>
    </row>
    <row r="321" spans="1:14" ht="15.75" thickBot="1" x14ac:dyDescent="0.3">
      <c r="A321" s="44" t="s">
        <v>1001</v>
      </c>
      <c r="B321" s="107" t="s">
        <v>1002</v>
      </c>
      <c r="C321" s="78" t="s">
        <v>822</v>
      </c>
      <c r="D321" s="108">
        <v>18</v>
      </c>
      <c r="E321" s="108">
        <v>35</v>
      </c>
      <c r="F321" s="78" t="s">
        <v>1643</v>
      </c>
      <c r="G321" s="78" t="s">
        <v>1722</v>
      </c>
      <c r="H321" s="78" t="s">
        <v>1643</v>
      </c>
      <c r="I321" s="78" t="s">
        <v>1722</v>
      </c>
      <c r="J321" s="78" t="s">
        <v>1643</v>
      </c>
      <c r="K321" s="78" t="s">
        <v>1643</v>
      </c>
      <c r="L321" s="78" t="s">
        <v>1643</v>
      </c>
      <c r="M321" s="78" t="s">
        <v>1643</v>
      </c>
      <c r="N321" s="78" t="s">
        <v>1643</v>
      </c>
    </row>
    <row r="322" spans="1:14" ht="15.75" thickBot="1" x14ac:dyDescent="0.3">
      <c r="A322" s="44" t="s">
        <v>1011</v>
      </c>
      <c r="B322" s="107" t="s">
        <v>1012</v>
      </c>
      <c r="C322" s="78" t="s">
        <v>822</v>
      </c>
      <c r="D322" s="108">
        <v>23</v>
      </c>
      <c r="E322" s="108">
        <v>38</v>
      </c>
      <c r="F322" s="78" t="s">
        <v>1643</v>
      </c>
      <c r="G322" s="78" t="s">
        <v>1722</v>
      </c>
      <c r="H322" s="78" t="s">
        <v>1643</v>
      </c>
      <c r="I322" s="78" t="s">
        <v>1722</v>
      </c>
      <c r="J322" s="78" t="s">
        <v>1643</v>
      </c>
      <c r="K322" s="78" t="s">
        <v>1643</v>
      </c>
      <c r="L322" s="78" t="s">
        <v>1644</v>
      </c>
      <c r="M322" s="78" t="s">
        <v>1643</v>
      </c>
      <c r="N322" s="78" t="s">
        <v>1643</v>
      </c>
    </row>
    <row r="323" spans="1:14" ht="15.75" thickBot="1" x14ac:dyDescent="0.3">
      <c r="A323" s="44" t="s">
        <v>1023</v>
      </c>
      <c r="B323" s="107" t="s">
        <v>1024</v>
      </c>
      <c r="C323" s="78" t="s">
        <v>822</v>
      </c>
      <c r="D323" s="108">
        <v>19</v>
      </c>
      <c r="E323" s="108">
        <v>34</v>
      </c>
      <c r="F323" s="78" t="s">
        <v>1643</v>
      </c>
      <c r="G323" s="78" t="s">
        <v>1716</v>
      </c>
      <c r="H323" s="78" t="s">
        <v>1643</v>
      </c>
      <c r="I323" s="78" t="s">
        <v>1728</v>
      </c>
      <c r="J323" s="78" t="s">
        <v>1643</v>
      </c>
      <c r="K323" s="78" t="s">
        <v>1643</v>
      </c>
      <c r="L323" s="78" t="s">
        <v>1643</v>
      </c>
      <c r="M323" s="78" t="s">
        <v>1644</v>
      </c>
      <c r="N323" s="78" t="s">
        <v>1643</v>
      </c>
    </row>
    <row r="324" spans="1:14" ht="15.75" thickBot="1" x14ac:dyDescent="0.3">
      <c r="A324" s="44" t="s">
        <v>1025</v>
      </c>
      <c r="B324" s="107" t="s">
        <v>1026</v>
      </c>
      <c r="C324" s="78" t="s">
        <v>822</v>
      </c>
      <c r="D324" s="108">
        <v>8</v>
      </c>
      <c r="E324" s="108">
        <v>14</v>
      </c>
      <c r="F324" s="78" t="s">
        <v>1643</v>
      </c>
      <c r="G324" s="78" t="s">
        <v>1730</v>
      </c>
      <c r="H324" s="78" t="s">
        <v>1643</v>
      </c>
      <c r="I324" s="78" t="s">
        <v>1730</v>
      </c>
      <c r="J324" s="78" t="s">
        <v>1643</v>
      </c>
      <c r="K324" s="78" t="s">
        <v>1643</v>
      </c>
      <c r="L324" s="78" t="s">
        <v>1644</v>
      </c>
      <c r="M324" s="78" t="s">
        <v>1643</v>
      </c>
      <c r="N324" s="78" t="s">
        <v>1643</v>
      </c>
    </row>
    <row r="325" spans="1:14" ht="15.75" thickBot="1" x14ac:dyDescent="0.3">
      <c r="A325" s="44" t="s">
        <v>1085</v>
      </c>
      <c r="B325" s="107" t="s">
        <v>1086</v>
      </c>
      <c r="C325" s="78" t="s">
        <v>822</v>
      </c>
      <c r="D325" s="108">
        <v>9</v>
      </c>
      <c r="E325" s="108">
        <v>15</v>
      </c>
      <c r="F325" s="78" t="s">
        <v>1643</v>
      </c>
      <c r="G325" s="78" t="s">
        <v>1767</v>
      </c>
      <c r="H325" s="78" t="s">
        <v>1643</v>
      </c>
      <c r="I325" s="78" t="s">
        <v>1767</v>
      </c>
      <c r="J325" s="78" t="s">
        <v>1643</v>
      </c>
      <c r="K325" s="78" t="s">
        <v>1643</v>
      </c>
      <c r="L325" s="78" t="s">
        <v>1644</v>
      </c>
      <c r="M325" s="78" t="s">
        <v>1643</v>
      </c>
      <c r="N325" s="78" t="s">
        <v>1643</v>
      </c>
    </row>
    <row r="326" spans="1:14" ht="15.75" thickBot="1" x14ac:dyDescent="0.3">
      <c r="A326" s="44" t="s">
        <v>1093</v>
      </c>
      <c r="B326" s="107" t="s">
        <v>1094</v>
      </c>
      <c r="C326" s="78" t="s">
        <v>822</v>
      </c>
      <c r="D326" s="108">
        <v>36</v>
      </c>
      <c r="E326" s="108">
        <v>25</v>
      </c>
      <c r="F326" s="78" t="s">
        <v>1643</v>
      </c>
      <c r="G326" s="78" t="s">
        <v>1765</v>
      </c>
      <c r="H326" s="78" t="s">
        <v>1643</v>
      </c>
      <c r="I326" s="78" t="s">
        <v>1765</v>
      </c>
      <c r="J326" s="78" t="s">
        <v>1643</v>
      </c>
      <c r="K326" s="78" t="s">
        <v>1643</v>
      </c>
      <c r="L326" s="78" t="s">
        <v>1644</v>
      </c>
      <c r="M326" s="78" t="s">
        <v>1643</v>
      </c>
      <c r="N326" s="78" t="s">
        <v>1643</v>
      </c>
    </row>
    <row r="327" spans="1:14" ht="15.75" thickBot="1" x14ac:dyDescent="0.3">
      <c r="A327" s="44" t="s">
        <v>1113</v>
      </c>
      <c r="B327" s="107" t="s">
        <v>1114</v>
      </c>
      <c r="C327" s="78" t="s">
        <v>822</v>
      </c>
      <c r="D327" s="108">
        <v>28</v>
      </c>
      <c r="E327" s="108">
        <v>79</v>
      </c>
      <c r="F327" s="78" t="s">
        <v>1643</v>
      </c>
      <c r="G327" s="78" t="s">
        <v>1772</v>
      </c>
      <c r="H327" s="78" t="s">
        <v>1643</v>
      </c>
      <c r="I327" s="78" t="s">
        <v>1772</v>
      </c>
      <c r="J327" s="78" t="s">
        <v>1643</v>
      </c>
      <c r="K327" s="78" t="s">
        <v>1643</v>
      </c>
      <c r="L327" s="78" t="s">
        <v>1644</v>
      </c>
      <c r="M327" s="78" t="s">
        <v>1643</v>
      </c>
      <c r="N327" s="78" t="s">
        <v>1643</v>
      </c>
    </row>
    <row r="328" spans="1:14" ht="15.75" thickBot="1" x14ac:dyDescent="0.3">
      <c r="A328" s="44" t="s">
        <v>1171</v>
      </c>
      <c r="B328" s="107" t="s">
        <v>1172</v>
      </c>
      <c r="C328" s="78" t="s">
        <v>822</v>
      </c>
      <c r="D328" s="108">
        <v>23</v>
      </c>
      <c r="E328" s="108">
        <v>63</v>
      </c>
      <c r="F328" s="78" t="s">
        <v>1643</v>
      </c>
      <c r="G328" s="78" t="s">
        <v>1784</v>
      </c>
      <c r="H328" s="78" t="s">
        <v>1643</v>
      </c>
      <c r="I328" s="78" t="s">
        <v>1785</v>
      </c>
      <c r="J328" s="78" t="s">
        <v>1643</v>
      </c>
      <c r="K328" s="78" t="s">
        <v>1643</v>
      </c>
      <c r="L328" s="78" t="s">
        <v>1644</v>
      </c>
      <c r="M328" s="78" t="s">
        <v>1643</v>
      </c>
      <c r="N328" s="78" t="s">
        <v>1643</v>
      </c>
    </row>
    <row r="329" spans="1:14" ht="15.75" thickBot="1" x14ac:dyDescent="0.3">
      <c r="A329" s="44" t="s">
        <v>1215</v>
      </c>
      <c r="B329" s="107" t="s">
        <v>1216</v>
      </c>
      <c r="C329" s="78" t="s">
        <v>822</v>
      </c>
      <c r="D329" s="108">
        <v>18</v>
      </c>
      <c r="E329" s="108">
        <v>30</v>
      </c>
      <c r="F329" s="78" t="s">
        <v>1643</v>
      </c>
      <c r="G329" s="78" t="s">
        <v>1796</v>
      </c>
      <c r="H329" s="78" t="s">
        <v>1643</v>
      </c>
      <c r="I329" s="78" t="s">
        <v>1796</v>
      </c>
      <c r="J329" s="78" t="s">
        <v>1643</v>
      </c>
      <c r="K329" s="78" t="s">
        <v>1643</v>
      </c>
      <c r="L329" s="78" t="s">
        <v>1644</v>
      </c>
      <c r="M329" s="78" t="s">
        <v>1644</v>
      </c>
      <c r="N329" s="78" t="s">
        <v>1643</v>
      </c>
    </row>
    <row r="330" spans="1:14" ht="15.75" thickBot="1" x14ac:dyDescent="0.3">
      <c r="A330" s="44" t="s">
        <v>1221</v>
      </c>
      <c r="B330" s="107" t="s">
        <v>1222</v>
      </c>
      <c r="C330" s="78" t="s">
        <v>822</v>
      </c>
      <c r="D330" s="108">
        <v>6</v>
      </c>
      <c r="E330" s="108">
        <v>12</v>
      </c>
      <c r="F330" s="78" t="s">
        <v>1643</v>
      </c>
      <c r="G330" s="78" t="s">
        <v>1797</v>
      </c>
      <c r="H330" s="78" t="s">
        <v>1643</v>
      </c>
      <c r="I330" s="78" t="s">
        <v>1797</v>
      </c>
      <c r="J330" s="78" t="s">
        <v>1643</v>
      </c>
      <c r="K330" s="78" t="s">
        <v>1643</v>
      </c>
      <c r="L330" s="78" t="s">
        <v>1644</v>
      </c>
      <c r="M330" s="78" t="s">
        <v>1643</v>
      </c>
      <c r="N330" s="78" t="s">
        <v>1643</v>
      </c>
    </row>
    <row r="331" spans="1:14" ht="15.75" thickBot="1" x14ac:dyDescent="0.3">
      <c r="A331" s="44" t="s">
        <v>1231</v>
      </c>
      <c r="B331" s="107" t="s">
        <v>1232</v>
      </c>
      <c r="C331" s="78" t="s">
        <v>822</v>
      </c>
      <c r="D331" s="108">
        <v>50</v>
      </c>
      <c r="E331" s="108">
        <v>64</v>
      </c>
      <c r="F331" s="78" t="s">
        <v>1643</v>
      </c>
      <c r="G331" s="78" t="s">
        <v>1735</v>
      </c>
      <c r="H331" s="78" t="s">
        <v>1643</v>
      </c>
      <c r="I331" s="78" t="s">
        <v>1735</v>
      </c>
      <c r="J331" s="78" t="s">
        <v>1643</v>
      </c>
      <c r="K331" s="78" t="s">
        <v>1643</v>
      </c>
      <c r="L331" s="78" t="s">
        <v>1643</v>
      </c>
      <c r="M331" s="78" t="s">
        <v>1643</v>
      </c>
      <c r="N331" s="78" t="s">
        <v>1643</v>
      </c>
    </row>
    <row r="332" spans="1:14" ht="15.75" thickBot="1" x14ac:dyDescent="0.3">
      <c r="A332" s="44" t="s">
        <v>1247</v>
      </c>
      <c r="B332" s="107" t="s">
        <v>1248</v>
      </c>
      <c r="C332" s="78" t="s">
        <v>822</v>
      </c>
      <c r="D332" s="108">
        <v>12</v>
      </c>
      <c r="E332" s="108">
        <v>22</v>
      </c>
      <c r="F332" s="78" t="s">
        <v>1643</v>
      </c>
      <c r="G332" s="78" t="s">
        <v>1711</v>
      </c>
      <c r="H332" s="78" t="s">
        <v>1643</v>
      </c>
      <c r="I332" s="78" t="s">
        <v>1800</v>
      </c>
      <c r="J332" s="78" t="s">
        <v>1643</v>
      </c>
      <c r="K332" s="78" t="s">
        <v>1643</v>
      </c>
      <c r="L332" s="78" t="s">
        <v>1643</v>
      </c>
      <c r="M332" s="78" t="s">
        <v>1643</v>
      </c>
      <c r="N332" s="78" t="s">
        <v>1643</v>
      </c>
    </row>
    <row r="333" spans="1:14" ht="15.75" thickBot="1" x14ac:dyDescent="0.3">
      <c r="A333" s="44" t="s">
        <v>1267</v>
      </c>
      <c r="B333" s="107" t="s">
        <v>1268</v>
      </c>
      <c r="C333" s="78" t="s">
        <v>822</v>
      </c>
      <c r="D333" s="108">
        <v>31</v>
      </c>
      <c r="E333" s="108">
        <v>44</v>
      </c>
      <c r="F333" s="78" t="s">
        <v>1643</v>
      </c>
      <c r="G333" s="78" t="s">
        <v>1700</v>
      </c>
      <c r="H333" s="78" t="s">
        <v>1643</v>
      </c>
      <c r="I333" s="78" t="s">
        <v>1700</v>
      </c>
      <c r="J333" s="78" t="s">
        <v>1643</v>
      </c>
      <c r="K333" s="78" t="s">
        <v>1643</v>
      </c>
      <c r="L333" s="78" t="s">
        <v>1644</v>
      </c>
      <c r="M333" s="78" t="s">
        <v>1644</v>
      </c>
      <c r="N333" s="78" t="s">
        <v>1643</v>
      </c>
    </row>
    <row r="334" spans="1:14" ht="15.75" thickBot="1" x14ac:dyDescent="0.3">
      <c r="A334" s="44" t="s">
        <v>1323</v>
      </c>
      <c r="B334" s="107" t="s">
        <v>1324</v>
      </c>
      <c r="C334" s="78" t="s">
        <v>822</v>
      </c>
      <c r="D334" s="108">
        <v>34</v>
      </c>
      <c r="E334" s="108">
        <v>28</v>
      </c>
      <c r="F334" s="78" t="s">
        <v>1643</v>
      </c>
      <c r="G334" s="78" t="s">
        <v>1688</v>
      </c>
      <c r="H334" s="78" t="s">
        <v>1643</v>
      </c>
      <c r="I334" s="78" t="s">
        <v>1688</v>
      </c>
      <c r="J334" s="78" t="s">
        <v>1643</v>
      </c>
      <c r="K334" s="78" t="s">
        <v>1643</v>
      </c>
      <c r="L334" s="78" t="s">
        <v>1643</v>
      </c>
      <c r="M334" s="78" t="s">
        <v>1643</v>
      </c>
      <c r="N334" s="78" t="s">
        <v>1643</v>
      </c>
    </row>
    <row r="335" spans="1:14" ht="15.75" thickBot="1" x14ac:dyDescent="0.3">
      <c r="A335" s="44" t="s">
        <v>1329</v>
      </c>
      <c r="B335" s="107" t="s">
        <v>1330</v>
      </c>
      <c r="C335" s="78" t="s">
        <v>822</v>
      </c>
      <c r="D335" s="108">
        <v>12</v>
      </c>
      <c r="E335" s="108">
        <v>20</v>
      </c>
      <c r="F335" s="78" t="s">
        <v>1643</v>
      </c>
      <c r="G335" s="78" t="s">
        <v>1813</v>
      </c>
      <c r="H335" s="78" t="s">
        <v>1643</v>
      </c>
      <c r="I335" s="78" t="s">
        <v>1800</v>
      </c>
      <c r="J335" s="78" t="s">
        <v>1643</v>
      </c>
      <c r="K335" s="78" t="s">
        <v>1643</v>
      </c>
      <c r="L335" s="78" t="s">
        <v>1643</v>
      </c>
      <c r="M335" s="78" t="s">
        <v>1643</v>
      </c>
      <c r="N335" s="78" t="s">
        <v>1643</v>
      </c>
    </row>
    <row r="336" spans="1:14" ht="15.75" thickBot="1" x14ac:dyDescent="0.3">
      <c r="A336" s="44" t="s">
        <v>1335</v>
      </c>
      <c r="B336" s="107" t="s">
        <v>1336</v>
      </c>
      <c r="C336" s="78" t="s">
        <v>822</v>
      </c>
      <c r="D336" s="108">
        <v>45</v>
      </c>
      <c r="E336" s="108">
        <v>65</v>
      </c>
      <c r="F336" s="78" t="s">
        <v>1643</v>
      </c>
      <c r="G336" s="78" t="s">
        <v>1814</v>
      </c>
      <c r="H336" s="78" t="s">
        <v>1643</v>
      </c>
      <c r="I336" s="78" t="s">
        <v>1814</v>
      </c>
      <c r="J336" s="78" t="s">
        <v>1643</v>
      </c>
      <c r="K336" s="78" t="s">
        <v>1643</v>
      </c>
      <c r="L336" s="78" t="s">
        <v>1643</v>
      </c>
      <c r="M336" s="78" t="s">
        <v>1644</v>
      </c>
      <c r="N336" s="78" t="s">
        <v>1643</v>
      </c>
    </row>
    <row r="337" spans="1:14" ht="15.75" thickBot="1" x14ac:dyDescent="0.3">
      <c r="A337" s="44" t="s">
        <v>1363</v>
      </c>
      <c r="B337" s="107" t="s">
        <v>1364</v>
      </c>
      <c r="C337" s="78" t="s">
        <v>822</v>
      </c>
      <c r="D337" s="108">
        <v>41</v>
      </c>
      <c r="E337" s="108">
        <v>57</v>
      </c>
      <c r="F337" s="78" t="s">
        <v>1643</v>
      </c>
      <c r="G337" s="78" t="s">
        <v>1683</v>
      </c>
      <c r="H337" s="78" t="s">
        <v>1643</v>
      </c>
      <c r="I337" s="78" t="s">
        <v>1683</v>
      </c>
      <c r="J337" s="78" t="s">
        <v>1643</v>
      </c>
      <c r="K337" s="78" t="s">
        <v>1643</v>
      </c>
      <c r="L337" s="78" t="s">
        <v>1643</v>
      </c>
      <c r="M337" s="78" t="s">
        <v>1643</v>
      </c>
      <c r="N337" s="78" t="s">
        <v>1643</v>
      </c>
    </row>
    <row r="338" spans="1:14" ht="15.75" thickBot="1" x14ac:dyDescent="0.3">
      <c r="A338" s="44" t="s">
        <v>1373</v>
      </c>
      <c r="B338" s="107" t="s">
        <v>1374</v>
      </c>
      <c r="C338" s="78" t="s">
        <v>822</v>
      </c>
      <c r="D338" s="108">
        <v>57</v>
      </c>
      <c r="E338" s="108">
        <v>97</v>
      </c>
      <c r="F338" s="78" t="s">
        <v>1643</v>
      </c>
      <c r="G338" s="78" t="s">
        <v>1818</v>
      </c>
      <c r="H338" s="78" t="s">
        <v>1643</v>
      </c>
      <c r="I338" s="78" t="s">
        <v>1818</v>
      </c>
      <c r="J338" s="78" t="s">
        <v>1643</v>
      </c>
      <c r="K338" s="78" t="s">
        <v>1643</v>
      </c>
      <c r="L338" s="78" t="s">
        <v>1643</v>
      </c>
      <c r="M338" s="78" t="s">
        <v>1644</v>
      </c>
      <c r="N338" s="78" t="s">
        <v>1643</v>
      </c>
    </row>
    <row r="339" spans="1:14" ht="15.75" thickBot="1" x14ac:dyDescent="0.3">
      <c r="A339" s="44" t="s">
        <v>1401</v>
      </c>
      <c r="B339" s="107" t="s">
        <v>1402</v>
      </c>
      <c r="C339" s="78" t="s">
        <v>822</v>
      </c>
      <c r="D339" s="108">
        <v>25</v>
      </c>
      <c r="E339" s="108">
        <v>57</v>
      </c>
      <c r="F339" s="78" t="s">
        <v>1643</v>
      </c>
      <c r="G339" s="78" t="s">
        <v>1828</v>
      </c>
      <c r="H339" s="78" t="s">
        <v>1643</v>
      </c>
      <c r="I339" s="78" t="s">
        <v>1828</v>
      </c>
      <c r="J339" s="78" t="s">
        <v>1643</v>
      </c>
      <c r="K339" s="78" t="s">
        <v>1643</v>
      </c>
      <c r="L339" s="78" t="s">
        <v>1643</v>
      </c>
      <c r="M339" s="78" t="s">
        <v>1643</v>
      </c>
      <c r="N339" s="78" t="s">
        <v>1643</v>
      </c>
    </row>
    <row r="340" spans="1:14" ht="15.75" thickBot="1" x14ac:dyDescent="0.3">
      <c r="A340" s="44" t="s">
        <v>1425</v>
      </c>
      <c r="B340" s="107" t="s">
        <v>1426</v>
      </c>
      <c r="C340" s="78" t="s">
        <v>822</v>
      </c>
      <c r="D340" s="108">
        <v>28</v>
      </c>
      <c r="E340" s="108">
        <v>34</v>
      </c>
      <c r="F340" s="78" t="s">
        <v>1643</v>
      </c>
      <c r="G340" s="78" t="s">
        <v>1730</v>
      </c>
      <c r="H340" s="78" t="s">
        <v>1643</v>
      </c>
      <c r="I340" s="78" t="s">
        <v>1730</v>
      </c>
      <c r="J340" s="78" t="s">
        <v>1643</v>
      </c>
      <c r="K340" s="78" t="s">
        <v>1643</v>
      </c>
      <c r="L340" s="78" t="s">
        <v>1643</v>
      </c>
      <c r="M340" s="78" t="s">
        <v>1643</v>
      </c>
      <c r="N340" s="78" t="s">
        <v>1643</v>
      </c>
    </row>
    <row r="341" spans="1:14" ht="15.75" thickBot="1" x14ac:dyDescent="0.3">
      <c r="A341" s="44" t="s">
        <v>1427</v>
      </c>
      <c r="B341" s="107" t="s">
        <v>1428</v>
      </c>
      <c r="C341" s="78" t="s">
        <v>822</v>
      </c>
      <c r="D341" s="108">
        <v>8</v>
      </c>
      <c r="E341" s="108">
        <v>17</v>
      </c>
      <c r="F341" s="78" t="s">
        <v>1643</v>
      </c>
      <c r="G341" s="78" t="s">
        <v>1767</v>
      </c>
      <c r="H341" s="78" t="s">
        <v>1643</v>
      </c>
      <c r="I341" s="78" t="s">
        <v>1767</v>
      </c>
      <c r="J341" s="78" t="s">
        <v>1643</v>
      </c>
      <c r="K341" s="78" t="s">
        <v>1643</v>
      </c>
      <c r="L341" s="78" t="s">
        <v>1644</v>
      </c>
      <c r="M341" s="78" t="s">
        <v>1643</v>
      </c>
      <c r="N341" s="78" t="s">
        <v>1643</v>
      </c>
    </row>
    <row r="342" spans="1:14" ht="15.75" thickBot="1" x14ac:dyDescent="0.3">
      <c r="A342" s="44" t="s">
        <v>1431</v>
      </c>
      <c r="B342" s="107" t="s">
        <v>1432</v>
      </c>
      <c r="C342" s="78" t="s">
        <v>822</v>
      </c>
      <c r="D342" s="108">
        <v>22</v>
      </c>
      <c r="E342" s="108">
        <v>31</v>
      </c>
      <c r="F342" s="78" t="s">
        <v>1643</v>
      </c>
      <c r="G342" s="78" t="s">
        <v>1690</v>
      </c>
      <c r="H342" s="78" t="s">
        <v>1643</v>
      </c>
      <c r="I342" s="78" t="s">
        <v>1726</v>
      </c>
      <c r="J342" s="78" t="s">
        <v>1643</v>
      </c>
      <c r="K342" s="78" t="s">
        <v>1643</v>
      </c>
      <c r="L342" s="78" t="s">
        <v>1644</v>
      </c>
      <c r="M342" s="78" t="s">
        <v>1643</v>
      </c>
      <c r="N342" s="78" t="s">
        <v>1643</v>
      </c>
    </row>
    <row r="343" spans="1:14" ht="15.75" thickBot="1" x14ac:dyDescent="0.3">
      <c r="A343" s="44" t="s">
        <v>1449</v>
      </c>
      <c r="B343" s="107" t="s">
        <v>1450</v>
      </c>
      <c r="C343" s="78" t="s">
        <v>822</v>
      </c>
      <c r="D343" s="108">
        <v>22</v>
      </c>
      <c r="E343" s="108">
        <v>43</v>
      </c>
      <c r="F343" s="78" t="s">
        <v>1643</v>
      </c>
      <c r="G343" s="78" t="s">
        <v>1796</v>
      </c>
      <c r="H343" s="78" t="s">
        <v>1643</v>
      </c>
      <c r="I343" s="78" t="s">
        <v>1796</v>
      </c>
      <c r="J343" s="78" t="s">
        <v>1643</v>
      </c>
      <c r="K343" s="78" t="s">
        <v>1643</v>
      </c>
      <c r="L343" s="78" t="s">
        <v>1643</v>
      </c>
      <c r="M343" s="78" t="s">
        <v>1644</v>
      </c>
      <c r="N343" s="78" t="s">
        <v>1643</v>
      </c>
    </row>
    <row r="344" spans="1:14" ht="15.75" thickBot="1" x14ac:dyDescent="0.3">
      <c r="A344" s="44" t="s">
        <v>1474</v>
      </c>
      <c r="B344" s="107" t="s">
        <v>1475</v>
      </c>
      <c r="C344" s="78" t="s">
        <v>822</v>
      </c>
      <c r="D344" s="108">
        <v>13</v>
      </c>
      <c r="E344" s="108">
        <v>22</v>
      </c>
      <c r="F344" s="78" t="s">
        <v>1643</v>
      </c>
      <c r="G344" s="78" t="s">
        <v>1840</v>
      </c>
      <c r="H344" s="78" t="s">
        <v>1643</v>
      </c>
      <c r="I344" s="78" t="s">
        <v>1700</v>
      </c>
      <c r="J344" s="78" t="s">
        <v>1643</v>
      </c>
      <c r="K344" s="78" t="s">
        <v>1643</v>
      </c>
      <c r="L344" s="78" t="s">
        <v>1644</v>
      </c>
      <c r="M344" s="78" t="s">
        <v>1643</v>
      </c>
      <c r="N344" s="78" t="s">
        <v>1643</v>
      </c>
    </row>
    <row r="345" spans="1:14" ht="15.75" thickBot="1" x14ac:dyDescent="0.3">
      <c r="A345" s="44" t="s">
        <v>1484</v>
      </c>
      <c r="B345" s="107" t="s">
        <v>1485</v>
      </c>
      <c r="C345" s="78" t="s">
        <v>822</v>
      </c>
      <c r="D345" s="108">
        <v>9</v>
      </c>
      <c r="E345" s="108">
        <v>16</v>
      </c>
      <c r="F345" s="78" t="s">
        <v>1643</v>
      </c>
      <c r="G345" s="78" t="s">
        <v>1711</v>
      </c>
      <c r="H345" s="78" t="s">
        <v>1643</v>
      </c>
      <c r="I345" s="78" t="s">
        <v>1701</v>
      </c>
      <c r="J345" s="78" t="s">
        <v>1643</v>
      </c>
      <c r="K345" s="78" t="s">
        <v>1643</v>
      </c>
      <c r="L345" s="78" t="s">
        <v>1644</v>
      </c>
      <c r="M345" s="78" t="s">
        <v>1643</v>
      </c>
      <c r="N345" s="78" t="s">
        <v>1643</v>
      </c>
    </row>
    <row r="346" spans="1:14" ht="15.75" thickBot="1" x14ac:dyDescent="0.3">
      <c r="A346" s="44" t="s">
        <v>1502</v>
      </c>
      <c r="B346" s="107" t="s">
        <v>1503</v>
      </c>
      <c r="C346" s="78" t="s">
        <v>822</v>
      </c>
      <c r="D346" s="108">
        <v>34</v>
      </c>
      <c r="E346" s="108">
        <v>105</v>
      </c>
      <c r="F346" s="78" t="s">
        <v>1643</v>
      </c>
      <c r="G346" s="78" t="s">
        <v>1730</v>
      </c>
      <c r="H346" s="78" t="s">
        <v>1643</v>
      </c>
      <c r="I346" s="78" t="s">
        <v>1730</v>
      </c>
      <c r="J346" s="78" t="s">
        <v>1643</v>
      </c>
      <c r="K346" s="78" t="s">
        <v>1643</v>
      </c>
      <c r="L346" s="78" t="s">
        <v>1644</v>
      </c>
      <c r="M346" s="78" t="s">
        <v>1643</v>
      </c>
      <c r="N346" s="78" t="s">
        <v>1643</v>
      </c>
    </row>
    <row r="347" spans="1:14" ht="15.75" thickBot="1" x14ac:dyDescent="0.3">
      <c r="A347" s="44" t="s">
        <v>1546</v>
      </c>
      <c r="B347" s="107" t="s">
        <v>1547</v>
      </c>
      <c r="C347" s="78" t="s">
        <v>822</v>
      </c>
      <c r="D347" s="108">
        <v>28</v>
      </c>
      <c r="E347" s="108">
        <v>93</v>
      </c>
      <c r="F347" s="78" t="s">
        <v>1643</v>
      </c>
      <c r="G347" s="78" t="s">
        <v>1702</v>
      </c>
      <c r="H347" s="78" t="s">
        <v>1643</v>
      </c>
      <c r="I347" s="78" t="s">
        <v>1702</v>
      </c>
      <c r="J347" s="78" t="s">
        <v>1643</v>
      </c>
      <c r="K347" s="78" t="s">
        <v>1643</v>
      </c>
      <c r="L347" s="78" t="s">
        <v>1644</v>
      </c>
      <c r="M347" s="78" t="s">
        <v>1643</v>
      </c>
      <c r="N347" s="78" t="s">
        <v>1643</v>
      </c>
    </row>
    <row r="348" spans="1:14" ht="15.75" thickBot="1" x14ac:dyDescent="0.3">
      <c r="A348" s="44" t="s">
        <v>1586</v>
      </c>
      <c r="B348" s="107" t="s">
        <v>1587</v>
      </c>
      <c r="C348" s="78" t="s">
        <v>822</v>
      </c>
      <c r="D348" s="108">
        <v>13</v>
      </c>
      <c r="E348" s="108">
        <v>21</v>
      </c>
      <c r="F348" s="78" t="s">
        <v>1643</v>
      </c>
      <c r="G348" s="78" t="s">
        <v>1767</v>
      </c>
      <c r="H348" s="78" t="s">
        <v>1643</v>
      </c>
      <c r="I348" s="78" t="s">
        <v>1767</v>
      </c>
      <c r="J348" s="78" t="s">
        <v>1643</v>
      </c>
      <c r="K348" s="78" t="s">
        <v>1643</v>
      </c>
      <c r="L348" s="78" t="s">
        <v>1643</v>
      </c>
      <c r="M348" s="78" t="s">
        <v>1643</v>
      </c>
      <c r="N348" s="78" t="s">
        <v>1643</v>
      </c>
    </row>
    <row r="349" spans="1:14" ht="15.75" thickBot="1" x14ac:dyDescent="0.3">
      <c r="A349" s="44" t="s">
        <v>835</v>
      </c>
      <c r="B349" s="107" t="s">
        <v>836</v>
      </c>
      <c r="C349" s="78" t="s">
        <v>837</v>
      </c>
      <c r="D349" s="108">
        <v>155</v>
      </c>
      <c r="E349" s="108">
        <v>251</v>
      </c>
      <c r="F349" s="78" t="s">
        <v>1643</v>
      </c>
      <c r="G349" s="78" t="s">
        <v>1693</v>
      </c>
      <c r="H349" s="78" t="s">
        <v>1643</v>
      </c>
      <c r="I349" s="78" t="s">
        <v>1694</v>
      </c>
      <c r="J349" s="78" t="s">
        <v>1643</v>
      </c>
      <c r="K349" s="78" t="s">
        <v>1643</v>
      </c>
      <c r="L349" s="78" t="s">
        <v>1643</v>
      </c>
      <c r="M349" s="78" t="s">
        <v>1644</v>
      </c>
      <c r="N349" s="78" t="s">
        <v>1643</v>
      </c>
    </row>
    <row r="350" spans="1:14" ht="15.75" thickBot="1" x14ac:dyDescent="0.3">
      <c r="A350" s="44" t="s">
        <v>861</v>
      </c>
      <c r="B350" s="107" t="s">
        <v>862</v>
      </c>
      <c r="C350" s="78" t="s">
        <v>837</v>
      </c>
      <c r="D350" s="108">
        <v>84</v>
      </c>
      <c r="E350" s="108">
        <v>127</v>
      </c>
      <c r="F350" s="78" t="s">
        <v>1643</v>
      </c>
      <c r="G350" s="78" t="s">
        <v>1705</v>
      </c>
      <c r="H350" s="78" t="s">
        <v>1643</v>
      </c>
      <c r="I350" s="78" t="s">
        <v>1705</v>
      </c>
      <c r="J350" s="78" t="s">
        <v>1643</v>
      </c>
      <c r="K350" s="78" t="s">
        <v>1643</v>
      </c>
      <c r="L350" s="78" t="s">
        <v>1644</v>
      </c>
      <c r="M350" s="78" t="s">
        <v>1643</v>
      </c>
      <c r="N350" s="78" t="s">
        <v>1643</v>
      </c>
    </row>
    <row r="351" spans="1:14" ht="15.75" thickBot="1" x14ac:dyDescent="0.3">
      <c r="A351" s="44" t="s">
        <v>923</v>
      </c>
      <c r="B351" s="107" t="s">
        <v>924</v>
      </c>
      <c r="C351" s="78" t="s">
        <v>837</v>
      </c>
      <c r="D351" s="108">
        <v>82</v>
      </c>
      <c r="E351" s="108">
        <v>102</v>
      </c>
      <c r="F351" s="78" t="s">
        <v>1643</v>
      </c>
      <c r="G351" s="78" t="s">
        <v>1687</v>
      </c>
      <c r="H351" s="78" t="s">
        <v>1643</v>
      </c>
      <c r="I351" s="78" t="s">
        <v>1687</v>
      </c>
      <c r="J351" s="78" t="s">
        <v>1643</v>
      </c>
      <c r="K351" s="78" t="s">
        <v>1643</v>
      </c>
      <c r="L351" s="78" t="s">
        <v>1643</v>
      </c>
      <c r="M351" s="78" t="s">
        <v>1644</v>
      </c>
      <c r="N351" s="78" t="s">
        <v>1643</v>
      </c>
    </row>
    <row r="352" spans="1:14" ht="15.75" thickBot="1" x14ac:dyDescent="0.3">
      <c r="A352" s="44" t="s">
        <v>925</v>
      </c>
      <c r="B352" s="107" t="s">
        <v>926</v>
      </c>
      <c r="C352" s="78" t="s">
        <v>837</v>
      </c>
      <c r="D352" s="108">
        <v>168</v>
      </c>
      <c r="E352" s="108">
        <v>343</v>
      </c>
      <c r="F352" s="78" t="s">
        <v>1643</v>
      </c>
      <c r="G352" s="78" t="s">
        <v>1723</v>
      </c>
      <c r="H352" s="78" t="s">
        <v>1643</v>
      </c>
      <c r="I352" s="78" t="s">
        <v>1724</v>
      </c>
      <c r="J352" s="78" t="s">
        <v>1643</v>
      </c>
      <c r="K352" s="78" t="s">
        <v>1643</v>
      </c>
      <c r="L352" s="78" t="s">
        <v>1643</v>
      </c>
      <c r="M352" s="78" t="s">
        <v>1644</v>
      </c>
      <c r="N352" s="78" t="s">
        <v>1643</v>
      </c>
    </row>
    <row r="353" spans="1:14" ht="15.75" thickBot="1" x14ac:dyDescent="0.3">
      <c r="A353" s="44" t="s">
        <v>955</v>
      </c>
      <c r="B353" s="107" t="s">
        <v>956</v>
      </c>
      <c r="C353" s="78" t="s">
        <v>837</v>
      </c>
      <c r="D353" s="108">
        <v>37</v>
      </c>
      <c r="E353" s="108">
        <v>134</v>
      </c>
      <c r="F353" s="78" t="s">
        <v>1643</v>
      </c>
      <c r="G353" s="78" t="s">
        <v>1701</v>
      </c>
      <c r="H353" s="78" t="s">
        <v>1643</v>
      </c>
      <c r="I353" s="78" t="s">
        <v>1701</v>
      </c>
      <c r="J353" s="78" t="s">
        <v>1643</v>
      </c>
      <c r="K353" s="78" t="s">
        <v>1643</v>
      </c>
      <c r="L353" s="78" t="s">
        <v>1643</v>
      </c>
      <c r="M353" s="78" t="s">
        <v>1643</v>
      </c>
      <c r="N353" s="78" t="s">
        <v>1643</v>
      </c>
    </row>
    <row r="354" spans="1:14" ht="15.75" thickBot="1" x14ac:dyDescent="0.3">
      <c r="A354" s="44" t="s">
        <v>961</v>
      </c>
      <c r="B354" s="107" t="s">
        <v>962</v>
      </c>
      <c r="C354" s="78" t="s">
        <v>837</v>
      </c>
      <c r="D354" s="108">
        <v>87</v>
      </c>
      <c r="E354" s="108">
        <v>100</v>
      </c>
      <c r="F354" s="78" t="s">
        <v>1643</v>
      </c>
      <c r="G354" s="78" t="s">
        <v>1735</v>
      </c>
      <c r="H354" s="78" t="s">
        <v>1643</v>
      </c>
      <c r="I354" s="78" t="s">
        <v>1735</v>
      </c>
      <c r="J354" s="78" t="s">
        <v>1643</v>
      </c>
      <c r="K354" s="78" t="s">
        <v>1643</v>
      </c>
      <c r="L354" s="78" t="s">
        <v>1643</v>
      </c>
      <c r="M354" s="78" t="s">
        <v>1644</v>
      </c>
      <c r="N354" s="78" t="s">
        <v>1643</v>
      </c>
    </row>
    <row r="355" spans="1:14" ht="15.75" thickBot="1" x14ac:dyDescent="0.3">
      <c r="A355" s="44" t="s">
        <v>995</v>
      </c>
      <c r="B355" s="107" t="s">
        <v>996</v>
      </c>
      <c r="C355" s="78" t="s">
        <v>837</v>
      </c>
      <c r="D355" s="108">
        <v>36</v>
      </c>
      <c r="E355" s="108">
        <v>66</v>
      </c>
      <c r="F355" s="78" t="s">
        <v>1643</v>
      </c>
      <c r="G355" s="78" t="s">
        <v>1711</v>
      </c>
      <c r="H355" s="78" t="s">
        <v>1643</v>
      </c>
      <c r="I355" s="78" t="s">
        <v>1711</v>
      </c>
      <c r="J355" s="78" t="s">
        <v>1643</v>
      </c>
      <c r="K355" s="78" t="s">
        <v>1643</v>
      </c>
      <c r="L355" s="78" t="s">
        <v>1644</v>
      </c>
      <c r="M355" s="78" t="s">
        <v>1643</v>
      </c>
      <c r="N355" s="78" t="s">
        <v>1643</v>
      </c>
    </row>
    <row r="356" spans="1:14" ht="15.75" thickBot="1" x14ac:dyDescent="0.3">
      <c r="A356" s="44" t="s">
        <v>997</v>
      </c>
      <c r="B356" s="107" t="s">
        <v>998</v>
      </c>
      <c r="C356" s="78" t="s">
        <v>837</v>
      </c>
      <c r="D356" s="108">
        <v>84</v>
      </c>
      <c r="E356" s="108">
        <v>143</v>
      </c>
      <c r="F356" s="78" t="s">
        <v>1643</v>
      </c>
      <c r="G356" s="78" t="s">
        <v>1690</v>
      </c>
      <c r="H356" s="78" t="s">
        <v>1643</v>
      </c>
      <c r="I356" s="78" t="s">
        <v>1690</v>
      </c>
      <c r="J356" s="78" t="s">
        <v>1643</v>
      </c>
      <c r="K356" s="78" t="s">
        <v>1643</v>
      </c>
      <c r="L356" s="78" t="s">
        <v>1643</v>
      </c>
      <c r="M356" s="78" t="s">
        <v>1644</v>
      </c>
      <c r="N356" s="78" t="s">
        <v>1643</v>
      </c>
    </row>
    <row r="357" spans="1:14" ht="15.75" thickBot="1" x14ac:dyDescent="0.3">
      <c r="A357" s="44" t="s">
        <v>1005</v>
      </c>
      <c r="B357" s="107" t="s">
        <v>1006</v>
      </c>
      <c r="C357" s="78" t="s">
        <v>837</v>
      </c>
      <c r="D357" s="108">
        <v>349</v>
      </c>
      <c r="E357" s="108">
        <v>1212</v>
      </c>
      <c r="F357" s="78" t="s">
        <v>1643</v>
      </c>
      <c r="G357" s="78" t="s">
        <v>1722</v>
      </c>
      <c r="H357" s="78" t="s">
        <v>1643</v>
      </c>
      <c r="I357" s="78" t="s">
        <v>1722</v>
      </c>
      <c r="J357" s="78" t="s">
        <v>1643</v>
      </c>
      <c r="K357" s="78" t="s">
        <v>1643</v>
      </c>
      <c r="L357" s="78" t="s">
        <v>1643</v>
      </c>
      <c r="M357" s="78" t="s">
        <v>1644</v>
      </c>
      <c r="N357" s="78" t="s">
        <v>1643</v>
      </c>
    </row>
    <row r="358" spans="1:14" ht="15.75" thickBot="1" x14ac:dyDescent="0.3">
      <c r="A358" s="44" t="s">
        <v>1051</v>
      </c>
      <c r="B358" s="107" t="s">
        <v>1052</v>
      </c>
      <c r="C358" s="78" t="s">
        <v>837</v>
      </c>
      <c r="D358" s="108">
        <v>99</v>
      </c>
      <c r="E358" s="108">
        <v>138</v>
      </c>
      <c r="F358" s="78" t="s">
        <v>1643</v>
      </c>
      <c r="G358" s="78" t="s">
        <v>1759</v>
      </c>
      <c r="H358" s="78" t="s">
        <v>1643</v>
      </c>
      <c r="I358" s="78" t="s">
        <v>1759</v>
      </c>
      <c r="J358" s="78" t="s">
        <v>1643</v>
      </c>
      <c r="K358" s="78" t="s">
        <v>1643</v>
      </c>
      <c r="L358" s="78" t="s">
        <v>1643</v>
      </c>
      <c r="M358" s="78" t="s">
        <v>1644</v>
      </c>
      <c r="N358" s="78" t="s">
        <v>1643</v>
      </c>
    </row>
    <row r="359" spans="1:14" ht="15.75" thickBot="1" x14ac:dyDescent="0.3">
      <c r="A359" s="44" t="s">
        <v>1063</v>
      </c>
      <c r="B359" s="107" t="s">
        <v>1064</v>
      </c>
      <c r="C359" s="78" t="s">
        <v>837</v>
      </c>
      <c r="D359" s="108">
        <v>71</v>
      </c>
      <c r="E359" s="108">
        <v>108</v>
      </c>
      <c r="F359" s="78" t="s">
        <v>1643</v>
      </c>
      <c r="G359" s="78" t="s">
        <v>1687</v>
      </c>
      <c r="H359" s="78" t="s">
        <v>1643</v>
      </c>
      <c r="I359" s="78" t="s">
        <v>1687</v>
      </c>
      <c r="J359" s="78" t="s">
        <v>1644</v>
      </c>
      <c r="K359" s="78" t="s">
        <v>1643</v>
      </c>
      <c r="L359" s="78" t="s">
        <v>1644</v>
      </c>
      <c r="M359" s="78" t="s">
        <v>1644</v>
      </c>
      <c r="N359" s="78" t="s">
        <v>1643</v>
      </c>
    </row>
    <row r="360" spans="1:14" ht="15.75" thickBot="1" x14ac:dyDescent="0.3">
      <c r="A360" s="44" t="s">
        <v>1089</v>
      </c>
      <c r="B360" s="107" t="s">
        <v>1090</v>
      </c>
      <c r="C360" s="78" t="s">
        <v>837</v>
      </c>
      <c r="D360" s="108">
        <v>84</v>
      </c>
      <c r="E360" s="108">
        <v>305</v>
      </c>
      <c r="F360" s="78" t="s">
        <v>1643</v>
      </c>
      <c r="G360" s="78" t="s">
        <v>1716</v>
      </c>
      <c r="H360" s="78" t="s">
        <v>1643</v>
      </c>
      <c r="I360" s="78" t="s">
        <v>1716</v>
      </c>
      <c r="J360" s="78" t="s">
        <v>1643</v>
      </c>
      <c r="K360" s="78" t="s">
        <v>1643</v>
      </c>
      <c r="L360" s="78" t="s">
        <v>1643</v>
      </c>
      <c r="M360" s="78" t="s">
        <v>1644</v>
      </c>
      <c r="N360" s="78" t="s">
        <v>1643</v>
      </c>
    </row>
    <row r="361" spans="1:14" ht="15.75" thickBot="1" x14ac:dyDescent="0.3">
      <c r="A361" s="44" t="s">
        <v>1103</v>
      </c>
      <c r="B361" s="107" t="s">
        <v>1104</v>
      </c>
      <c r="C361" s="78" t="s">
        <v>837</v>
      </c>
      <c r="D361" s="108">
        <v>39</v>
      </c>
      <c r="E361" s="108">
        <v>25</v>
      </c>
      <c r="F361" s="78" t="s">
        <v>1643</v>
      </c>
      <c r="G361" s="78" t="s">
        <v>1730</v>
      </c>
      <c r="H361" s="78" t="s">
        <v>1643</v>
      </c>
      <c r="I361" s="78" t="s">
        <v>1730</v>
      </c>
      <c r="J361" s="78" t="s">
        <v>1643</v>
      </c>
      <c r="K361" s="78" t="s">
        <v>1643</v>
      </c>
      <c r="L361" s="78" t="s">
        <v>1643</v>
      </c>
      <c r="M361" s="78" t="s">
        <v>1643</v>
      </c>
      <c r="N361" s="78" t="s">
        <v>1643</v>
      </c>
    </row>
    <row r="362" spans="1:14" ht="15.75" thickBot="1" x14ac:dyDescent="0.3">
      <c r="A362" s="44" t="s">
        <v>1107</v>
      </c>
      <c r="B362" s="107" t="s">
        <v>1108</v>
      </c>
      <c r="C362" s="78" t="s">
        <v>837</v>
      </c>
      <c r="D362" s="108">
        <v>140</v>
      </c>
      <c r="E362" s="108">
        <v>190</v>
      </c>
      <c r="F362" s="78" t="s">
        <v>1643</v>
      </c>
      <c r="G362" s="78" t="s">
        <v>1693</v>
      </c>
      <c r="H362" s="78" t="s">
        <v>1643</v>
      </c>
      <c r="I362" s="78" t="s">
        <v>1693</v>
      </c>
      <c r="J362" s="78" t="s">
        <v>1643</v>
      </c>
      <c r="K362" s="78" t="s">
        <v>1643</v>
      </c>
      <c r="L362" s="78" t="s">
        <v>1643</v>
      </c>
      <c r="M362" s="78" t="s">
        <v>1644</v>
      </c>
      <c r="N362" s="78" t="s">
        <v>1643</v>
      </c>
    </row>
    <row r="363" spans="1:14" ht="15.75" thickBot="1" x14ac:dyDescent="0.3">
      <c r="A363" s="44" t="s">
        <v>1111</v>
      </c>
      <c r="B363" s="107" t="s">
        <v>1112</v>
      </c>
      <c r="C363" s="78" t="s">
        <v>837</v>
      </c>
      <c r="D363" s="108">
        <v>65</v>
      </c>
      <c r="E363" s="108">
        <v>76</v>
      </c>
      <c r="F363" s="78" t="s">
        <v>1643</v>
      </c>
      <c r="G363" s="78" t="s">
        <v>1765</v>
      </c>
      <c r="H363" s="78" t="s">
        <v>1643</v>
      </c>
      <c r="I363" s="78" t="s">
        <v>1765</v>
      </c>
      <c r="J363" s="78" t="s">
        <v>1643</v>
      </c>
      <c r="K363" s="78" t="s">
        <v>1643</v>
      </c>
      <c r="L363" s="78" t="s">
        <v>1643</v>
      </c>
      <c r="M363" s="78" t="s">
        <v>1643</v>
      </c>
      <c r="N363" s="78" t="s">
        <v>1643</v>
      </c>
    </row>
    <row r="364" spans="1:14" ht="15.75" thickBot="1" x14ac:dyDescent="0.3">
      <c r="A364" s="44" t="s">
        <v>1137</v>
      </c>
      <c r="B364" s="107" t="s">
        <v>1138</v>
      </c>
      <c r="C364" s="78" t="s">
        <v>837</v>
      </c>
      <c r="D364" s="108">
        <v>60</v>
      </c>
      <c r="E364" s="108">
        <v>114</v>
      </c>
      <c r="F364" s="78" t="s">
        <v>1643</v>
      </c>
      <c r="G364" s="78" t="s">
        <v>1760</v>
      </c>
      <c r="H364" s="78" t="s">
        <v>1643</v>
      </c>
      <c r="I364" s="78" t="s">
        <v>1735</v>
      </c>
      <c r="J364" s="78" t="s">
        <v>1643</v>
      </c>
      <c r="K364" s="78" t="s">
        <v>1643</v>
      </c>
      <c r="L364" s="78" t="s">
        <v>1643</v>
      </c>
      <c r="M364" s="78" t="s">
        <v>1643</v>
      </c>
      <c r="N364" s="78" t="s">
        <v>1643</v>
      </c>
    </row>
    <row r="365" spans="1:14" ht="15.75" thickBot="1" x14ac:dyDescent="0.3">
      <c r="A365" s="44" t="s">
        <v>1159</v>
      </c>
      <c r="B365" s="107" t="s">
        <v>1160</v>
      </c>
      <c r="C365" s="78" t="s">
        <v>837</v>
      </c>
      <c r="D365" s="108">
        <v>42</v>
      </c>
      <c r="E365" s="108">
        <v>56</v>
      </c>
      <c r="F365" s="78" t="s">
        <v>1643</v>
      </c>
      <c r="G365" s="78" t="s">
        <v>1765</v>
      </c>
      <c r="H365" s="78" t="s">
        <v>1643</v>
      </c>
      <c r="I365" s="78" t="s">
        <v>1765</v>
      </c>
      <c r="J365" s="78" t="s">
        <v>1643</v>
      </c>
      <c r="K365" s="78" t="s">
        <v>1643</v>
      </c>
      <c r="L365" s="78" t="s">
        <v>1643</v>
      </c>
      <c r="M365" s="78" t="s">
        <v>1644</v>
      </c>
      <c r="N365" s="78" t="s">
        <v>1643</v>
      </c>
    </row>
    <row r="366" spans="1:14" ht="15.75" thickBot="1" x14ac:dyDescent="0.3">
      <c r="A366" s="44" t="s">
        <v>1179</v>
      </c>
      <c r="B366" s="107" t="s">
        <v>1180</v>
      </c>
      <c r="C366" s="78" t="s">
        <v>837</v>
      </c>
      <c r="D366" s="108">
        <v>124</v>
      </c>
      <c r="E366" s="108">
        <v>189</v>
      </c>
      <c r="F366" s="78" t="s">
        <v>1643</v>
      </c>
      <c r="G366" s="78" t="s">
        <v>1690</v>
      </c>
      <c r="H366" s="78" t="s">
        <v>1643</v>
      </c>
      <c r="I366" s="78" t="s">
        <v>1690</v>
      </c>
      <c r="J366" s="78" t="s">
        <v>1643</v>
      </c>
      <c r="K366" s="78" t="s">
        <v>1643</v>
      </c>
      <c r="L366" s="78" t="s">
        <v>1643</v>
      </c>
      <c r="M366" s="78" t="s">
        <v>1643</v>
      </c>
      <c r="N366" s="78" t="s">
        <v>1643</v>
      </c>
    </row>
    <row r="367" spans="1:14" ht="15.75" thickBot="1" x14ac:dyDescent="0.3">
      <c r="A367" s="44" t="s">
        <v>1187</v>
      </c>
      <c r="B367" s="107" t="s">
        <v>1188</v>
      </c>
      <c r="C367" s="78" t="s">
        <v>837</v>
      </c>
      <c r="D367" s="108">
        <v>126</v>
      </c>
      <c r="E367" s="108">
        <v>119</v>
      </c>
      <c r="F367" s="78" t="s">
        <v>1643</v>
      </c>
      <c r="G367" s="78" t="s">
        <v>1730</v>
      </c>
      <c r="H367" s="78" t="s">
        <v>1643</v>
      </c>
      <c r="I367" s="78" t="s">
        <v>1730</v>
      </c>
      <c r="J367" s="78" t="s">
        <v>1643</v>
      </c>
      <c r="K367" s="78" t="s">
        <v>1643</v>
      </c>
      <c r="L367" s="78" t="s">
        <v>1643</v>
      </c>
      <c r="M367" s="78" t="s">
        <v>1644</v>
      </c>
      <c r="N367" s="78" t="s">
        <v>1643</v>
      </c>
    </row>
    <row r="368" spans="1:14" ht="15.75" thickBot="1" x14ac:dyDescent="0.3">
      <c r="A368" s="44" t="s">
        <v>1191</v>
      </c>
      <c r="B368" s="107" t="s">
        <v>1192</v>
      </c>
      <c r="C368" s="78" t="s">
        <v>837</v>
      </c>
      <c r="D368" s="108">
        <v>260</v>
      </c>
      <c r="E368" s="108">
        <v>275</v>
      </c>
      <c r="F368" s="78" t="s">
        <v>1643</v>
      </c>
      <c r="G368" s="78" t="s">
        <v>1690</v>
      </c>
      <c r="H368" s="78" t="s">
        <v>1643</v>
      </c>
      <c r="I368" s="78" t="s">
        <v>1690</v>
      </c>
      <c r="J368" s="78" t="s">
        <v>1643</v>
      </c>
      <c r="K368" s="78" t="s">
        <v>1643</v>
      </c>
      <c r="L368" s="78" t="s">
        <v>1643</v>
      </c>
      <c r="M368" s="78" t="s">
        <v>1644</v>
      </c>
      <c r="N368" s="78" t="s">
        <v>1643</v>
      </c>
    </row>
    <row r="369" spans="1:14" ht="15.75" thickBot="1" x14ac:dyDescent="0.3">
      <c r="A369" s="44" t="s">
        <v>1201</v>
      </c>
      <c r="B369" s="107" t="s">
        <v>1202</v>
      </c>
      <c r="C369" s="78" t="s">
        <v>837</v>
      </c>
      <c r="D369" s="108">
        <v>24</v>
      </c>
      <c r="E369" s="108">
        <v>38</v>
      </c>
      <c r="F369" s="78" t="s">
        <v>1643</v>
      </c>
      <c r="G369" s="78" t="s">
        <v>1690</v>
      </c>
      <c r="H369" s="78" t="s">
        <v>1643</v>
      </c>
      <c r="I369" s="78" t="s">
        <v>1690</v>
      </c>
      <c r="J369" s="78" t="s">
        <v>1643</v>
      </c>
      <c r="K369" s="78" t="s">
        <v>1643</v>
      </c>
      <c r="L369" s="78" t="s">
        <v>1643</v>
      </c>
      <c r="M369" s="78" t="s">
        <v>1643</v>
      </c>
      <c r="N369" s="78" t="s">
        <v>1643</v>
      </c>
    </row>
    <row r="370" spans="1:14" ht="15.75" thickBot="1" x14ac:dyDescent="0.3">
      <c r="A370" s="44" t="s">
        <v>1227</v>
      </c>
      <c r="B370" s="107" t="s">
        <v>1228</v>
      </c>
      <c r="C370" s="78" t="s">
        <v>837</v>
      </c>
      <c r="D370" s="108">
        <v>60</v>
      </c>
      <c r="E370" s="108">
        <v>57</v>
      </c>
      <c r="F370" s="78" t="s">
        <v>1643</v>
      </c>
      <c r="G370" s="78" t="s">
        <v>1715</v>
      </c>
      <c r="H370" s="78" t="s">
        <v>1643</v>
      </c>
      <c r="I370" s="78" t="s">
        <v>1715</v>
      </c>
      <c r="J370" s="78" t="s">
        <v>1643</v>
      </c>
      <c r="K370" s="78" t="s">
        <v>1643</v>
      </c>
      <c r="L370" s="78" t="s">
        <v>1643</v>
      </c>
      <c r="M370" s="78" t="s">
        <v>1643</v>
      </c>
      <c r="N370" s="78" t="s">
        <v>1643</v>
      </c>
    </row>
    <row r="371" spans="1:14" ht="15.75" thickBot="1" x14ac:dyDescent="0.3">
      <c r="A371" s="44" t="s">
        <v>1293</v>
      </c>
      <c r="B371" s="107" t="s">
        <v>1294</v>
      </c>
      <c r="C371" s="78" t="s">
        <v>837</v>
      </c>
      <c r="D371" s="108">
        <v>131</v>
      </c>
      <c r="E371" s="108">
        <v>222</v>
      </c>
      <c r="F371" s="78" t="s">
        <v>1643</v>
      </c>
      <c r="G371" s="78" t="s">
        <v>1781</v>
      </c>
      <c r="H371" s="78" t="s">
        <v>1643</v>
      </c>
      <c r="I371" s="78" t="s">
        <v>1781</v>
      </c>
      <c r="J371" s="78" t="s">
        <v>1643</v>
      </c>
      <c r="K371" s="78" t="s">
        <v>1643</v>
      </c>
      <c r="L371" s="78" t="s">
        <v>1643</v>
      </c>
      <c r="M371" s="78" t="s">
        <v>1644</v>
      </c>
      <c r="N371" s="78" t="s">
        <v>1643</v>
      </c>
    </row>
    <row r="372" spans="1:14" ht="15.75" thickBot="1" x14ac:dyDescent="0.3">
      <c r="A372" s="44" t="s">
        <v>1307</v>
      </c>
      <c r="B372" s="107" t="s">
        <v>1308</v>
      </c>
      <c r="C372" s="78" t="s">
        <v>837</v>
      </c>
      <c r="D372" s="108">
        <v>50</v>
      </c>
      <c r="E372" s="108">
        <v>103</v>
      </c>
      <c r="F372" s="78" t="s">
        <v>1643</v>
      </c>
      <c r="G372" s="78" t="s">
        <v>1759</v>
      </c>
      <c r="H372" s="78" t="s">
        <v>1643</v>
      </c>
      <c r="I372" s="78" t="s">
        <v>1759</v>
      </c>
      <c r="J372" s="78" t="s">
        <v>1643</v>
      </c>
      <c r="K372" s="78" t="s">
        <v>1643</v>
      </c>
      <c r="L372" s="78" t="s">
        <v>1643</v>
      </c>
      <c r="M372" s="78" t="s">
        <v>1643</v>
      </c>
      <c r="N372" s="78" t="s">
        <v>1643</v>
      </c>
    </row>
    <row r="373" spans="1:14" ht="15.75" thickBot="1" x14ac:dyDescent="0.3">
      <c r="A373" s="44" t="s">
        <v>1327</v>
      </c>
      <c r="B373" s="107" t="s">
        <v>1328</v>
      </c>
      <c r="C373" s="78" t="s">
        <v>837</v>
      </c>
      <c r="D373" s="108">
        <v>72</v>
      </c>
      <c r="E373" s="108">
        <v>98</v>
      </c>
      <c r="F373" s="78" t="s">
        <v>1643</v>
      </c>
      <c r="G373" s="78" t="s">
        <v>1767</v>
      </c>
      <c r="H373" s="78" t="s">
        <v>1643</v>
      </c>
      <c r="I373" s="78" t="s">
        <v>1812</v>
      </c>
      <c r="J373" s="78" t="s">
        <v>1643</v>
      </c>
      <c r="K373" s="78" t="s">
        <v>1643</v>
      </c>
      <c r="L373" s="78" t="s">
        <v>1643</v>
      </c>
      <c r="M373" s="78" t="s">
        <v>1643</v>
      </c>
      <c r="N373" s="78" t="s">
        <v>1643</v>
      </c>
    </row>
    <row r="374" spans="1:14" ht="15.75" thickBot="1" x14ac:dyDescent="0.3">
      <c r="A374" s="44" t="s">
        <v>1375</v>
      </c>
      <c r="B374" s="107" t="s">
        <v>1376</v>
      </c>
      <c r="C374" s="78" t="s">
        <v>837</v>
      </c>
      <c r="D374" s="108">
        <v>20</v>
      </c>
      <c r="E374" s="108">
        <v>60</v>
      </c>
      <c r="F374" s="78" t="s">
        <v>1643</v>
      </c>
      <c r="G374" s="78" t="s">
        <v>1701</v>
      </c>
      <c r="H374" s="78" t="s">
        <v>1643</v>
      </c>
      <c r="I374" s="78" t="s">
        <v>1774</v>
      </c>
      <c r="J374" s="78" t="s">
        <v>1643</v>
      </c>
      <c r="K374" s="78" t="s">
        <v>1643</v>
      </c>
      <c r="L374" s="78" t="s">
        <v>1644</v>
      </c>
      <c r="M374" s="78" t="s">
        <v>1643</v>
      </c>
      <c r="N374" s="78" t="s">
        <v>1643</v>
      </c>
    </row>
    <row r="375" spans="1:14" ht="15.75" thickBot="1" x14ac:dyDescent="0.3">
      <c r="A375" s="44" t="s">
        <v>1379</v>
      </c>
      <c r="B375" s="107" t="s">
        <v>1380</v>
      </c>
      <c r="C375" s="78" t="s">
        <v>837</v>
      </c>
      <c r="D375" s="108">
        <v>50</v>
      </c>
      <c r="E375" s="108">
        <v>76</v>
      </c>
      <c r="F375" s="78" t="s">
        <v>1643</v>
      </c>
      <c r="G375" s="78" t="s">
        <v>1690</v>
      </c>
      <c r="H375" s="78" t="s">
        <v>1643</v>
      </c>
      <c r="I375" s="78" t="s">
        <v>1690</v>
      </c>
      <c r="J375" s="78" t="s">
        <v>1643</v>
      </c>
      <c r="K375" s="78" t="s">
        <v>1643</v>
      </c>
      <c r="L375" s="78" t="s">
        <v>1643</v>
      </c>
      <c r="M375" s="78" t="s">
        <v>1644</v>
      </c>
      <c r="N375" s="78" t="s">
        <v>1643</v>
      </c>
    </row>
    <row r="376" spans="1:14" ht="15.75" thickBot="1" x14ac:dyDescent="0.3">
      <c r="A376" s="44" t="s">
        <v>1389</v>
      </c>
      <c r="B376" s="107" t="s">
        <v>1390</v>
      </c>
      <c r="C376" s="78" t="s">
        <v>837</v>
      </c>
      <c r="D376" s="108">
        <v>64</v>
      </c>
      <c r="E376" s="108">
        <v>103</v>
      </c>
      <c r="F376" s="78" t="s">
        <v>1643</v>
      </c>
      <c r="G376" s="78" t="s">
        <v>1784</v>
      </c>
      <c r="H376" s="78" t="s">
        <v>1643</v>
      </c>
      <c r="I376" s="78" t="s">
        <v>1784</v>
      </c>
      <c r="J376" s="78" t="s">
        <v>1643</v>
      </c>
      <c r="K376" s="78" t="s">
        <v>1643</v>
      </c>
      <c r="L376" s="78" t="s">
        <v>1643</v>
      </c>
      <c r="M376" s="78" t="s">
        <v>1643</v>
      </c>
      <c r="N376" s="78" t="s">
        <v>1643</v>
      </c>
    </row>
    <row r="377" spans="1:14" ht="15.75" thickBot="1" x14ac:dyDescent="0.3">
      <c r="A377" s="44" t="s">
        <v>1423</v>
      </c>
      <c r="B377" s="107" t="s">
        <v>1424</v>
      </c>
      <c r="C377" s="78" t="s">
        <v>837</v>
      </c>
      <c r="D377" s="108">
        <v>82</v>
      </c>
      <c r="E377" s="108">
        <v>91</v>
      </c>
      <c r="F377" s="78" t="s">
        <v>1643</v>
      </c>
      <c r="G377" s="78" t="s">
        <v>1687</v>
      </c>
      <c r="H377" s="78" t="s">
        <v>1643</v>
      </c>
      <c r="I377" s="78" t="s">
        <v>1687</v>
      </c>
      <c r="J377" s="78" t="s">
        <v>1643</v>
      </c>
      <c r="K377" s="78" t="s">
        <v>1643</v>
      </c>
      <c r="L377" s="78" t="s">
        <v>1643</v>
      </c>
      <c r="M377" s="78" t="s">
        <v>1644</v>
      </c>
      <c r="N377" s="78" t="s">
        <v>1643</v>
      </c>
    </row>
    <row r="378" spans="1:14" ht="15.75" thickBot="1" x14ac:dyDescent="0.3">
      <c r="A378" s="44" t="s">
        <v>1433</v>
      </c>
      <c r="B378" s="107" t="s">
        <v>1434</v>
      </c>
      <c r="C378" s="78" t="s">
        <v>837</v>
      </c>
      <c r="D378" s="108">
        <v>29</v>
      </c>
      <c r="E378" s="108">
        <v>34</v>
      </c>
      <c r="F378" s="78" t="s">
        <v>1643</v>
      </c>
      <c r="G378" s="78" t="s">
        <v>1711</v>
      </c>
      <c r="H378" s="78" t="s">
        <v>1643</v>
      </c>
      <c r="I378" s="78" t="s">
        <v>1711</v>
      </c>
      <c r="J378" s="78" t="s">
        <v>1643</v>
      </c>
      <c r="K378" s="78" t="s">
        <v>1643</v>
      </c>
      <c r="L378" s="78" t="s">
        <v>1643</v>
      </c>
      <c r="M378" s="78" t="s">
        <v>1643</v>
      </c>
      <c r="N378" s="78" t="s">
        <v>1643</v>
      </c>
    </row>
    <row r="379" spans="1:14" ht="15.75" thickBot="1" x14ac:dyDescent="0.3">
      <c r="A379" s="44" t="s">
        <v>1439</v>
      </c>
      <c r="B379" s="107" t="s">
        <v>1440</v>
      </c>
      <c r="C379" s="78" t="s">
        <v>837</v>
      </c>
      <c r="D379" s="108">
        <v>109</v>
      </c>
      <c r="E379" s="108">
        <v>155</v>
      </c>
      <c r="F379" s="78" t="s">
        <v>1643</v>
      </c>
      <c r="G379" s="78" t="s">
        <v>1780</v>
      </c>
      <c r="H379" s="78" t="s">
        <v>1643</v>
      </c>
      <c r="I379" s="78" t="s">
        <v>1780</v>
      </c>
      <c r="J379" s="78" t="s">
        <v>1644</v>
      </c>
      <c r="K379" s="78" t="s">
        <v>1643</v>
      </c>
      <c r="L379" s="78" t="s">
        <v>1644</v>
      </c>
      <c r="M379" s="78" t="s">
        <v>1644</v>
      </c>
      <c r="N379" s="78" t="s">
        <v>1643</v>
      </c>
    </row>
    <row r="380" spans="1:14" ht="15.75" thickBot="1" x14ac:dyDescent="0.3">
      <c r="A380" s="44" t="s">
        <v>1441</v>
      </c>
      <c r="B380" s="107" t="s">
        <v>1442</v>
      </c>
      <c r="C380" s="78" t="s">
        <v>837</v>
      </c>
      <c r="D380" s="108">
        <v>25</v>
      </c>
      <c r="E380" s="108">
        <v>29</v>
      </c>
      <c r="F380" s="78" t="s">
        <v>1643</v>
      </c>
      <c r="G380" s="78" t="s">
        <v>1730</v>
      </c>
      <c r="H380" s="78" t="s">
        <v>1643</v>
      </c>
      <c r="I380" s="78" t="s">
        <v>1730</v>
      </c>
      <c r="J380" s="78" t="s">
        <v>1643</v>
      </c>
      <c r="K380" s="78" t="s">
        <v>1643</v>
      </c>
      <c r="L380" s="78" t="s">
        <v>1643</v>
      </c>
      <c r="M380" s="78" t="s">
        <v>1643</v>
      </c>
      <c r="N380" s="78" t="s">
        <v>1643</v>
      </c>
    </row>
    <row r="381" spans="1:14" ht="15.75" thickBot="1" x14ac:dyDescent="0.3">
      <c r="A381" s="44" t="s">
        <v>1470</v>
      </c>
      <c r="B381" s="107" t="s">
        <v>1471</v>
      </c>
      <c r="C381" s="78" t="s">
        <v>837</v>
      </c>
      <c r="D381" s="108">
        <v>18</v>
      </c>
      <c r="E381" s="108">
        <v>27</v>
      </c>
      <c r="F381" s="78" t="s">
        <v>1643</v>
      </c>
      <c r="G381" s="78" t="s">
        <v>1730</v>
      </c>
      <c r="H381" s="78" t="s">
        <v>1643</v>
      </c>
      <c r="I381" s="78" t="s">
        <v>1730</v>
      </c>
      <c r="J381" s="78" t="s">
        <v>1643</v>
      </c>
      <c r="K381" s="78" t="s">
        <v>1643</v>
      </c>
      <c r="L381" s="78" t="s">
        <v>1644</v>
      </c>
      <c r="M381" s="78" t="s">
        <v>1643</v>
      </c>
      <c r="N381" s="78" t="s">
        <v>1643</v>
      </c>
    </row>
    <row r="382" spans="1:14" ht="15.75" thickBot="1" x14ac:dyDescent="0.3">
      <c r="A382" s="44" t="s">
        <v>1482</v>
      </c>
      <c r="B382" s="107" t="s">
        <v>1483</v>
      </c>
      <c r="C382" s="78" t="s">
        <v>837</v>
      </c>
      <c r="D382" s="108">
        <v>105</v>
      </c>
      <c r="E382" s="108">
        <v>150</v>
      </c>
      <c r="F382" s="78" t="s">
        <v>1643</v>
      </c>
      <c r="G382" s="78" t="s">
        <v>1703</v>
      </c>
      <c r="H382" s="78" t="s">
        <v>1643</v>
      </c>
      <c r="I382" s="78" t="s">
        <v>1703</v>
      </c>
      <c r="J382" s="78" t="s">
        <v>1643</v>
      </c>
      <c r="K382" s="78" t="s">
        <v>1643</v>
      </c>
      <c r="L382" s="78" t="s">
        <v>1643</v>
      </c>
      <c r="M382" s="78" t="s">
        <v>1643</v>
      </c>
      <c r="N382" s="78" t="s">
        <v>1643</v>
      </c>
    </row>
    <row r="383" spans="1:14" ht="15.75" thickBot="1" x14ac:dyDescent="0.3">
      <c r="A383" s="44" t="s">
        <v>1496</v>
      </c>
      <c r="B383" s="107" t="s">
        <v>1497</v>
      </c>
      <c r="C383" s="78" t="s">
        <v>837</v>
      </c>
      <c r="D383" s="108">
        <v>26</v>
      </c>
      <c r="E383" s="108">
        <v>62</v>
      </c>
      <c r="F383" s="78" t="s">
        <v>1643</v>
      </c>
      <c r="G383" s="78" t="s">
        <v>1690</v>
      </c>
      <c r="H383" s="78" t="s">
        <v>1643</v>
      </c>
      <c r="I383" s="78" t="s">
        <v>1690</v>
      </c>
      <c r="J383" s="78" t="s">
        <v>1643</v>
      </c>
      <c r="K383" s="78" t="s">
        <v>1643</v>
      </c>
      <c r="L383" s="78" t="s">
        <v>1644</v>
      </c>
      <c r="M383" s="78" t="s">
        <v>1643</v>
      </c>
      <c r="N383" s="78" t="s">
        <v>1643</v>
      </c>
    </row>
    <row r="384" spans="1:14" ht="15.75" thickBot="1" x14ac:dyDescent="0.3">
      <c r="A384" s="44" t="s">
        <v>1512</v>
      </c>
      <c r="B384" s="107" t="s">
        <v>1513</v>
      </c>
      <c r="C384" s="78" t="s">
        <v>837</v>
      </c>
      <c r="D384" s="108">
        <v>17</v>
      </c>
      <c r="E384" s="108">
        <v>33</v>
      </c>
      <c r="F384" s="78" t="s">
        <v>1643</v>
      </c>
      <c r="G384" s="78" t="s">
        <v>1701</v>
      </c>
      <c r="H384" s="78" t="s">
        <v>1643</v>
      </c>
      <c r="I384" s="78" t="s">
        <v>1701</v>
      </c>
      <c r="J384" s="78" t="s">
        <v>1643</v>
      </c>
      <c r="K384" s="78" t="s">
        <v>1643</v>
      </c>
      <c r="L384" s="78" t="s">
        <v>1644</v>
      </c>
      <c r="M384" s="78" t="s">
        <v>1643</v>
      </c>
      <c r="N384" s="78" t="s">
        <v>1643</v>
      </c>
    </row>
    <row r="385" spans="1:14" ht="15.75" thickBot="1" x14ac:dyDescent="0.3">
      <c r="A385" s="44" t="s">
        <v>1538</v>
      </c>
      <c r="B385" s="107" t="s">
        <v>1539</v>
      </c>
      <c r="C385" s="78" t="s">
        <v>837</v>
      </c>
      <c r="D385" s="108">
        <v>67</v>
      </c>
      <c r="E385" s="108">
        <v>82</v>
      </c>
      <c r="F385" s="78" t="s">
        <v>1643</v>
      </c>
      <c r="G385" s="78" t="s">
        <v>1693</v>
      </c>
      <c r="H385" s="78" t="s">
        <v>1643</v>
      </c>
      <c r="I385" s="78" t="s">
        <v>1693</v>
      </c>
      <c r="J385" s="78" t="s">
        <v>1643</v>
      </c>
      <c r="K385" s="78" t="s">
        <v>1643</v>
      </c>
      <c r="L385" s="78" t="s">
        <v>1643</v>
      </c>
      <c r="M385" s="78" t="s">
        <v>1643</v>
      </c>
      <c r="N385" s="78" t="s">
        <v>1643</v>
      </c>
    </row>
    <row r="386" spans="1:14" ht="15.75" thickBot="1" x14ac:dyDescent="0.3">
      <c r="A386" s="44" t="s">
        <v>1540</v>
      </c>
      <c r="B386" s="107" t="s">
        <v>1541</v>
      </c>
      <c r="C386" s="78" t="s">
        <v>837</v>
      </c>
      <c r="D386" s="108">
        <v>16</v>
      </c>
      <c r="E386" s="108">
        <v>39</v>
      </c>
      <c r="F386" s="78" t="s">
        <v>1643</v>
      </c>
      <c r="G386" s="78" t="s">
        <v>1849</v>
      </c>
      <c r="H386" s="78" t="s">
        <v>1643</v>
      </c>
      <c r="I386" s="78" t="s">
        <v>1849</v>
      </c>
      <c r="J386" s="78" t="s">
        <v>1643</v>
      </c>
      <c r="K386" s="78" t="s">
        <v>1643</v>
      </c>
      <c r="L386" s="78" t="s">
        <v>1643</v>
      </c>
      <c r="M386" s="78" t="s">
        <v>1643</v>
      </c>
      <c r="N386" s="78" t="s">
        <v>1643</v>
      </c>
    </row>
    <row r="387" spans="1:14" ht="15.75" thickBot="1" x14ac:dyDescent="0.3">
      <c r="A387" s="44" t="s">
        <v>1542</v>
      </c>
      <c r="B387" s="107" t="s">
        <v>1543</v>
      </c>
      <c r="C387" s="78" t="s">
        <v>837</v>
      </c>
      <c r="D387" s="108">
        <v>60</v>
      </c>
      <c r="E387" s="108">
        <v>35</v>
      </c>
      <c r="F387" s="78" t="s">
        <v>1643</v>
      </c>
      <c r="G387" s="78" t="s">
        <v>1850</v>
      </c>
      <c r="H387" s="78" t="s">
        <v>1643</v>
      </c>
      <c r="I387" s="78" t="s">
        <v>1850</v>
      </c>
      <c r="J387" s="78" t="s">
        <v>1643</v>
      </c>
      <c r="K387" s="78" t="s">
        <v>1643</v>
      </c>
      <c r="L387" s="78" t="s">
        <v>1643</v>
      </c>
      <c r="M387" s="78" t="s">
        <v>1644</v>
      </c>
      <c r="N387" s="78" t="s">
        <v>1643</v>
      </c>
    </row>
    <row r="388" spans="1:14" ht="15.75" thickBot="1" x14ac:dyDescent="0.3">
      <c r="A388" s="44" t="s">
        <v>1564</v>
      </c>
      <c r="B388" s="107" t="s">
        <v>1565</v>
      </c>
      <c r="C388" s="78" t="s">
        <v>837</v>
      </c>
      <c r="D388" s="108">
        <v>41</v>
      </c>
      <c r="E388" s="108">
        <v>115</v>
      </c>
      <c r="F388" s="78" t="s">
        <v>1643</v>
      </c>
      <c r="G388" s="78" t="s">
        <v>1690</v>
      </c>
      <c r="H388" s="78" t="s">
        <v>1643</v>
      </c>
      <c r="I388" s="78" t="s">
        <v>1690</v>
      </c>
      <c r="J388" s="78" t="s">
        <v>1643</v>
      </c>
      <c r="K388" s="78" t="s">
        <v>1643</v>
      </c>
      <c r="L388" s="78" t="s">
        <v>1643</v>
      </c>
      <c r="M388" s="78" t="s">
        <v>1643</v>
      </c>
      <c r="N388" s="78" t="s">
        <v>1643</v>
      </c>
    </row>
    <row r="389" spans="1:14" ht="15.75" thickBot="1" x14ac:dyDescent="0.3">
      <c r="A389" s="44" t="s">
        <v>1566</v>
      </c>
      <c r="B389" s="107" t="s">
        <v>1567</v>
      </c>
      <c r="C389" s="78" t="s">
        <v>837</v>
      </c>
      <c r="D389" s="108">
        <v>22</v>
      </c>
      <c r="E389" s="108">
        <v>58</v>
      </c>
      <c r="F389" s="78" t="s">
        <v>1643</v>
      </c>
      <c r="G389" s="78" t="s">
        <v>1856</v>
      </c>
      <c r="H389" s="78" t="s">
        <v>1643</v>
      </c>
      <c r="I389" s="78" t="s">
        <v>1857</v>
      </c>
      <c r="J389" s="78" t="s">
        <v>1643</v>
      </c>
      <c r="K389" s="78" t="s">
        <v>1643</v>
      </c>
      <c r="L389" s="78" t="s">
        <v>1643</v>
      </c>
      <c r="M389" s="78" t="s">
        <v>1643</v>
      </c>
      <c r="N389" s="78" t="s">
        <v>1643</v>
      </c>
    </row>
    <row r="390" spans="1:14" ht="15.75" thickBot="1" x14ac:dyDescent="0.3">
      <c r="A390" s="44" t="s">
        <v>1574</v>
      </c>
      <c r="B390" s="107" t="s">
        <v>1575</v>
      </c>
      <c r="C390" s="78" t="s">
        <v>837</v>
      </c>
      <c r="D390" s="108">
        <v>58</v>
      </c>
      <c r="E390" s="108">
        <v>163</v>
      </c>
      <c r="F390" s="78" t="s">
        <v>1643</v>
      </c>
      <c r="G390" s="78" t="s">
        <v>1765</v>
      </c>
      <c r="H390" s="78" t="s">
        <v>1643</v>
      </c>
      <c r="I390" s="78" t="s">
        <v>1765</v>
      </c>
      <c r="J390" s="78" t="s">
        <v>1643</v>
      </c>
      <c r="K390" s="78" t="s">
        <v>1643</v>
      </c>
      <c r="L390" s="78" t="s">
        <v>1643</v>
      </c>
      <c r="M390" s="78" t="s">
        <v>1644</v>
      </c>
      <c r="N390" s="78" t="s">
        <v>1643</v>
      </c>
    </row>
    <row r="391" spans="1:14" ht="15.75" thickBot="1" x14ac:dyDescent="0.3">
      <c r="A391" s="44" t="s">
        <v>1594</v>
      </c>
      <c r="B391" s="107" t="s">
        <v>1595</v>
      </c>
      <c r="C391" s="78" t="s">
        <v>837</v>
      </c>
      <c r="D391" s="108">
        <v>93</v>
      </c>
      <c r="E391" s="108">
        <v>134</v>
      </c>
      <c r="F391" s="78" t="s">
        <v>1643</v>
      </c>
      <c r="G391" s="78" t="s">
        <v>1690</v>
      </c>
      <c r="H391" s="78" t="s">
        <v>1643</v>
      </c>
      <c r="I391" s="78" t="s">
        <v>1690</v>
      </c>
      <c r="J391" s="78" t="s">
        <v>1644</v>
      </c>
      <c r="K391" s="78" t="s">
        <v>1643</v>
      </c>
      <c r="L391" s="78" t="s">
        <v>1643</v>
      </c>
      <c r="M391" s="78" t="s">
        <v>1644</v>
      </c>
      <c r="N391" s="78" t="s">
        <v>1643</v>
      </c>
    </row>
    <row r="392" spans="1:14" ht="15.75" thickBot="1" x14ac:dyDescent="0.3">
      <c r="A392" s="44" t="s">
        <v>1596</v>
      </c>
      <c r="B392" s="107" t="s">
        <v>1597</v>
      </c>
      <c r="C392" s="78" t="s">
        <v>837</v>
      </c>
      <c r="D392" s="108">
        <v>51</v>
      </c>
      <c r="E392" s="108">
        <v>83</v>
      </c>
      <c r="F392" s="78" t="s">
        <v>1643</v>
      </c>
      <c r="G392" s="78" t="s">
        <v>1724</v>
      </c>
      <c r="H392" s="78" t="s">
        <v>1643</v>
      </c>
      <c r="I392" s="78" t="s">
        <v>1861</v>
      </c>
      <c r="J392" s="78" t="s">
        <v>1643</v>
      </c>
      <c r="K392" s="78" t="s">
        <v>1643</v>
      </c>
      <c r="L392" s="78" t="s">
        <v>1643</v>
      </c>
      <c r="M392" s="78" t="s">
        <v>1644</v>
      </c>
      <c r="N392" s="78" t="s">
        <v>1643</v>
      </c>
    </row>
    <row r="393" spans="1:14" ht="15.75" thickBot="1" x14ac:dyDescent="0.3">
      <c r="A393" s="44" t="s">
        <v>1602</v>
      </c>
      <c r="B393" s="135" t="s">
        <v>1603</v>
      </c>
      <c r="C393" s="136" t="s">
        <v>837</v>
      </c>
      <c r="D393" s="108">
        <v>62</v>
      </c>
      <c r="E393" s="108">
        <v>112</v>
      </c>
      <c r="F393" s="78" t="s">
        <v>1643</v>
      </c>
      <c r="G393" s="78" t="s">
        <v>1863</v>
      </c>
      <c r="H393" s="78" t="s">
        <v>1643</v>
      </c>
      <c r="I393" s="78" t="s">
        <v>1755</v>
      </c>
      <c r="J393" s="78" t="s">
        <v>1643</v>
      </c>
      <c r="K393" s="78" t="s">
        <v>1643</v>
      </c>
      <c r="L393" s="78" t="s">
        <v>1643</v>
      </c>
      <c r="M393" s="78" t="s">
        <v>1644</v>
      </c>
      <c r="N393" s="78" t="s">
        <v>1643</v>
      </c>
    </row>
    <row r="394" spans="1:14" ht="18.75" thickBot="1" x14ac:dyDescent="0.3">
      <c r="B394" s="129" t="s">
        <v>3450</v>
      </c>
      <c r="C394" s="154">
        <f>SUBTOTAL(3,C4:C393)</f>
        <v>390</v>
      </c>
    </row>
    <row r="395" spans="1:14" ht="18.75" thickBot="1" x14ac:dyDescent="0.3">
      <c r="C395" s="155" t="s">
        <v>3464</v>
      </c>
      <c r="D395" s="139">
        <f>SUBTOTAL(109,D4:D393)</f>
        <v>6785</v>
      </c>
      <c r="E395" s="140">
        <f>SUBTOTAL(109,E4:E393)</f>
        <v>12557</v>
      </c>
    </row>
    <row r="396" spans="1:14" ht="18.75" thickBot="1" x14ac:dyDescent="0.3">
      <c r="C396" s="155" t="s">
        <v>3465</v>
      </c>
      <c r="D396" s="139">
        <f>SUBTOTAL(101,D4:D393)</f>
        <v>17.397435897435898</v>
      </c>
      <c r="E396" s="140">
        <f>SUBTOTAL(101,E4:E393)</f>
        <v>32.197435897435895</v>
      </c>
    </row>
    <row r="397" spans="1:14" ht="15.75" thickBot="1" x14ac:dyDescent="0.3"/>
    <row r="398" spans="1:14" ht="51.75" x14ac:dyDescent="0.25">
      <c r="B398" s="105"/>
      <c r="C398" s="77" t="s">
        <v>1670</v>
      </c>
      <c r="D398" s="77" t="s">
        <v>1672</v>
      </c>
      <c r="E398" s="77" t="s">
        <v>1674</v>
      </c>
      <c r="F398" s="77" t="s">
        <v>1675</v>
      </c>
      <c r="G398" s="77" t="s">
        <v>1676</v>
      </c>
      <c r="H398" s="77" t="s">
        <v>1677</v>
      </c>
      <c r="I398" s="77" t="s">
        <v>1640</v>
      </c>
    </row>
    <row r="399" spans="1:14" ht="15.75" x14ac:dyDescent="0.25">
      <c r="B399" s="106" t="s">
        <v>3456</v>
      </c>
      <c r="C399" s="162">
        <f>COUNTIF(F4:F70, "Yes")/COUNTA(F4:F70)</f>
        <v>0.91044776119402981</v>
      </c>
      <c r="D399" s="162">
        <f>COUNTIF(H4:H70, "Yes")/COUNTA(H4:H70)</f>
        <v>0.92537313432835822</v>
      </c>
      <c r="E399" s="162">
        <f>COUNTIF(J4:J70, "Yes")/COUNTA(J4:J70)</f>
        <v>0.65671641791044777</v>
      </c>
      <c r="F399" s="162">
        <f>COUNTIF(K4:K70, "Yes")/COUNTA(K4:K70)</f>
        <v>0.79104477611940294</v>
      </c>
      <c r="G399" s="162">
        <f>COUNTIF(L4:L70, "Yes")/COUNTA(L4:L70)</f>
        <v>1.4925373134328358E-2</v>
      </c>
      <c r="H399" s="162">
        <f t="shared" ref="H399:I399" si="0">COUNTIF(M4:M70, "Yes")/COUNTA(M4:M70)</f>
        <v>0.29850746268656714</v>
      </c>
      <c r="I399" s="162">
        <f t="shared" si="0"/>
        <v>0.9850746268656716</v>
      </c>
    </row>
    <row r="400" spans="1:14" ht="15.75" x14ac:dyDescent="0.25">
      <c r="B400" s="106" t="s">
        <v>3457</v>
      </c>
      <c r="C400" s="162">
        <f>COUNTIF(F71:F148, "Yes")/COUNTA(F71:F148)</f>
        <v>0.98717948717948723</v>
      </c>
      <c r="D400" s="162">
        <f>COUNTIF(H71:H148, "Yes")/COUNTA(H71:H148)</f>
        <v>0.97435897435897434</v>
      </c>
      <c r="E400" s="162">
        <f>COUNTIF(J71:J148, "Yes")/COUNTA(J71:J148)</f>
        <v>0.9358974358974359</v>
      </c>
      <c r="F400" s="162">
        <f>COUNTIF(K71:K148, "Yes")/COUNTA(K71:K148)</f>
        <v>0.97435897435897434</v>
      </c>
      <c r="G400" s="162">
        <f>COUNTIF(L71:L148, "Yes")/COUNTA(L71:L148)</f>
        <v>5.128205128205128E-2</v>
      </c>
      <c r="H400" s="162">
        <f t="shared" ref="H400:I400" si="1">COUNTIF(M71:M148, "Yes")/COUNTA(M71:M148)</f>
        <v>0.52564102564102566</v>
      </c>
      <c r="I400" s="162">
        <f t="shared" si="1"/>
        <v>1</v>
      </c>
    </row>
    <row r="401" spans="2:9" ht="15.75" x14ac:dyDescent="0.25">
      <c r="B401" s="106" t="s">
        <v>3458</v>
      </c>
      <c r="C401" s="162">
        <f>COUNTIF(F149:F226, "Yes")/COUNTA(F149:F226)</f>
        <v>0.98717948717948723</v>
      </c>
      <c r="D401" s="162">
        <f>COUNTIF(H149:H226, "Yes")/COUNTA(H149:H226)</f>
        <v>0.98717948717948723</v>
      </c>
      <c r="E401" s="162">
        <f>COUNTIF(J149:J226, "Yes")/COUNTA(J149:J226)</f>
        <v>0.9358974358974359</v>
      </c>
      <c r="F401" s="162">
        <f>COUNTIF(K149:K226, "Yes")/COUNTA(K149:K226)</f>
        <v>0.98717948717948723</v>
      </c>
      <c r="G401" s="162">
        <f>COUNTIF(L149:L226, "Yes")/COUNTA(L149:L226)</f>
        <v>8.9743589743589744E-2</v>
      </c>
      <c r="H401" s="162">
        <f t="shared" ref="H401:I401" si="2">COUNTIF(M149:M226, "Yes")/COUNTA(M149:M226)</f>
        <v>0.73076923076923073</v>
      </c>
      <c r="I401" s="162">
        <f t="shared" si="2"/>
        <v>1</v>
      </c>
    </row>
    <row r="402" spans="2:9" ht="15.75" x14ac:dyDescent="0.25">
      <c r="B402" s="106" t="s">
        <v>3459</v>
      </c>
      <c r="C402" s="162">
        <f>COUNTIF(F227:F305, "Yes")/COUNTA(F227:F305)</f>
        <v>0.98734177215189878</v>
      </c>
      <c r="D402" s="162">
        <f>COUNTIF(H227:H305, "Yes")/COUNTA(H227:H305)</f>
        <v>0.98734177215189878</v>
      </c>
      <c r="E402" s="162">
        <f>COUNTIF(J227:J305, "Yes")/COUNTA(J227:J305)</f>
        <v>0.93670886075949367</v>
      </c>
      <c r="F402" s="162">
        <f>COUNTIF(K227:K305, "Yes")/COUNTA(K227:K305)</f>
        <v>0.98734177215189878</v>
      </c>
      <c r="G402" s="162">
        <f>COUNTIF(L227:L305, "Yes")/COUNTA(L227:L305)</f>
        <v>0.27848101265822783</v>
      </c>
      <c r="H402" s="162">
        <f t="shared" ref="H402:I402" si="3">COUNTIF(M227:M305, "Yes")/COUNTA(M227:M305)</f>
        <v>0.63291139240506333</v>
      </c>
      <c r="I402" s="162">
        <f t="shared" si="3"/>
        <v>1</v>
      </c>
    </row>
    <row r="403" spans="2:9" ht="15.75" x14ac:dyDescent="0.25">
      <c r="B403" s="106" t="s">
        <v>3460</v>
      </c>
      <c r="C403" s="162">
        <f>COUNTIF(F306:F348, "Yes")/COUNTA(F306:F348)</f>
        <v>1</v>
      </c>
      <c r="D403" s="162">
        <f>COUNTIF(H306:H348, "Yes")/COUNTA(H306:H348)</f>
        <v>1</v>
      </c>
      <c r="E403" s="162">
        <f>COUNTIF(J306:J348, "Yes")/COUNTA(J306:J348)</f>
        <v>1</v>
      </c>
      <c r="F403" s="162">
        <f>COUNTIF(K306:K348, "Yes")/COUNTA(K306:K348)</f>
        <v>1</v>
      </c>
      <c r="G403" s="162">
        <f>COUNTIF(L306:L348, "Yes")/COUNTA(L306:L348)</f>
        <v>0.46511627906976744</v>
      </c>
      <c r="H403" s="162">
        <f t="shared" ref="H403:I403" si="4">COUNTIF(M306:M348, "Yes")/COUNTA(M306:M348)</f>
        <v>0.72093023255813948</v>
      </c>
      <c r="I403" s="162">
        <f t="shared" si="4"/>
        <v>1</v>
      </c>
    </row>
    <row r="404" spans="2:9" ht="15.75" x14ac:dyDescent="0.25">
      <c r="B404" s="106" t="s">
        <v>3461</v>
      </c>
      <c r="C404" s="162">
        <f>COUNTIF(F349:F393, "Yes")/COUNTA(F349:F393)</f>
        <v>1</v>
      </c>
      <c r="D404" s="162">
        <f>COUNTIF(H349:H393, "Yes")/COUNTA(H349:H393)</f>
        <v>1</v>
      </c>
      <c r="E404" s="162">
        <f>COUNTIF(J349:J393, "Yes")/COUNTA(J349:J393)</f>
        <v>0.93333333333333335</v>
      </c>
      <c r="F404" s="162">
        <f>COUNTIF(K349:K393, "Yes")/COUNTA(K349:K393)</f>
        <v>1</v>
      </c>
      <c r="G404" s="162">
        <f>COUNTIF(L349:L393, "Yes")/COUNTA(L349:L393)</f>
        <v>0.82222222222222219</v>
      </c>
      <c r="H404" s="162">
        <f t="shared" ref="H404:I404" si="5">COUNTIF(M349:M393, "Yes")/COUNTA(M349:M393)</f>
        <v>0.51111111111111107</v>
      </c>
      <c r="I404" s="162">
        <f t="shared" si="5"/>
        <v>1</v>
      </c>
    </row>
  </sheetData>
  <sortState xmlns:xlrd2="http://schemas.microsoft.com/office/spreadsheetml/2017/richdata2" ref="A4:N393">
    <sortCondition ref="C4:C393"/>
    <sortCondition ref="B4:B393"/>
  </sortState>
  <hyperlinks>
    <hyperlink ref="H1" location="'Table of Contents'!A1" display="Return to Table of Contents" xr:uid="{DBED9F63-D6F3-4919-8BC2-2F9866C1D515}"/>
  </hyperlink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88216-1115-4C81-A8DF-E2EE6D3B08E4}">
  <sheetPr>
    <tabColor theme="3" tint="0.59999389629810485"/>
  </sheetPr>
  <dimension ref="A1:X393"/>
  <sheetViews>
    <sheetView workbookViewId="0">
      <pane ySplit="3" topLeftCell="A4" activePane="bottomLeft" state="frozen"/>
      <selection pane="bottomLeft" activeCell="B4" sqref="B4"/>
    </sheetView>
  </sheetViews>
  <sheetFormatPr defaultRowHeight="15" x14ac:dyDescent="0.25"/>
  <cols>
    <col min="1" max="1" width="15.28515625" customWidth="1"/>
    <col min="2" max="2" width="49" bestFit="1" customWidth="1"/>
    <col min="3" max="3" width="26.140625" customWidth="1"/>
    <col min="4" max="4" width="15.28515625" customWidth="1"/>
    <col min="5" max="5" width="23.140625" customWidth="1"/>
    <col min="6" max="6" width="15.28515625" customWidth="1"/>
    <col min="7" max="7" width="14.5703125" customWidth="1"/>
    <col min="8" max="8" width="27.28515625" customWidth="1"/>
    <col min="9" max="9" width="21.28515625" customWidth="1"/>
    <col min="10" max="10" width="24.42578125" customWidth="1"/>
    <col min="11" max="11" width="27.85546875" customWidth="1"/>
    <col min="12" max="12" width="38.5703125" customWidth="1"/>
    <col min="13" max="13" width="17.28515625" customWidth="1"/>
    <col min="14" max="14" width="30" customWidth="1"/>
    <col min="15" max="15" width="24" customWidth="1"/>
    <col min="16" max="16" width="27.140625" customWidth="1"/>
    <col min="17" max="17" width="30.5703125" customWidth="1"/>
    <col min="18" max="18" width="41.28515625" customWidth="1"/>
    <col min="19" max="19" width="17.28515625" customWidth="1"/>
    <col min="20" max="20" width="30" customWidth="1"/>
    <col min="21" max="21" width="24" customWidth="1"/>
    <col min="22" max="22" width="27.140625" customWidth="1"/>
    <col min="23" max="23" width="30.5703125" customWidth="1"/>
    <col min="24" max="24" width="41.28515625" customWidth="1"/>
  </cols>
  <sheetData>
    <row r="1" spans="1:24" ht="18.75" x14ac:dyDescent="0.3">
      <c r="B1" s="56" t="s">
        <v>3449</v>
      </c>
      <c r="D1" s="54" t="s">
        <v>6</v>
      </c>
      <c r="G1" s="55" t="s">
        <v>13</v>
      </c>
    </row>
    <row r="3" spans="1:24" s="39" customFormat="1" x14ac:dyDescent="0.25">
      <c r="A3" s="123" t="s">
        <v>784</v>
      </c>
      <c r="B3" s="123" t="s">
        <v>785</v>
      </c>
      <c r="C3" s="123" t="s">
        <v>786</v>
      </c>
      <c r="D3" s="123" t="s">
        <v>92</v>
      </c>
      <c r="E3" s="123" t="s">
        <v>1864</v>
      </c>
      <c r="F3" s="123" t="s">
        <v>1865</v>
      </c>
      <c r="G3" s="123" t="s">
        <v>1866</v>
      </c>
      <c r="H3" s="123" t="s">
        <v>1867</v>
      </c>
      <c r="I3" s="123" t="s">
        <v>1868</v>
      </c>
      <c r="J3" s="123" t="s">
        <v>1869</v>
      </c>
      <c r="K3" s="123" t="s">
        <v>1870</v>
      </c>
      <c r="L3" s="123" t="s">
        <v>1871</v>
      </c>
      <c r="M3" s="123" t="s">
        <v>1872</v>
      </c>
      <c r="N3" s="123" t="s">
        <v>1873</v>
      </c>
      <c r="O3" s="123" t="s">
        <v>1874</v>
      </c>
      <c r="P3" s="123" t="s">
        <v>1875</v>
      </c>
      <c r="Q3" s="123" t="s">
        <v>1876</v>
      </c>
      <c r="R3" s="123" t="s">
        <v>1877</v>
      </c>
      <c r="S3" s="123" t="s">
        <v>1878</v>
      </c>
      <c r="T3" s="123" t="s">
        <v>1879</v>
      </c>
      <c r="U3" s="123" t="s">
        <v>1880</v>
      </c>
      <c r="V3" s="123" t="s">
        <v>1881</v>
      </c>
      <c r="W3" s="123" t="s">
        <v>1882</v>
      </c>
      <c r="X3" s="123" t="s">
        <v>1883</v>
      </c>
    </row>
    <row r="4" spans="1:24" x14ac:dyDescent="0.25">
      <c r="A4" s="79" t="s">
        <v>815</v>
      </c>
      <c r="B4" s="80" t="s">
        <v>816</v>
      </c>
      <c r="C4" s="79" t="s">
        <v>817</v>
      </c>
      <c r="D4" s="79" t="s">
        <v>1915</v>
      </c>
      <c r="E4" s="79" t="s">
        <v>1916</v>
      </c>
      <c r="F4" s="79" t="s">
        <v>1894</v>
      </c>
      <c r="G4" s="81">
        <v>1.1000000000000001</v>
      </c>
      <c r="H4" s="82" t="s">
        <v>1917</v>
      </c>
      <c r="I4" s="81">
        <v>1</v>
      </c>
      <c r="J4" s="82" t="s">
        <v>1918</v>
      </c>
      <c r="K4" s="79" t="s">
        <v>1644</v>
      </c>
      <c r="L4" s="79" t="s">
        <v>1897</v>
      </c>
      <c r="M4" s="103"/>
      <c r="N4" s="103"/>
      <c r="O4" s="103"/>
      <c r="P4" s="103"/>
      <c r="Q4" s="103"/>
      <c r="R4" s="103" t="s">
        <v>850</v>
      </c>
      <c r="S4" s="103"/>
      <c r="T4" s="103"/>
      <c r="U4" s="103"/>
      <c r="V4" s="103"/>
      <c r="W4" s="103"/>
      <c r="X4" s="103"/>
    </row>
    <row r="5" spans="1:24" x14ac:dyDescent="0.25">
      <c r="A5" s="79" t="s">
        <v>840</v>
      </c>
      <c r="B5" s="80" t="s">
        <v>841</v>
      </c>
      <c r="C5" s="79" t="s">
        <v>817</v>
      </c>
      <c r="D5" s="79" t="s">
        <v>1930</v>
      </c>
      <c r="E5" s="79" t="s">
        <v>1956</v>
      </c>
      <c r="F5" s="79" t="s">
        <v>1894</v>
      </c>
      <c r="G5" s="81">
        <v>0.5</v>
      </c>
      <c r="H5" s="82" t="s">
        <v>1957</v>
      </c>
      <c r="I5" s="81">
        <v>0.5</v>
      </c>
      <c r="J5" s="82" t="s">
        <v>1958</v>
      </c>
      <c r="K5" s="79" t="s">
        <v>1644</v>
      </c>
      <c r="L5" s="79" t="s">
        <v>1897</v>
      </c>
      <c r="M5" s="103"/>
      <c r="N5" s="103"/>
      <c r="O5" s="103"/>
      <c r="P5" s="103"/>
      <c r="Q5" s="103"/>
      <c r="R5" s="103" t="s">
        <v>850</v>
      </c>
      <c r="S5" s="103"/>
      <c r="T5" s="103"/>
      <c r="U5" s="103"/>
      <c r="V5" s="103"/>
      <c r="W5" s="103"/>
      <c r="X5" s="103"/>
    </row>
    <row r="6" spans="1:24" x14ac:dyDescent="0.25">
      <c r="A6" s="79" t="s">
        <v>863</v>
      </c>
      <c r="B6" s="80" t="s">
        <v>864</v>
      </c>
      <c r="C6" s="79" t="s">
        <v>817</v>
      </c>
      <c r="D6" s="79" t="s">
        <v>1988</v>
      </c>
      <c r="E6" s="79" t="s">
        <v>1989</v>
      </c>
      <c r="F6" s="79" t="s">
        <v>1894</v>
      </c>
      <c r="G6" s="81">
        <v>1</v>
      </c>
      <c r="H6" s="82" t="s">
        <v>1942</v>
      </c>
      <c r="I6" s="81">
        <v>1</v>
      </c>
      <c r="J6" s="82" t="s">
        <v>1990</v>
      </c>
      <c r="K6" s="79" t="s">
        <v>1644</v>
      </c>
      <c r="L6" s="79" t="s">
        <v>1897</v>
      </c>
      <c r="M6" s="160"/>
      <c r="N6" s="103"/>
      <c r="O6" s="160"/>
      <c r="P6" s="103"/>
      <c r="Q6" s="103"/>
      <c r="R6" s="103" t="s">
        <v>850</v>
      </c>
      <c r="S6" s="160"/>
      <c r="T6" s="103"/>
      <c r="U6" s="160"/>
      <c r="V6" s="103"/>
      <c r="W6" s="103"/>
      <c r="X6" s="103"/>
    </row>
    <row r="7" spans="1:24" x14ac:dyDescent="0.25">
      <c r="A7" s="79" t="s">
        <v>865</v>
      </c>
      <c r="B7" s="80" t="s">
        <v>866</v>
      </c>
      <c r="C7" s="79" t="s">
        <v>817</v>
      </c>
      <c r="D7" s="79" t="s">
        <v>1915</v>
      </c>
      <c r="E7" s="79" t="s">
        <v>1991</v>
      </c>
      <c r="F7" s="79" t="s">
        <v>1894</v>
      </c>
      <c r="G7" s="81">
        <v>0.4</v>
      </c>
      <c r="H7" s="82" t="s">
        <v>1992</v>
      </c>
      <c r="I7" s="81">
        <v>0.33650000000000002</v>
      </c>
      <c r="J7" s="103" t="s">
        <v>850</v>
      </c>
      <c r="K7" s="79" t="s">
        <v>1643</v>
      </c>
      <c r="L7" s="79" t="s">
        <v>1897</v>
      </c>
      <c r="M7" s="160"/>
      <c r="N7" s="103"/>
      <c r="O7" s="160"/>
      <c r="P7" s="103"/>
      <c r="Q7" s="103"/>
      <c r="R7" s="103" t="s">
        <v>850</v>
      </c>
      <c r="S7" s="160"/>
      <c r="T7" s="103"/>
      <c r="U7" s="160"/>
      <c r="V7" s="103"/>
      <c r="W7" s="103"/>
      <c r="X7" s="103"/>
    </row>
    <row r="8" spans="1:24" x14ac:dyDescent="0.25">
      <c r="A8" s="79" t="s">
        <v>869</v>
      </c>
      <c r="B8" s="80" t="s">
        <v>870</v>
      </c>
      <c r="C8" s="79" t="s">
        <v>817</v>
      </c>
      <c r="D8" s="79" t="s">
        <v>1999</v>
      </c>
      <c r="E8" s="79" t="s">
        <v>2000</v>
      </c>
      <c r="F8" s="79" t="s">
        <v>1864</v>
      </c>
      <c r="G8" s="160"/>
      <c r="H8" s="103"/>
      <c r="I8" s="160"/>
      <c r="J8" s="103"/>
      <c r="K8" s="103"/>
      <c r="L8" s="103"/>
      <c r="M8" s="160"/>
      <c r="N8" s="103"/>
      <c r="O8" s="160"/>
      <c r="P8" s="103"/>
      <c r="Q8" s="103"/>
      <c r="R8" s="103" t="s">
        <v>850</v>
      </c>
      <c r="S8" s="160"/>
      <c r="T8" s="103"/>
      <c r="U8" s="160"/>
      <c r="V8" s="103"/>
      <c r="W8" s="103"/>
      <c r="X8" s="103"/>
    </row>
    <row r="9" spans="1:24" x14ac:dyDescent="0.25">
      <c r="A9" s="79" t="s">
        <v>873</v>
      </c>
      <c r="B9" s="80" t="s">
        <v>874</v>
      </c>
      <c r="C9" s="79" t="s">
        <v>817</v>
      </c>
      <c r="D9" s="79" t="s">
        <v>2006</v>
      </c>
      <c r="E9" s="79" t="s">
        <v>2007</v>
      </c>
      <c r="F9" s="79" t="s">
        <v>1894</v>
      </c>
      <c r="G9" s="81">
        <v>0.75</v>
      </c>
      <c r="H9" s="82" t="s">
        <v>2008</v>
      </c>
      <c r="I9" s="81">
        <v>0.6</v>
      </c>
      <c r="J9" s="103" t="s">
        <v>850</v>
      </c>
      <c r="K9" s="79" t="s">
        <v>1643</v>
      </c>
      <c r="L9" s="79" t="s">
        <v>1897</v>
      </c>
      <c r="M9" s="103" t="s">
        <v>850</v>
      </c>
      <c r="N9" s="161"/>
      <c r="O9" s="103"/>
      <c r="P9" s="161"/>
      <c r="Q9" s="103"/>
      <c r="R9" s="103" t="s">
        <v>850</v>
      </c>
      <c r="S9" s="103"/>
      <c r="T9" s="103"/>
      <c r="U9" s="103"/>
      <c r="V9" s="103"/>
      <c r="W9" s="103"/>
      <c r="X9" s="103"/>
    </row>
    <row r="10" spans="1:24" x14ac:dyDescent="0.25">
      <c r="A10" s="79" t="s">
        <v>875</v>
      </c>
      <c r="B10" s="80" t="s">
        <v>876</v>
      </c>
      <c r="C10" s="79" t="s">
        <v>817</v>
      </c>
      <c r="D10" s="79" t="s">
        <v>2006</v>
      </c>
      <c r="E10" s="79" t="s">
        <v>2010</v>
      </c>
      <c r="F10" s="79" t="s">
        <v>2011</v>
      </c>
      <c r="G10" s="81">
        <v>0.6</v>
      </c>
      <c r="H10" s="82" t="s">
        <v>2012</v>
      </c>
      <c r="I10" s="81">
        <v>0.59309999999999996</v>
      </c>
      <c r="J10" s="82" t="s">
        <v>2013</v>
      </c>
      <c r="K10" s="79" t="s">
        <v>1644</v>
      </c>
      <c r="L10" s="79" t="s">
        <v>1897</v>
      </c>
      <c r="M10" s="103"/>
      <c r="N10" s="103"/>
      <c r="O10" s="103"/>
      <c r="P10" s="103"/>
      <c r="Q10" s="103"/>
      <c r="R10" s="103"/>
      <c r="S10" s="103"/>
      <c r="T10" s="103"/>
      <c r="U10" s="103"/>
      <c r="V10" s="103"/>
      <c r="W10" s="103"/>
      <c r="X10" s="103"/>
    </row>
    <row r="11" spans="1:24" x14ac:dyDescent="0.25">
      <c r="A11" s="79" t="s">
        <v>883</v>
      </c>
      <c r="B11" s="80" t="s">
        <v>884</v>
      </c>
      <c r="C11" s="79" t="s">
        <v>817</v>
      </c>
      <c r="D11" s="79" t="s">
        <v>2006</v>
      </c>
      <c r="E11" s="79" t="s">
        <v>2019</v>
      </c>
      <c r="F11" s="79" t="s">
        <v>1894</v>
      </c>
      <c r="G11" s="81">
        <v>0.35</v>
      </c>
      <c r="H11" s="82" t="s">
        <v>2020</v>
      </c>
      <c r="I11" s="81">
        <v>0.35</v>
      </c>
      <c r="J11" s="82" t="s">
        <v>2021</v>
      </c>
      <c r="K11" s="79" t="s">
        <v>1644</v>
      </c>
      <c r="L11" s="79" t="s">
        <v>1897</v>
      </c>
      <c r="M11" s="103"/>
      <c r="N11" s="103"/>
      <c r="O11" s="103"/>
      <c r="P11" s="103"/>
      <c r="Q11" s="103"/>
      <c r="R11" s="103"/>
      <c r="S11" s="103"/>
      <c r="T11" s="103"/>
      <c r="U11" s="103"/>
      <c r="V11" s="103"/>
      <c r="W11" s="103"/>
      <c r="X11" s="103"/>
    </row>
    <row r="12" spans="1:24" x14ac:dyDescent="0.25">
      <c r="A12" s="79" t="s">
        <v>915</v>
      </c>
      <c r="B12" s="80" t="s">
        <v>916</v>
      </c>
      <c r="C12" s="79" t="s">
        <v>817</v>
      </c>
      <c r="D12" s="79" t="s">
        <v>2068</v>
      </c>
      <c r="E12" s="79" t="s">
        <v>2069</v>
      </c>
      <c r="F12" s="79" t="s">
        <v>1864</v>
      </c>
      <c r="G12" s="103" t="s">
        <v>850</v>
      </c>
      <c r="H12" s="161"/>
      <c r="I12" s="103"/>
      <c r="J12" s="161"/>
      <c r="K12" s="103"/>
      <c r="L12" s="103"/>
      <c r="M12" s="103"/>
      <c r="N12" s="161"/>
      <c r="O12" s="103"/>
      <c r="P12" s="161"/>
      <c r="Q12" s="103"/>
      <c r="R12" s="103"/>
      <c r="S12" s="103"/>
      <c r="T12" s="161"/>
      <c r="U12" s="103"/>
      <c r="V12" s="161"/>
      <c r="W12" s="103"/>
      <c r="X12" s="103"/>
    </row>
    <row r="13" spans="1:24" x14ac:dyDescent="0.25">
      <c r="A13" s="79" t="s">
        <v>929</v>
      </c>
      <c r="B13" s="80" t="s">
        <v>930</v>
      </c>
      <c r="C13" s="79" t="s">
        <v>817</v>
      </c>
      <c r="D13" s="79" t="s">
        <v>2088</v>
      </c>
      <c r="E13" s="79" t="s">
        <v>2089</v>
      </c>
      <c r="F13" s="79" t="s">
        <v>1864</v>
      </c>
      <c r="G13" s="81">
        <v>0.5</v>
      </c>
      <c r="H13" s="82" t="s">
        <v>1966</v>
      </c>
      <c r="I13" s="81">
        <v>0.5</v>
      </c>
      <c r="J13" s="82" t="s">
        <v>2090</v>
      </c>
      <c r="K13" s="79" t="s">
        <v>1644</v>
      </c>
      <c r="L13" s="103" t="s">
        <v>850</v>
      </c>
      <c r="M13" s="160"/>
      <c r="N13" s="103"/>
      <c r="O13" s="160"/>
      <c r="P13" s="103"/>
      <c r="Q13" s="103"/>
      <c r="R13" s="103"/>
      <c r="S13" s="160"/>
      <c r="T13" s="103"/>
      <c r="U13" s="160"/>
      <c r="V13" s="103"/>
      <c r="W13" s="103"/>
      <c r="X13" s="103"/>
    </row>
    <row r="14" spans="1:24" x14ac:dyDescent="0.25">
      <c r="A14" s="79" t="s">
        <v>939</v>
      </c>
      <c r="B14" s="80" t="s">
        <v>940</v>
      </c>
      <c r="C14" s="79" t="s">
        <v>817</v>
      </c>
      <c r="D14" s="79" t="s">
        <v>1915</v>
      </c>
      <c r="E14" s="79" t="s">
        <v>2103</v>
      </c>
      <c r="F14" s="79" t="s">
        <v>1894</v>
      </c>
      <c r="G14" s="81">
        <v>1</v>
      </c>
      <c r="H14" s="82" t="s">
        <v>2104</v>
      </c>
      <c r="I14" s="81">
        <v>0.35</v>
      </c>
      <c r="J14" s="82" t="s">
        <v>2104</v>
      </c>
      <c r="K14" s="79" t="s">
        <v>1644</v>
      </c>
      <c r="L14" s="79" t="s">
        <v>1897</v>
      </c>
      <c r="M14" s="160"/>
      <c r="N14" s="103"/>
      <c r="O14" s="160"/>
      <c r="P14" s="103"/>
      <c r="Q14" s="103"/>
      <c r="R14" s="103"/>
      <c r="S14" s="160"/>
      <c r="T14" s="103"/>
      <c r="U14" s="160"/>
      <c r="V14" s="103"/>
      <c r="W14" s="103"/>
      <c r="X14" s="103"/>
    </row>
    <row r="15" spans="1:24" x14ac:dyDescent="0.25">
      <c r="A15" s="79" t="s">
        <v>947</v>
      </c>
      <c r="B15" s="80" t="s">
        <v>948</v>
      </c>
      <c r="C15" s="79" t="s">
        <v>817</v>
      </c>
      <c r="D15" s="79" t="s">
        <v>2047</v>
      </c>
      <c r="E15" s="79" t="s">
        <v>2118</v>
      </c>
      <c r="F15" s="79" t="s">
        <v>1864</v>
      </c>
      <c r="G15" s="81">
        <v>0.25</v>
      </c>
      <c r="H15" s="82" t="s">
        <v>2119</v>
      </c>
      <c r="I15" s="81">
        <v>0.25</v>
      </c>
      <c r="J15" s="82" t="s">
        <v>2046</v>
      </c>
      <c r="K15" s="79" t="s">
        <v>1644</v>
      </c>
      <c r="L15" s="79" t="s">
        <v>1897</v>
      </c>
      <c r="M15" s="103"/>
      <c r="N15" s="103"/>
      <c r="O15" s="103"/>
      <c r="P15" s="103"/>
      <c r="Q15" s="103"/>
      <c r="R15" s="103"/>
      <c r="S15" s="103"/>
      <c r="T15" s="103"/>
      <c r="U15" s="103"/>
      <c r="V15" s="103"/>
      <c r="W15" s="103"/>
      <c r="X15" s="103"/>
    </row>
    <row r="16" spans="1:24" x14ac:dyDescent="0.25">
      <c r="A16" s="79" t="s">
        <v>959</v>
      </c>
      <c r="B16" s="80" t="s">
        <v>960</v>
      </c>
      <c r="C16" s="79" t="s">
        <v>817</v>
      </c>
      <c r="D16" s="79" t="s">
        <v>1892</v>
      </c>
      <c r="E16" s="79" t="s">
        <v>1980</v>
      </c>
      <c r="F16" s="79" t="s">
        <v>1864</v>
      </c>
      <c r="G16" s="81">
        <v>1</v>
      </c>
      <c r="H16" s="82" t="s">
        <v>2137</v>
      </c>
      <c r="I16" s="81">
        <v>0.84550000000000003</v>
      </c>
      <c r="J16" s="103" t="s">
        <v>850</v>
      </c>
      <c r="K16" s="79" t="s">
        <v>1643</v>
      </c>
      <c r="L16" s="79" t="s">
        <v>1897</v>
      </c>
      <c r="M16" s="103"/>
      <c r="N16" s="103"/>
      <c r="O16" s="103"/>
      <c r="P16" s="103"/>
      <c r="Q16" s="103"/>
      <c r="R16" s="103"/>
      <c r="S16" s="103"/>
      <c r="T16" s="103"/>
      <c r="U16" s="103"/>
      <c r="V16" s="103"/>
      <c r="W16" s="103"/>
      <c r="X16" s="103"/>
    </row>
    <row r="17" spans="1:24" x14ac:dyDescent="0.25">
      <c r="A17" s="79" t="s">
        <v>967</v>
      </c>
      <c r="B17" s="80" t="s">
        <v>968</v>
      </c>
      <c r="C17" s="79" t="s">
        <v>817</v>
      </c>
      <c r="D17" s="79" t="s">
        <v>2068</v>
      </c>
      <c r="E17" s="79" t="s">
        <v>2145</v>
      </c>
      <c r="F17" s="79" t="s">
        <v>1864</v>
      </c>
      <c r="G17" s="81">
        <v>0.89439999999999997</v>
      </c>
      <c r="H17" s="82" t="s">
        <v>2146</v>
      </c>
      <c r="I17" s="81">
        <v>0.89439999999999997</v>
      </c>
      <c r="J17" s="82" t="s">
        <v>2147</v>
      </c>
      <c r="K17" s="79" t="s">
        <v>1644</v>
      </c>
      <c r="L17" s="79" t="s">
        <v>1897</v>
      </c>
      <c r="M17" s="81">
        <v>0.9</v>
      </c>
      <c r="N17" s="82" t="s">
        <v>2148</v>
      </c>
      <c r="O17" s="81">
        <v>0.75</v>
      </c>
      <c r="P17" s="82" t="s">
        <v>2149</v>
      </c>
      <c r="Q17" s="79" t="s">
        <v>1644</v>
      </c>
      <c r="R17" s="79" t="s">
        <v>1998</v>
      </c>
      <c r="S17" s="103"/>
      <c r="T17" s="103"/>
      <c r="U17" s="103"/>
      <c r="V17" s="103"/>
      <c r="W17" s="103"/>
      <c r="X17" s="103"/>
    </row>
    <row r="18" spans="1:24" x14ac:dyDescent="0.25">
      <c r="A18" s="79" t="s">
        <v>969</v>
      </c>
      <c r="B18" s="80" t="s">
        <v>970</v>
      </c>
      <c r="C18" s="79" t="s">
        <v>817</v>
      </c>
      <c r="D18" s="79" t="s">
        <v>2064</v>
      </c>
      <c r="E18" s="79" t="s">
        <v>2150</v>
      </c>
      <c r="F18" s="79" t="s">
        <v>1864</v>
      </c>
      <c r="G18" s="81">
        <v>1</v>
      </c>
      <c r="H18" s="82" t="s">
        <v>2151</v>
      </c>
      <c r="I18" s="81">
        <v>1</v>
      </c>
      <c r="J18" s="82" t="s">
        <v>2152</v>
      </c>
      <c r="K18" s="79" t="s">
        <v>1644</v>
      </c>
      <c r="L18" s="79" t="s">
        <v>1889</v>
      </c>
      <c r="M18" s="103"/>
      <c r="N18" s="103"/>
      <c r="O18" s="103"/>
      <c r="P18" s="103"/>
      <c r="Q18" s="103"/>
      <c r="R18" s="103"/>
      <c r="S18" s="103"/>
      <c r="T18" s="103"/>
      <c r="U18" s="103"/>
      <c r="V18" s="103"/>
      <c r="W18" s="103"/>
      <c r="X18" s="103"/>
    </row>
    <row r="19" spans="1:24" x14ac:dyDescent="0.25">
      <c r="A19" s="79" t="s">
        <v>985</v>
      </c>
      <c r="B19" s="80" t="s">
        <v>986</v>
      </c>
      <c r="C19" s="79" t="s">
        <v>817</v>
      </c>
      <c r="D19" s="79" t="s">
        <v>1988</v>
      </c>
      <c r="E19" s="79" t="s">
        <v>2179</v>
      </c>
      <c r="F19" s="79" t="s">
        <v>1894</v>
      </c>
      <c r="G19" s="81">
        <v>0.5</v>
      </c>
      <c r="H19" s="82" t="s">
        <v>1996</v>
      </c>
      <c r="I19" s="81">
        <v>0.48799999999999999</v>
      </c>
      <c r="J19" s="82" t="s">
        <v>1901</v>
      </c>
      <c r="K19" s="79" t="s">
        <v>1644</v>
      </c>
      <c r="L19" s="79" t="s">
        <v>1897</v>
      </c>
      <c r="M19" s="81">
        <v>0.5</v>
      </c>
      <c r="N19" s="82" t="s">
        <v>1996</v>
      </c>
      <c r="O19" s="81">
        <v>0.48799999999999999</v>
      </c>
      <c r="P19" s="82" t="s">
        <v>1901</v>
      </c>
      <c r="Q19" s="79" t="s">
        <v>1644</v>
      </c>
      <c r="R19" s="79" t="s">
        <v>1897</v>
      </c>
      <c r="S19" s="103"/>
      <c r="T19" s="103"/>
      <c r="U19" s="103"/>
      <c r="V19" s="103"/>
      <c r="W19" s="103"/>
      <c r="X19" s="103"/>
    </row>
    <row r="20" spans="1:24" x14ac:dyDescent="0.25">
      <c r="A20" s="79" t="s">
        <v>987</v>
      </c>
      <c r="B20" s="80" t="s">
        <v>988</v>
      </c>
      <c r="C20" s="79" t="s">
        <v>817</v>
      </c>
      <c r="D20" s="79" t="s">
        <v>2180</v>
      </c>
      <c r="E20" s="79" t="s">
        <v>2181</v>
      </c>
      <c r="F20" s="79" t="s">
        <v>1864</v>
      </c>
      <c r="G20" s="81">
        <v>0.6</v>
      </c>
      <c r="H20" s="82" t="s">
        <v>2182</v>
      </c>
      <c r="I20" s="81">
        <v>0.4</v>
      </c>
      <c r="J20" s="82" t="s">
        <v>2183</v>
      </c>
      <c r="K20" s="79" t="s">
        <v>1644</v>
      </c>
      <c r="L20" s="79" t="s">
        <v>1897</v>
      </c>
      <c r="M20" s="160"/>
      <c r="N20" s="103"/>
      <c r="O20" s="160"/>
      <c r="P20" s="103"/>
      <c r="Q20" s="103"/>
      <c r="R20" s="103"/>
      <c r="S20" s="160"/>
      <c r="T20" s="103"/>
      <c r="U20" s="160"/>
      <c r="V20" s="103"/>
      <c r="W20" s="103"/>
      <c r="X20" s="103"/>
    </row>
    <row r="21" spans="1:24" x14ac:dyDescent="0.25">
      <c r="A21" s="79" t="s">
        <v>989</v>
      </c>
      <c r="B21" s="80" t="s">
        <v>990</v>
      </c>
      <c r="C21" s="79" t="s">
        <v>817</v>
      </c>
      <c r="D21" s="79" t="s">
        <v>2184</v>
      </c>
      <c r="E21" s="79" t="s">
        <v>2185</v>
      </c>
      <c r="F21" s="79" t="s">
        <v>1894</v>
      </c>
      <c r="G21" s="81">
        <v>1</v>
      </c>
      <c r="H21" s="82" t="s">
        <v>1895</v>
      </c>
      <c r="I21" s="81">
        <v>1</v>
      </c>
      <c r="J21" s="82" t="s">
        <v>2186</v>
      </c>
      <c r="K21" s="79" t="s">
        <v>1644</v>
      </c>
      <c r="L21" s="79" t="s">
        <v>2187</v>
      </c>
      <c r="M21" s="103"/>
      <c r="N21" s="161"/>
      <c r="O21" s="103"/>
      <c r="P21" s="161"/>
      <c r="Q21" s="103"/>
      <c r="R21" s="103"/>
      <c r="S21" s="160"/>
      <c r="T21" s="161"/>
      <c r="U21" s="103"/>
      <c r="V21" s="161"/>
      <c r="W21" s="103"/>
      <c r="X21" s="103"/>
    </row>
    <row r="22" spans="1:24" x14ac:dyDescent="0.25">
      <c r="A22" s="79" t="s">
        <v>991</v>
      </c>
      <c r="B22" s="80" t="s">
        <v>992</v>
      </c>
      <c r="C22" s="79" t="s">
        <v>817</v>
      </c>
      <c r="D22" s="79" t="s">
        <v>1909</v>
      </c>
      <c r="E22" s="79" t="s">
        <v>2188</v>
      </c>
      <c r="F22" s="79" t="s">
        <v>1864</v>
      </c>
      <c r="G22" s="81">
        <v>0.5</v>
      </c>
      <c r="H22" s="82" t="s">
        <v>2189</v>
      </c>
      <c r="I22" s="81">
        <v>0.5</v>
      </c>
      <c r="J22" s="82" t="s">
        <v>2190</v>
      </c>
      <c r="K22" s="79" t="s">
        <v>1644</v>
      </c>
      <c r="L22" s="79" t="s">
        <v>1897</v>
      </c>
      <c r="M22" s="103"/>
      <c r="N22" s="103"/>
      <c r="O22" s="103"/>
      <c r="P22" s="103"/>
      <c r="Q22" s="103"/>
      <c r="R22" s="103"/>
      <c r="S22" s="103"/>
      <c r="T22" s="103"/>
      <c r="U22" s="103"/>
      <c r="V22" s="103"/>
      <c r="W22" s="103"/>
      <c r="X22" s="103"/>
    </row>
    <row r="23" spans="1:24" x14ac:dyDescent="0.25">
      <c r="A23" s="79" t="s">
        <v>993</v>
      </c>
      <c r="B23" s="80" t="s">
        <v>994</v>
      </c>
      <c r="C23" s="79" t="s">
        <v>817</v>
      </c>
      <c r="D23" s="79" t="s">
        <v>2006</v>
      </c>
      <c r="E23" s="79" t="s">
        <v>2010</v>
      </c>
      <c r="F23" s="79" t="s">
        <v>2011</v>
      </c>
      <c r="G23" s="81">
        <v>0.3</v>
      </c>
      <c r="H23" s="82" t="s">
        <v>2191</v>
      </c>
      <c r="I23" s="81">
        <v>0.3</v>
      </c>
      <c r="J23" s="82" t="s">
        <v>2192</v>
      </c>
      <c r="K23" s="79" t="s">
        <v>1644</v>
      </c>
      <c r="L23" s="79" t="s">
        <v>1897</v>
      </c>
      <c r="M23" s="103"/>
      <c r="N23" s="103"/>
      <c r="O23" s="103"/>
      <c r="P23" s="103"/>
      <c r="Q23" s="103"/>
      <c r="R23" s="103"/>
      <c r="S23" s="103"/>
      <c r="T23" s="103"/>
      <c r="U23" s="103"/>
      <c r="V23" s="103"/>
      <c r="W23" s="103"/>
      <c r="X23" s="103"/>
    </row>
    <row r="24" spans="1:24" x14ac:dyDescent="0.25">
      <c r="A24" s="79" t="s">
        <v>1039</v>
      </c>
      <c r="B24" s="80" t="s">
        <v>1040</v>
      </c>
      <c r="C24" s="79" t="s">
        <v>817</v>
      </c>
      <c r="D24" s="79" t="s">
        <v>1898</v>
      </c>
      <c r="E24" s="79" t="s">
        <v>2254</v>
      </c>
      <c r="F24" s="79" t="s">
        <v>1864</v>
      </c>
      <c r="G24" s="81">
        <v>0.2</v>
      </c>
      <c r="H24" s="82" t="s">
        <v>2189</v>
      </c>
      <c r="I24" s="81">
        <v>0.2</v>
      </c>
      <c r="J24" s="82" t="s">
        <v>2255</v>
      </c>
      <c r="K24" s="79" t="s">
        <v>1644</v>
      </c>
      <c r="L24" s="79" t="s">
        <v>1897</v>
      </c>
      <c r="M24" s="160"/>
      <c r="N24" s="161"/>
      <c r="O24" s="160"/>
      <c r="P24" s="161"/>
      <c r="Q24" s="103"/>
      <c r="R24" s="103"/>
      <c r="S24" s="160"/>
      <c r="T24" s="161"/>
      <c r="U24" s="160"/>
      <c r="V24" s="161"/>
      <c r="W24" s="103"/>
      <c r="X24" s="103"/>
    </row>
    <row r="25" spans="1:24" x14ac:dyDescent="0.25">
      <c r="A25" s="79" t="s">
        <v>1041</v>
      </c>
      <c r="B25" s="80" t="s">
        <v>1042</v>
      </c>
      <c r="C25" s="79" t="s">
        <v>817</v>
      </c>
      <c r="D25" s="79" t="s">
        <v>1980</v>
      </c>
      <c r="E25" s="79" t="s">
        <v>2256</v>
      </c>
      <c r="F25" s="79" t="s">
        <v>1894</v>
      </c>
      <c r="G25" s="81">
        <v>1</v>
      </c>
      <c r="H25" s="82" t="s">
        <v>2257</v>
      </c>
      <c r="I25" s="81">
        <v>0.98509999999999998</v>
      </c>
      <c r="J25" s="82" t="s">
        <v>1935</v>
      </c>
      <c r="K25" s="79" t="s">
        <v>1643</v>
      </c>
      <c r="L25" s="79" t="s">
        <v>1897</v>
      </c>
      <c r="M25" s="103"/>
      <c r="N25" s="103"/>
      <c r="O25" s="103"/>
      <c r="P25" s="103"/>
      <c r="Q25" s="103"/>
      <c r="R25" s="103"/>
      <c r="S25" s="103"/>
      <c r="T25" s="103"/>
      <c r="U25" s="103"/>
      <c r="V25" s="103"/>
      <c r="W25" s="103"/>
      <c r="X25" s="103"/>
    </row>
    <row r="26" spans="1:24" x14ac:dyDescent="0.25">
      <c r="A26" s="79" t="s">
        <v>1049</v>
      </c>
      <c r="B26" s="80" t="s">
        <v>1050</v>
      </c>
      <c r="C26" s="79" t="s">
        <v>817</v>
      </c>
      <c r="D26" s="79" t="s">
        <v>2064</v>
      </c>
      <c r="E26" s="79" t="s">
        <v>2263</v>
      </c>
      <c r="F26" s="79" t="s">
        <v>1894</v>
      </c>
      <c r="G26" s="81">
        <v>0.5</v>
      </c>
      <c r="H26" s="82" t="s">
        <v>2264</v>
      </c>
      <c r="I26" s="81">
        <v>0.49</v>
      </c>
      <c r="J26" s="82" t="s">
        <v>2265</v>
      </c>
      <c r="K26" s="79" t="s">
        <v>1643</v>
      </c>
      <c r="L26" s="79" t="s">
        <v>1897</v>
      </c>
      <c r="M26" s="81">
        <v>0.3</v>
      </c>
      <c r="N26" s="82" t="s">
        <v>2266</v>
      </c>
      <c r="O26" s="81">
        <v>0.28999999999999998</v>
      </c>
      <c r="P26" s="103" t="s">
        <v>850</v>
      </c>
      <c r="Q26" s="79" t="s">
        <v>1643</v>
      </c>
      <c r="R26" s="79" t="s">
        <v>1897</v>
      </c>
      <c r="S26" s="103"/>
      <c r="T26" s="103"/>
      <c r="U26" s="103"/>
      <c r="V26" s="103"/>
      <c r="W26" s="103"/>
      <c r="X26" s="103"/>
    </row>
    <row r="27" spans="1:24" x14ac:dyDescent="0.25">
      <c r="A27" s="79" t="s">
        <v>1057</v>
      </c>
      <c r="B27" s="80" t="s">
        <v>1058</v>
      </c>
      <c r="C27" s="79" t="s">
        <v>817</v>
      </c>
      <c r="D27" s="79" t="s">
        <v>2277</v>
      </c>
      <c r="E27" s="79" t="s">
        <v>2278</v>
      </c>
      <c r="F27" s="79" t="s">
        <v>1864</v>
      </c>
      <c r="G27" s="160"/>
      <c r="H27" s="103"/>
      <c r="I27" s="160"/>
      <c r="J27" s="103"/>
      <c r="K27" s="103"/>
      <c r="L27" s="103"/>
      <c r="M27" s="160"/>
      <c r="N27" s="103"/>
      <c r="O27" s="160"/>
      <c r="P27" s="103"/>
      <c r="Q27" s="103"/>
      <c r="R27" s="103"/>
      <c r="S27" s="160"/>
      <c r="T27" s="103"/>
      <c r="U27" s="160"/>
      <c r="V27" s="103"/>
      <c r="W27" s="103"/>
      <c r="X27" s="103"/>
    </row>
    <row r="28" spans="1:24" x14ac:dyDescent="0.25">
      <c r="A28" s="79" t="s">
        <v>1071</v>
      </c>
      <c r="B28" s="80" t="s">
        <v>1072</v>
      </c>
      <c r="C28" s="79" t="s">
        <v>817</v>
      </c>
      <c r="D28" s="79" t="s">
        <v>1885</v>
      </c>
      <c r="E28" s="79" t="s">
        <v>2301</v>
      </c>
      <c r="F28" s="79" t="s">
        <v>2011</v>
      </c>
      <c r="G28" s="81">
        <v>1</v>
      </c>
      <c r="H28" s="82" t="s">
        <v>2302</v>
      </c>
      <c r="I28" s="81">
        <v>9.6389999999999993</v>
      </c>
      <c r="J28" s="82" t="s">
        <v>1935</v>
      </c>
      <c r="K28" s="79" t="s">
        <v>1643</v>
      </c>
      <c r="L28" s="79" t="s">
        <v>1897</v>
      </c>
      <c r="M28" s="160"/>
      <c r="N28" s="161"/>
      <c r="O28" s="160"/>
      <c r="P28" s="161"/>
      <c r="Q28" s="103"/>
      <c r="R28" s="103"/>
      <c r="S28" s="160"/>
      <c r="T28" s="161"/>
      <c r="U28" s="160"/>
      <c r="V28" s="161"/>
      <c r="W28" s="103"/>
      <c r="X28" s="103"/>
    </row>
    <row r="29" spans="1:24" x14ac:dyDescent="0.25">
      <c r="A29" s="79" t="s">
        <v>1083</v>
      </c>
      <c r="B29" s="80" t="s">
        <v>1084</v>
      </c>
      <c r="C29" s="79" t="s">
        <v>817</v>
      </c>
      <c r="D29" s="79" t="s">
        <v>2001</v>
      </c>
      <c r="E29" s="79" t="s">
        <v>2316</v>
      </c>
      <c r="F29" s="79" t="s">
        <v>1864</v>
      </c>
      <c r="G29" s="81">
        <v>1</v>
      </c>
      <c r="H29" s="82" t="s">
        <v>2317</v>
      </c>
      <c r="I29" s="81">
        <v>0.98809999999999998</v>
      </c>
      <c r="J29" s="82" t="s">
        <v>2318</v>
      </c>
      <c r="K29" s="79" t="s">
        <v>1644</v>
      </c>
      <c r="L29" s="79" t="s">
        <v>1889</v>
      </c>
      <c r="M29" s="81">
        <v>0.3</v>
      </c>
      <c r="N29" s="82" t="s">
        <v>2319</v>
      </c>
      <c r="O29" s="81">
        <v>0.19389999999999999</v>
      </c>
      <c r="P29" s="82" t="s">
        <v>1661</v>
      </c>
      <c r="Q29" s="79" t="s">
        <v>1643</v>
      </c>
      <c r="R29" s="79" t="s">
        <v>1889</v>
      </c>
      <c r="S29" s="103"/>
      <c r="T29" s="103"/>
      <c r="U29" s="103"/>
      <c r="V29" s="103"/>
      <c r="W29" s="103"/>
      <c r="X29" s="103"/>
    </row>
    <row r="30" spans="1:24" x14ac:dyDescent="0.25">
      <c r="A30" s="79" t="s">
        <v>1091</v>
      </c>
      <c r="B30" s="80" t="s">
        <v>1092</v>
      </c>
      <c r="C30" s="79" t="s">
        <v>817</v>
      </c>
      <c r="D30" s="79" t="s">
        <v>2205</v>
      </c>
      <c r="E30" s="79" t="s">
        <v>2327</v>
      </c>
      <c r="F30" s="79" t="s">
        <v>1864</v>
      </c>
      <c r="G30" s="81">
        <v>0.57999999999999996</v>
      </c>
      <c r="H30" s="82" t="s">
        <v>2328</v>
      </c>
      <c r="I30" s="81">
        <v>0</v>
      </c>
      <c r="J30" s="82" t="s">
        <v>2329</v>
      </c>
      <c r="K30" s="79" t="s">
        <v>1644</v>
      </c>
      <c r="L30" s="79" t="s">
        <v>1897</v>
      </c>
      <c r="M30" s="160"/>
      <c r="N30" s="103"/>
      <c r="O30" s="160"/>
      <c r="P30" s="103"/>
      <c r="Q30" s="103"/>
      <c r="R30" s="103"/>
      <c r="S30" s="160"/>
      <c r="T30" s="103"/>
      <c r="U30" s="160"/>
      <c r="V30" s="103"/>
      <c r="W30" s="103"/>
      <c r="X30" s="103"/>
    </row>
    <row r="31" spans="1:24" x14ac:dyDescent="0.25">
      <c r="A31" s="79" t="s">
        <v>1099</v>
      </c>
      <c r="B31" s="80" t="s">
        <v>1100</v>
      </c>
      <c r="C31" s="79" t="s">
        <v>817</v>
      </c>
      <c r="D31" s="79" t="s">
        <v>2334</v>
      </c>
      <c r="E31" s="79" t="s">
        <v>2335</v>
      </c>
      <c r="F31" s="79" t="s">
        <v>1894</v>
      </c>
      <c r="G31" s="81">
        <v>0.28000000000000003</v>
      </c>
      <c r="H31" s="82" t="s">
        <v>2336</v>
      </c>
      <c r="I31" s="81">
        <v>0.2767</v>
      </c>
      <c r="J31" s="82" t="s">
        <v>2186</v>
      </c>
      <c r="K31" s="79" t="s">
        <v>1644</v>
      </c>
      <c r="L31" s="79" t="s">
        <v>1897</v>
      </c>
      <c r="M31" s="103"/>
      <c r="N31" s="103"/>
      <c r="O31" s="103"/>
      <c r="P31" s="103"/>
      <c r="Q31" s="103"/>
      <c r="R31" s="103"/>
      <c r="S31" s="103"/>
      <c r="T31" s="103"/>
      <c r="U31" s="103"/>
      <c r="V31" s="103"/>
      <c r="W31" s="103"/>
      <c r="X31" s="103"/>
    </row>
    <row r="32" spans="1:24" x14ac:dyDescent="0.25">
      <c r="A32" s="79" t="s">
        <v>1101</v>
      </c>
      <c r="B32" s="80" t="s">
        <v>1102</v>
      </c>
      <c r="C32" s="79" t="s">
        <v>817</v>
      </c>
      <c r="D32" s="79" t="s">
        <v>1936</v>
      </c>
      <c r="E32" s="79" t="s">
        <v>2337</v>
      </c>
      <c r="F32" s="79" t="s">
        <v>1864</v>
      </c>
      <c r="G32" s="81">
        <v>0.87060000000000004</v>
      </c>
      <c r="H32" s="82" t="s">
        <v>2338</v>
      </c>
      <c r="I32" s="81">
        <v>0.9</v>
      </c>
      <c r="J32" s="82" t="s">
        <v>2339</v>
      </c>
      <c r="K32" s="79" t="s">
        <v>1644</v>
      </c>
      <c r="L32" s="79" t="s">
        <v>1897</v>
      </c>
      <c r="M32" s="160"/>
      <c r="N32" s="161"/>
      <c r="O32" s="160"/>
      <c r="P32" s="161"/>
      <c r="Q32" s="103"/>
      <c r="R32" s="103"/>
      <c r="S32" s="160"/>
      <c r="T32" s="161"/>
      <c r="U32" s="160"/>
      <c r="V32" s="161"/>
      <c r="W32" s="103"/>
      <c r="X32" s="103"/>
    </row>
    <row r="33" spans="1:24" x14ac:dyDescent="0.25">
      <c r="A33" s="79" t="s">
        <v>1149</v>
      </c>
      <c r="B33" s="80" t="s">
        <v>1150</v>
      </c>
      <c r="C33" s="79" t="s">
        <v>817</v>
      </c>
      <c r="D33" s="79" t="s">
        <v>1905</v>
      </c>
      <c r="E33" s="79" t="s">
        <v>2412</v>
      </c>
      <c r="F33" s="79" t="s">
        <v>2011</v>
      </c>
      <c r="G33" s="81">
        <v>1</v>
      </c>
      <c r="H33" s="82" t="s">
        <v>2210</v>
      </c>
      <c r="I33" s="81">
        <v>1</v>
      </c>
      <c r="J33" s="82" t="s">
        <v>2413</v>
      </c>
      <c r="K33" s="79" t="s">
        <v>1644</v>
      </c>
      <c r="L33" s="79" t="s">
        <v>1897</v>
      </c>
      <c r="M33" s="103"/>
      <c r="N33" s="103"/>
      <c r="O33" s="103"/>
      <c r="P33" s="103"/>
      <c r="Q33" s="103"/>
      <c r="R33" s="103"/>
      <c r="S33" s="103"/>
      <c r="T33" s="103"/>
      <c r="U33" s="103"/>
      <c r="V33" s="103"/>
      <c r="W33" s="103"/>
      <c r="X33" s="103"/>
    </row>
    <row r="34" spans="1:24" x14ac:dyDescent="0.25">
      <c r="A34" s="79" t="s">
        <v>1165</v>
      </c>
      <c r="B34" s="80" t="s">
        <v>1166</v>
      </c>
      <c r="C34" s="79" t="s">
        <v>817</v>
      </c>
      <c r="D34" s="79" t="s">
        <v>2120</v>
      </c>
      <c r="E34" s="79" t="s">
        <v>2427</v>
      </c>
      <c r="F34" s="79" t="s">
        <v>1864</v>
      </c>
      <c r="G34" s="81">
        <v>0.3</v>
      </c>
      <c r="H34" s="82" t="s">
        <v>2428</v>
      </c>
      <c r="I34" s="81">
        <v>0.29649999999999999</v>
      </c>
      <c r="J34" s="103" t="s">
        <v>850</v>
      </c>
      <c r="K34" s="79" t="s">
        <v>1643</v>
      </c>
      <c r="L34" s="79" t="s">
        <v>1897</v>
      </c>
      <c r="M34" s="160"/>
      <c r="N34" s="161"/>
      <c r="O34" s="160"/>
      <c r="P34" s="161"/>
      <c r="Q34" s="103"/>
      <c r="R34" s="103"/>
      <c r="S34" s="160"/>
      <c r="T34" s="161"/>
      <c r="U34" s="160"/>
      <c r="V34" s="161"/>
      <c r="W34" s="103"/>
      <c r="X34" s="103"/>
    </row>
    <row r="35" spans="1:24" x14ac:dyDescent="0.25">
      <c r="A35" s="79" t="s">
        <v>1195</v>
      </c>
      <c r="B35" s="80" t="s">
        <v>1196</v>
      </c>
      <c r="C35" s="79" t="s">
        <v>817</v>
      </c>
      <c r="D35" s="79" t="s">
        <v>2073</v>
      </c>
      <c r="E35" s="79" t="s">
        <v>2459</v>
      </c>
      <c r="F35" s="79" t="s">
        <v>2075</v>
      </c>
      <c r="G35" s="160"/>
      <c r="H35" s="103"/>
      <c r="I35" s="160"/>
      <c r="J35" s="103"/>
      <c r="K35" s="103"/>
      <c r="L35" s="103"/>
      <c r="M35" s="160"/>
      <c r="N35" s="103"/>
      <c r="O35" s="160"/>
      <c r="P35" s="103"/>
      <c r="Q35" s="103"/>
      <c r="R35" s="103"/>
      <c r="S35" s="160"/>
      <c r="T35" s="103"/>
      <c r="U35" s="160"/>
      <c r="V35" s="103"/>
      <c r="W35" s="103"/>
      <c r="X35" s="103"/>
    </row>
    <row r="36" spans="1:24" x14ac:dyDescent="0.25">
      <c r="A36" s="79" t="s">
        <v>1203</v>
      </c>
      <c r="B36" s="80" t="s">
        <v>1204</v>
      </c>
      <c r="C36" s="79" t="s">
        <v>817</v>
      </c>
      <c r="D36" s="79" t="s">
        <v>1964</v>
      </c>
      <c r="E36" s="79" t="s">
        <v>2467</v>
      </c>
      <c r="F36" s="79" t="s">
        <v>2011</v>
      </c>
      <c r="G36" s="160"/>
      <c r="H36" s="161"/>
      <c r="I36" s="160"/>
      <c r="J36" s="161"/>
      <c r="K36" s="103"/>
      <c r="L36" s="103"/>
      <c r="M36" s="160"/>
      <c r="N36" s="161"/>
      <c r="O36" s="160"/>
      <c r="P36" s="103"/>
      <c r="Q36" s="103"/>
      <c r="R36" s="103"/>
      <c r="S36" s="160"/>
      <c r="T36" s="161"/>
      <c r="U36" s="160"/>
      <c r="V36" s="161"/>
      <c r="W36" s="103"/>
      <c r="X36" s="103"/>
    </row>
    <row r="37" spans="1:24" x14ac:dyDescent="0.25">
      <c r="A37" s="79" t="s">
        <v>1205</v>
      </c>
      <c r="B37" s="80" t="s">
        <v>1206</v>
      </c>
      <c r="C37" s="79" t="s">
        <v>817</v>
      </c>
      <c r="D37" s="79" t="s">
        <v>2385</v>
      </c>
      <c r="E37" s="79" t="s">
        <v>2468</v>
      </c>
      <c r="F37" s="79" t="s">
        <v>2011</v>
      </c>
      <c r="G37" s="81">
        <v>1</v>
      </c>
      <c r="H37" s="82" t="s">
        <v>2469</v>
      </c>
      <c r="I37" s="81">
        <v>0.91</v>
      </c>
      <c r="J37" s="103" t="s">
        <v>850</v>
      </c>
      <c r="K37" s="79" t="s">
        <v>1643</v>
      </c>
      <c r="L37" s="79" t="s">
        <v>1897</v>
      </c>
      <c r="M37" s="103"/>
      <c r="N37" s="103"/>
      <c r="O37" s="103"/>
      <c r="P37" s="103"/>
      <c r="Q37" s="103"/>
      <c r="R37" s="103"/>
      <c r="S37" s="103"/>
      <c r="T37" s="161"/>
      <c r="U37" s="103"/>
      <c r="V37" s="103"/>
      <c r="W37" s="103"/>
      <c r="X37" s="103"/>
    </row>
    <row r="38" spans="1:24" x14ac:dyDescent="0.25">
      <c r="A38" s="79" t="s">
        <v>1209</v>
      </c>
      <c r="B38" s="80" t="s">
        <v>1210</v>
      </c>
      <c r="C38" s="79" t="s">
        <v>817</v>
      </c>
      <c r="D38" s="79" t="s">
        <v>2334</v>
      </c>
      <c r="E38" s="79" t="s">
        <v>2334</v>
      </c>
      <c r="F38" s="79" t="s">
        <v>1864</v>
      </c>
      <c r="G38" s="160"/>
      <c r="H38" s="161"/>
      <c r="I38" s="160"/>
      <c r="J38" s="103"/>
      <c r="K38" s="103"/>
      <c r="L38" s="103"/>
      <c r="M38" s="160"/>
      <c r="N38" s="103"/>
      <c r="O38" s="160"/>
      <c r="P38" s="103"/>
      <c r="Q38" s="103"/>
      <c r="R38" s="103"/>
      <c r="S38" s="160"/>
      <c r="T38" s="103"/>
      <c r="U38" s="160"/>
      <c r="V38" s="103"/>
      <c r="W38" s="103"/>
      <c r="X38" s="103"/>
    </row>
    <row r="39" spans="1:24" x14ac:dyDescent="0.25">
      <c r="A39" s="79" t="s">
        <v>1219</v>
      </c>
      <c r="B39" s="80" t="s">
        <v>1220</v>
      </c>
      <c r="C39" s="79" t="s">
        <v>817</v>
      </c>
      <c r="D39" s="79" t="s">
        <v>2259</v>
      </c>
      <c r="E39" s="79" t="s">
        <v>2481</v>
      </c>
      <c r="F39" s="79" t="s">
        <v>1894</v>
      </c>
      <c r="G39" s="160"/>
      <c r="H39" s="161"/>
      <c r="I39" s="160"/>
      <c r="J39" s="103"/>
      <c r="K39" s="103"/>
      <c r="L39" s="103"/>
      <c r="M39" s="103"/>
      <c r="N39" s="103"/>
      <c r="O39" s="103"/>
      <c r="P39" s="103"/>
      <c r="Q39" s="103"/>
      <c r="R39" s="103"/>
      <c r="S39" s="103"/>
      <c r="T39" s="103"/>
      <c r="U39" s="103"/>
      <c r="V39" s="103"/>
      <c r="W39" s="103"/>
      <c r="X39" s="103"/>
    </row>
    <row r="40" spans="1:24" x14ac:dyDescent="0.25">
      <c r="A40" s="79" t="s">
        <v>1225</v>
      </c>
      <c r="B40" s="80" t="s">
        <v>1226</v>
      </c>
      <c r="C40" s="79" t="s">
        <v>817</v>
      </c>
      <c r="D40" s="79" t="s">
        <v>2076</v>
      </c>
      <c r="E40" s="79" t="s">
        <v>2488</v>
      </c>
      <c r="F40" s="79" t="s">
        <v>1894</v>
      </c>
      <c r="G40" s="81">
        <v>0.99750000000000005</v>
      </c>
      <c r="H40" s="82" t="s">
        <v>2489</v>
      </c>
      <c r="I40" s="81">
        <v>1</v>
      </c>
      <c r="J40" s="82" t="s">
        <v>1661</v>
      </c>
      <c r="K40" s="79" t="s">
        <v>1643</v>
      </c>
      <c r="L40" s="79" t="s">
        <v>1897</v>
      </c>
      <c r="M40" s="103"/>
      <c r="N40" s="103"/>
      <c r="O40" s="103"/>
      <c r="P40" s="103"/>
      <c r="Q40" s="103"/>
      <c r="R40" s="103"/>
      <c r="S40" s="103"/>
      <c r="T40" s="103"/>
      <c r="U40" s="103"/>
      <c r="V40" s="103"/>
      <c r="W40" s="103"/>
      <c r="X40" s="103"/>
    </row>
    <row r="41" spans="1:24" x14ac:dyDescent="0.25">
      <c r="A41" s="79" t="s">
        <v>1237</v>
      </c>
      <c r="B41" s="80" t="s">
        <v>1238</v>
      </c>
      <c r="C41" s="79" t="s">
        <v>817</v>
      </c>
      <c r="D41" s="79" t="s">
        <v>1944</v>
      </c>
      <c r="E41" s="79" t="s">
        <v>2502</v>
      </c>
      <c r="F41" s="79" t="s">
        <v>1894</v>
      </c>
      <c r="G41" s="81">
        <v>1</v>
      </c>
      <c r="H41" s="82" t="s">
        <v>2138</v>
      </c>
      <c r="I41" s="81">
        <v>0.93389999999999995</v>
      </c>
      <c r="J41" s="82" t="s">
        <v>1966</v>
      </c>
      <c r="K41" s="79" t="s">
        <v>1644</v>
      </c>
      <c r="L41" s="79" t="s">
        <v>1897</v>
      </c>
      <c r="M41" s="81">
        <v>1.2339</v>
      </c>
      <c r="N41" s="82" t="s">
        <v>2503</v>
      </c>
      <c r="O41" s="81">
        <v>1.2324999999999999</v>
      </c>
      <c r="P41" s="82" t="s">
        <v>2431</v>
      </c>
      <c r="Q41" s="79" t="s">
        <v>1644</v>
      </c>
      <c r="R41" s="79" t="s">
        <v>1897</v>
      </c>
      <c r="S41" s="103"/>
      <c r="T41" s="103"/>
      <c r="U41" s="103"/>
      <c r="V41" s="103"/>
      <c r="W41" s="103"/>
      <c r="X41" s="103"/>
    </row>
    <row r="42" spans="1:24" x14ac:dyDescent="0.25">
      <c r="A42" s="79" t="s">
        <v>1243</v>
      </c>
      <c r="B42" s="80" t="s">
        <v>1244</v>
      </c>
      <c r="C42" s="79" t="s">
        <v>817</v>
      </c>
      <c r="D42" s="79" t="s">
        <v>2507</v>
      </c>
      <c r="E42" s="79" t="s">
        <v>2508</v>
      </c>
      <c r="F42" s="79" t="s">
        <v>88</v>
      </c>
      <c r="G42" s="160"/>
      <c r="H42" s="103"/>
      <c r="I42" s="160"/>
      <c r="J42" s="103"/>
      <c r="K42" s="103"/>
      <c r="L42" s="103"/>
      <c r="M42" s="160"/>
      <c r="N42" s="103"/>
      <c r="O42" s="160"/>
      <c r="P42" s="103"/>
      <c r="Q42" s="103"/>
      <c r="R42" s="103"/>
      <c r="S42" s="160"/>
      <c r="T42" s="103"/>
      <c r="U42" s="160"/>
      <c r="V42" s="103"/>
      <c r="W42" s="103"/>
      <c r="X42" s="103"/>
    </row>
    <row r="43" spans="1:24" x14ac:dyDescent="0.25">
      <c r="A43" s="79" t="s">
        <v>1259</v>
      </c>
      <c r="B43" s="80" t="s">
        <v>1260</v>
      </c>
      <c r="C43" s="79" t="s">
        <v>817</v>
      </c>
      <c r="D43" s="79" t="s">
        <v>1980</v>
      </c>
      <c r="E43" s="79" t="s">
        <v>2521</v>
      </c>
      <c r="F43" s="79" t="s">
        <v>2011</v>
      </c>
      <c r="G43" s="81">
        <v>1</v>
      </c>
      <c r="H43" s="82" t="s">
        <v>2522</v>
      </c>
      <c r="I43" s="81">
        <v>0.89049999999999996</v>
      </c>
      <c r="J43" s="103" t="s">
        <v>850</v>
      </c>
      <c r="K43" s="79" t="s">
        <v>1643</v>
      </c>
      <c r="L43" s="79" t="s">
        <v>1897</v>
      </c>
      <c r="M43" s="160"/>
      <c r="N43" s="161"/>
      <c r="O43" s="160"/>
      <c r="P43" s="161"/>
      <c r="Q43" s="103"/>
      <c r="R43" s="103"/>
      <c r="S43" s="160"/>
      <c r="T43" s="161"/>
      <c r="U43" s="160"/>
      <c r="V43" s="161"/>
      <c r="W43" s="103"/>
      <c r="X43" s="103"/>
    </row>
    <row r="44" spans="1:24" x14ac:dyDescent="0.25">
      <c r="A44" s="79" t="s">
        <v>1275</v>
      </c>
      <c r="B44" s="80" t="s">
        <v>1276</v>
      </c>
      <c r="C44" s="79" t="s">
        <v>817</v>
      </c>
      <c r="D44" s="79" t="s">
        <v>2088</v>
      </c>
      <c r="E44" s="79" t="s">
        <v>2536</v>
      </c>
      <c r="F44" s="79" t="s">
        <v>1864</v>
      </c>
      <c r="G44" s="81">
        <v>0.05</v>
      </c>
      <c r="H44" s="82" t="s">
        <v>2537</v>
      </c>
      <c r="I44" s="81">
        <v>0</v>
      </c>
      <c r="J44" s="82" t="s">
        <v>2538</v>
      </c>
      <c r="K44" s="79" t="s">
        <v>1644</v>
      </c>
      <c r="L44" s="79" t="s">
        <v>1897</v>
      </c>
      <c r="M44" s="160"/>
      <c r="N44" s="161"/>
      <c r="O44" s="160"/>
      <c r="P44" s="103"/>
      <c r="Q44" s="103"/>
      <c r="R44" s="103"/>
      <c r="S44" s="160"/>
      <c r="T44" s="103"/>
      <c r="U44" s="160"/>
      <c r="V44" s="103"/>
      <c r="W44" s="103"/>
      <c r="X44" s="103"/>
    </row>
    <row r="45" spans="1:24" x14ac:dyDescent="0.25">
      <c r="A45" s="79" t="s">
        <v>1283</v>
      </c>
      <c r="B45" s="80" t="s">
        <v>1284</v>
      </c>
      <c r="C45" s="79" t="s">
        <v>817</v>
      </c>
      <c r="D45" s="79" t="s">
        <v>2043</v>
      </c>
      <c r="E45" s="79" t="s">
        <v>2541</v>
      </c>
      <c r="F45" s="79" t="s">
        <v>1894</v>
      </c>
      <c r="G45" s="81">
        <v>0.8</v>
      </c>
      <c r="H45" s="82" t="s">
        <v>2542</v>
      </c>
      <c r="I45" s="81">
        <v>0.8</v>
      </c>
      <c r="J45" s="82" t="s">
        <v>2543</v>
      </c>
      <c r="K45" s="79" t="s">
        <v>1644</v>
      </c>
      <c r="L45" s="79" t="s">
        <v>1897</v>
      </c>
      <c r="M45" s="160"/>
      <c r="N45" s="161"/>
      <c r="O45" s="103"/>
      <c r="P45" s="103"/>
      <c r="Q45" s="103"/>
      <c r="R45" s="103"/>
      <c r="S45" s="103"/>
      <c r="T45" s="103"/>
      <c r="U45" s="103"/>
      <c r="V45" s="103"/>
      <c r="W45" s="103"/>
      <c r="X45" s="103"/>
    </row>
    <row r="46" spans="1:24" x14ac:dyDescent="0.25">
      <c r="A46" s="79" t="s">
        <v>1303</v>
      </c>
      <c r="B46" s="80" t="s">
        <v>1304</v>
      </c>
      <c r="C46" s="79" t="s">
        <v>817</v>
      </c>
      <c r="D46" s="79" t="s">
        <v>1999</v>
      </c>
      <c r="E46" s="79" t="s">
        <v>2569</v>
      </c>
      <c r="F46" s="79" t="s">
        <v>1894</v>
      </c>
      <c r="G46" s="81">
        <v>1</v>
      </c>
      <c r="H46" s="82" t="s">
        <v>1955</v>
      </c>
      <c r="I46" s="81">
        <v>0.84830000000000005</v>
      </c>
      <c r="J46" s="82" t="s">
        <v>2570</v>
      </c>
      <c r="K46" s="79" t="s">
        <v>1643</v>
      </c>
      <c r="L46" s="79" t="s">
        <v>1889</v>
      </c>
      <c r="M46" s="81">
        <v>0.3</v>
      </c>
      <c r="N46" s="82" t="s">
        <v>2571</v>
      </c>
      <c r="O46" s="81">
        <v>0.84830000000000005</v>
      </c>
      <c r="P46" s="103" t="s">
        <v>850</v>
      </c>
      <c r="Q46" s="79" t="s">
        <v>1643</v>
      </c>
      <c r="R46" s="79" t="s">
        <v>1889</v>
      </c>
      <c r="S46" s="160"/>
      <c r="T46" s="103"/>
      <c r="U46" s="160"/>
      <c r="V46" s="103"/>
      <c r="W46" s="103"/>
      <c r="X46" s="103"/>
    </row>
    <row r="47" spans="1:24" x14ac:dyDescent="0.25">
      <c r="A47" s="79" t="s">
        <v>1319</v>
      </c>
      <c r="B47" s="80" t="s">
        <v>1320</v>
      </c>
      <c r="C47" s="79" t="s">
        <v>817</v>
      </c>
      <c r="D47" s="79" t="s">
        <v>1936</v>
      </c>
      <c r="E47" s="79" t="s">
        <v>2590</v>
      </c>
      <c r="F47" s="79" t="s">
        <v>1864</v>
      </c>
      <c r="G47" s="81">
        <v>1</v>
      </c>
      <c r="H47" s="82" t="s">
        <v>2134</v>
      </c>
      <c r="I47" s="81">
        <v>1</v>
      </c>
      <c r="J47" s="82" t="s">
        <v>2591</v>
      </c>
      <c r="K47" s="79" t="s">
        <v>1644</v>
      </c>
      <c r="L47" s="79" t="s">
        <v>1897</v>
      </c>
      <c r="M47" s="160"/>
      <c r="N47" s="161"/>
      <c r="O47" s="160"/>
      <c r="P47" s="161"/>
      <c r="Q47" s="103"/>
      <c r="R47" s="103"/>
      <c r="S47" s="160"/>
      <c r="T47" s="161"/>
      <c r="U47" s="160"/>
      <c r="V47" s="161"/>
      <c r="W47" s="103"/>
      <c r="X47" s="103"/>
    </row>
    <row r="48" spans="1:24" x14ac:dyDescent="0.25">
      <c r="A48" s="79" t="s">
        <v>1333</v>
      </c>
      <c r="B48" s="80" t="s">
        <v>1334</v>
      </c>
      <c r="C48" s="79" t="s">
        <v>817</v>
      </c>
      <c r="D48" s="79" t="s">
        <v>2088</v>
      </c>
      <c r="E48" s="79" t="s">
        <v>2088</v>
      </c>
      <c r="F48" s="79" t="s">
        <v>1864</v>
      </c>
      <c r="G48" s="81">
        <v>0.5</v>
      </c>
      <c r="H48" s="82" t="s">
        <v>2610</v>
      </c>
      <c r="I48" s="81">
        <v>0.5</v>
      </c>
      <c r="J48" s="82" t="s">
        <v>2611</v>
      </c>
      <c r="K48" s="79" t="s">
        <v>1644</v>
      </c>
      <c r="L48" s="79" t="s">
        <v>1897</v>
      </c>
      <c r="M48" s="103"/>
      <c r="N48" s="103"/>
      <c r="O48" s="103"/>
      <c r="P48" s="103"/>
      <c r="Q48" s="103"/>
      <c r="R48" s="103"/>
      <c r="S48" s="103"/>
      <c r="T48" s="103"/>
      <c r="U48" s="103"/>
      <c r="V48" s="103"/>
      <c r="W48" s="103"/>
      <c r="X48" s="103"/>
    </row>
    <row r="49" spans="1:24" x14ac:dyDescent="0.25">
      <c r="A49" s="79" t="s">
        <v>1337</v>
      </c>
      <c r="B49" s="80" t="s">
        <v>1338</v>
      </c>
      <c r="C49" s="79" t="s">
        <v>817</v>
      </c>
      <c r="D49" s="79" t="s">
        <v>2073</v>
      </c>
      <c r="E49" s="79" t="s">
        <v>2259</v>
      </c>
      <c r="F49" s="79" t="s">
        <v>2075</v>
      </c>
      <c r="G49" s="160"/>
      <c r="H49" s="103"/>
      <c r="I49" s="160"/>
      <c r="J49" s="103"/>
      <c r="K49" s="103"/>
      <c r="L49" s="103"/>
      <c r="M49" s="160"/>
      <c r="N49" s="103"/>
      <c r="O49" s="160"/>
      <c r="P49" s="103"/>
      <c r="Q49" s="103"/>
      <c r="R49" s="103"/>
      <c r="S49" s="103"/>
      <c r="T49" s="103"/>
      <c r="U49" s="103"/>
      <c r="V49" s="103"/>
      <c r="W49" s="103"/>
      <c r="X49" s="103"/>
    </row>
    <row r="50" spans="1:24" x14ac:dyDescent="0.25">
      <c r="A50" s="79" t="s">
        <v>1359</v>
      </c>
      <c r="B50" s="80" t="s">
        <v>1360</v>
      </c>
      <c r="C50" s="79" t="s">
        <v>817</v>
      </c>
      <c r="D50" s="79" t="s">
        <v>2382</v>
      </c>
      <c r="E50" s="79" t="s">
        <v>2640</v>
      </c>
      <c r="F50" s="79" t="s">
        <v>1864</v>
      </c>
      <c r="G50" s="81">
        <v>1</v>
      </c>
      <c r="H50" s="82" t="s">
        <v>2641</v>
      </c>
      <c r="I50" s="81">
        <v>0.83850000000000002</v>
      </c>
      <c r="J50" s="103" t="s">
        <v>850</v>
      </c>
      <c r="K50" s="79" t="s">
        <v>1643</v>
      </c>
      <c r="L50" s="79" t="s">
        <v>1897</v>
      </c>
      <c r="M50" s="160"/>
      <c r="N50" s="103"/>
      <c r="O50" s="160"/>
      <c r="P50" s="161"/>
      <c r="Q50" s="103"/>
      <c r="R50" s="103"/>
      <c r="S50" s="160"/>
      <c r="T50" s="103"/>
      <c r="U50" s="160"/>
      <c r="V50" s="103"/>
      <c r="W50" s="103"/>
      <c r="X50" s="103"/>
    </row>
    <row r="51" spans="1:24" x14ac:dyDescent="0.25">
      <c r="A51" s="79" t="s">
        <v>1397</v>
      </c>
      <c r="B51" s="80" t="s">
        <v>1398</v>
      </c>
      <c r="C51" s="79" t="s">
        <v>817</v>
      </c>
      <c r="D51" s="79" t="s">
        <v>1952</v>
      </c>
      <c r="E51" s="79" t="s">
        <v>2697</v>
      </c>
      <c r="F51" s="79" t="s">
        <v>1864</v>
      </c>
      <c r="G51" s="81">
        <v>0.2949</v>
      </c>
      <c r="H51" s="82" t="s">
        <v>2698</v>
      </c>
      <c r="I51" s="81">
        <v>0.3</v>
      </c>
      <c r="J51" s="103" t="s">
        <v>850</v>
      </c>
      <c r="K51" s="79" t="s">
        <v>1643</v>
      </c>
      <c r="L51" s="79" t="s">
        <v>1897</v>
      </c>
      <c r="M51" s="160"/>
      <c r="N51" s="161"/>
      <c r="O51" s="160"/>
      <c r="P51" s="161"/>
      <c r="Q51" s="103"/>
      <c r="R51" s="103"/>
      <c r="S51" s="160"/>
      <c r="T51" s="161"/>
      <c r="U51" s="160"/>
      <c r="V51" s="161"/>
      <c r="W51" s="103"/>
      <c r="X51" s="103"/>
    </row>
    <row r="52" spans="1:24" x14ac:dyDescent="0.25">
      <c r="A52" s="79" t="s">
        <v>1407</v>
      </c>
      <c r="B52" s="80" t="s">
        <v>1408</v>
      </c>
      <c r="C52" s="79" t="s">
        <v>817</v>
      </c>
      <c r="D52" s="79" t="s">
        <v>2292</v>
      </c>
      <c r="E52" s="79" t="s">
        <v>2709</v>
      </c>
      <c r="F52" s="79" t="s">
        <v>2075</v>
      </c>
      <c r="G52" s="160"/>
      <c r="H52" s="103"/>
      <c r="I52" s="160"/>
      <c r="J52" s="103"/>
      <c r="K52" s="103"/>
      <c r="L52" s="103"/>
      <c r="M52" s="160"/>
      <c r="N52" s="103"/>
      <c r="O52" s="160"/>
      <c r="P52" s="103"/>
      <c r="Q52" s="103"/>
      <c r="R52" s="103"/>
      <c r="S52" s="160"/>
      <c r="T52" s="103"/>
      <c r="U52" s="160"/>
      <c r="V52" s="103"/>
      <c r="W52" s="103"/>
      <c r="X52" s="103"/>
    </row>
    <row r="53" spans="1:24" x14ac:dyDescent="0.25">
      <c r="A53" s="79" t="s">
        <v>1409</v>
      </c>
      <c r="B53" s="80" t="s">
        <v>1410</v>
      </c>
      <c r="C53" s="79" t="s">
        <v>817</v>
      </c>
      <c r="D53" s="79" t="s">
        <v>2415</v>
      </c>
      <c r="E53" s="79" t="s">
        <v>2710</v>
      </c>
      <c r="F53" s="79" t="s">
        <v>1864</v>
      </c>
      <c r="G53" s="160"/>
      <c r="H53" s="103"/>
      <c r="I53" s="160"/>
      <c r="J53" s="103"/>
      <c r="K53" s="103"/>
      <c r="L53" s="103"/>
      <c r="M53" s="160"/>
      <c r="N53" s="103"/>
      <c r="O53" s="160"/>
      <c r="P53" s="103"/>
      <c r="Q53" s="103"/>
      <c r="R53" s="103"/>
      <c r="S53" s="160"/>
      <c r="T53" s="103"/>
      <c r="U53" s="160"/>
      <c r="V53" s="103"/>
      <c r="W53" s="103"/>
      <c r="X53" s="103"/>
    </row>
    <row r="54" spans="1:24" x14ac:dyDescent="0.25">
      <c r="A54" s="79" t="s">
        <v>1413</v>
      </c>
      <c r="B54" s="80" t="s">
        <v>1414</v>
      </c>
      <c r="C54" s="79" t="s">
        <v>817</v>
      </c>
      <c r="D54" s="79" t="s">
        <v>2091</v>
      </c>
      <c r="E54" s="79" t="s">
        <v>2693</v>
      </c>
      <c r="F54" s="79" t="s">
        <v>1864</v>
      </c>
      <c r="G54" s="81">
        <v>0.5</v>
      </c>
      <c r="H54" s="82" t="s">
        <v>2714</v>
      </c>
      <c r="I54" s="81">
        <v>0.5</v>
      </c>
      <c r="J54" s="82" t="s">
        <v>2108</v>
      </c>
      <c r="K54" s="79" t="s">
        <v>1644</v>
      </c>
      <c r="L54" s="79" t="s">
        <v>1897</v>
      </c>
      <c r="M54" s="103"/>
      <c r="N54" s="103"/>
      <c r="O54" s="103"/>
      <c r="P54" s="103"/>
      <c r="Q54" s="103"/>
      <c r="R54" s="103"/>
      <c r="S54" s="103"/>
      <c r="T54" s="103"/>
      <c r="U54" s="103"/>
      <c r="V54" s="103"/>
      <c r="W54" s="103"/>
      <c r="X54" s="103"/>
    </row>
    <row r="55" spans="1:24" x14ac:dyDescent="0.25">
      <c r="A55" s="79" t="s">
        <v>1415</v>
      </c>
      <c r="B55" s="80" t="s">
        <v>1416</v>
      </c>
      <c r="C55" s="79" t="s">
        <v>817</v>
      </c>
      <c r="D55" s="79" t="s">
        <v>2292</v>
      </c>
      <c r="E55" s="79" t="s">
        <v>2715</v>
      </c>
      <c r="F55" s="79" t="s">
        <v>1864</v>
      </c>
      <c r="G55" s="160"/>
      <c r="H55" s="103"/>
      <c r="I55" s="160"/>
      <c r="J55" s="103"/>
      <c r="K55" s="103"/>
      <c r="L55" s="103"/>
      <c r="M55" s="160"/>
      <c r="N55" s="103"/>
      <c r="O55" s="160"/>
      <c r="P55" s="103"/>
      <c r="Q55" s="103"/>
      <c r="R55" s="103"/>
      <c r="S55" s="160"/>
      <c r="T55" s="103"/>
      <c r="U55" s="160"/>
      <c r="V55" s="103"/>
      <c r="W55" s="103"/>
      <c r="X55" s="103"/>
    </row>
    <row r="56" spans="1:24" x14ac:dyDescent="0.25">
      <c r="A56" s="79" t="s">
        <v>1459</v>
      </c>
      <c r="B56" s="80" t="s">
        <v>1460</v>
      </c>
      <c r="C56" s="79" t="s">
        <v>817</v>
      </c>
      <c r="D56" s="79" t="s">
        <v>1964</v>
      </c>
      <c r="E56" s="79" t="s">
        <v>2519</v>
      </c>
      <c r="F56" s="79" t="s">
        <v>2011</v>
      </c>
      <c r="G56" s="81">
        <v>0.5</v>
      </c>
      <c r="H56" s="82" t="s">
        <v>2767</v>
      </c>
      <c r="I56" s="81">
        <v>0.5</v>
      </c>
      <c r="J56" s="103" t="s">
        <v>850</v>
      </c>
      <c r="K56" s="79" t="s">
        <v>1643</v>
      </c>
      <c r="L56" s="79" t="s">
        <v>1897</v>
      </c>
      <c r="M56" s="81">
        <v>0.5</v>
      </c>
      <c r="N56" s="82" t="s">
        <v>2768</v>
      </c>
      <c r="O56" s="81">
        <v>0.4597</v>
      </c>
      <c r="P56" s="103" t="s">
        <v>850</v>
      </c>
      <c r="Q56" s="79" t="s">
        <v>1643</v>
      </c>
      <c r="R56" s="79" t="s">
        <v>1897</v>
      </c>
      <c r="S56" s="160"/>
      <c r="T56" s="161"/>
      <c r="U56" s="160"/>
      <c r="V56" s="103"/>
      <c r="W56" s="103"/>
      <c r="X56" s="103"/>
    </row>
    <row r="57" spans="1:24" x14ac:dyDescent="0.25">
      <c r="A57" s="79" t="s">
        <v>1465</v>
      </c>
      <c r="B57" s="80" t="s">
        <v>1466</v>
      </c>
      <c r="C57" s="79" t="s">
        <v>817</v>
      </c>
      <c r="D57" s="79" t="s">
        <v>1930</v>
      </c>
      <c r="E57" s="79" t="s">
        <v>2775</v>
      </c>
      <c r="F57" s="79" t="s">
        <v>1864</v>
      </c>
      <c r="G57" s="81">
        <v>0.5</v>
      </c>
      <c r="H57" s="82" t="s">
        <v>2358</v>
      </c>
      <c r="I57" s="81">
        <v>0.5</v>
      </c>
      <c r="J57" s="82" t="s">
        <v>2198</v>
      </c>
      <c r="K57" s="79" t="s">
        <v>1644</v>
      </c>
      <c r="L57" s="79" t="s">
        <v>1897</v>
      </c>
      <c r="M57" s="160"/>
      <c r="N57" s="161"/>
      <c r="O57" s="160"/>
      <c r="P57" s="161"/>
      <c r="Q57" s="103"/>
      <c r="R57" s="103"/>
      <c r="S57" s="160"/>
      <c r="T57" s="161"/>
      <c r="U57" s="160"/>
      <c r="V57" s="161"/>
      <c r="W57" s="103"/>
      <c r="X57" s="103"/>
    </row>
    <row r="58" spans="1:24" x14ac:dyDescent="0.25">
      <c r="A58" s="79" t="s">
        <v>1476</v>
      </c>
      <c r="B58" s="80" t="s">
        <v>1477</v>
      </c>
      <c r="C58" s="79" t="s">
        <v>817</v>
      </c>
      <c r="D58" s="79" t="s">
        <v>1970</v>
      </c>
      <c r="E58" s="79" t="s">
        <v>2049</v>
      </c>
      <c r="F58" s="79" t="s">
        <v>2011</v>
      </c>
      <c r="G58" s="81">
        <v>0.3</v>
      </c>
      <c r="H58" s="82" t="s">
        <v>2362</v>
      </c>
      <c r="I58" s="81">
        <v>0.3</v>
      </c>
      <c r="J58" s="103" t="s">
        <v>850</v>
      </c>
      <c r="K58" s="79" t="s">
        <v>1643</v>
      </c>
      <c r="L58" s="79" t="s">
        <v>1889</v>
      </c>
      <c r="M58" s="81">
        <v>1.4</v>
      </c>
      <c r="N58" s="82" t="s">
        <v>2783</v>
      </c>
      <c r="O58" s="81">
        <v>1.4</v>
      </c>
      <c r="P58" s="82" t="s">
        <v>2784</v>
      </c>
      <c r="Q58" s="79" t="s">
        <v>1644</v>
      </c>
      <c r="R58" s="79" t="s">
        <v>1889</v>
      </c>
      <c r="S58" s="103"/>
      <c r="T58" s="103"/>
      <c r="U58" s="103"/>
      <c r="V58" s="103"/>
      <c r="W58" s="103"/>
      <c r="X58" s="103"/>
    </row>
    <row r="59" spans="1:24" x14ac:dyDescent="0.25">
      <c r="A59" s="79" t="s">
        <v>1478</v>
      </c>
      <c r="B59" s="80" t="s">
        <v>1479</v>
      </c>
      <c r="C59" s="79" t="s">
        <v>817</v>
      </c>
      <c r="D59" s="79" t="s">
        <v>2001</v>
      </c>
      <c r="E59" s="79" t="s">
        <v>2785</v>
      </c>
      <c r="F59" s="79" t="s">
        <v>1864</v>
      </c>
      <c r="G59" s="81">
        <v>0.4</v>
      </c>
      <c r="H59" s="82" t="s">
        <v>2786</v>
      </c>
      <c r="I59" s="81">
        <v>0.4</v>
      </c>
      <c r="J59" s="82" t="s">
        <v>2779</v>
      </c>
      <c r="K59" s="79" t="s">
        <v>1644</v>
      </c>
      <c r="L59" s="79" t="s">
        <v>1889</v>
      </c>
      <c r="M59" s="103" t="s">
        <v>850</v>
      </c>
      <c r="N59" s="103" t="s">
        <v>850</v>
      </c>
      <c r="O59" s="103" t="s">
        <v>850</v>
      </c>
      <c r="P59" s="103" t="s">
        <v>850</v>
      </c>
      <c r="Q59" s="103"/>
      <c r="R59" s="103" t="s">
        <v>850</v>
      </c>
      <c r="S59" s="103"/>
      <c r="T59" s="103"/>
      <c r="U59" s="103"/>
      <c r="V59" s="103"/>
      <c r="W59" s="103"/>
      <c r="X59" s="103"/>
    </row>
    <row r="60" spans="1:24" x14ac:dyDescent="0.25">
      <c r="A60" s="79" t="s">
        <v>1500</v>
      </c>
      <c r="B60" s="80" t="s">
        <v>1501</v>
      </c>
      <c r="C60" s="79" t="s">
        <v>817</v>
      </c>
      <c r="D60" s="79" t="s">
        <v>1999</v>
      </c>
      <c r="E60" s="79" t="s">
        <v>2812</v>
      </c>
      <c r="F60" s="79" t="s">
        <v>1894</v>
      </c>
      <c r="G60" s="81">
        <v>0.7</v>
      </c>
      <c r="H60" s="82" t="s">
        <v>2257</v>
      </c>
      <c r="I60" s="81">
        <v>0.65910000000000002</v>
      </c>
      <c r="J60" s="82" t="s">
        <v>2813</v>
      </c>
      <c r="K60" s="79" t="s">
        <v>1644</v>
      </c>
      <c r="L60" s="79" t="s">
        <v>1897</v>
      </c>
      <c r="M60" s="103" t="s">
        <v>850</v>
      </c>
      <c r="N60" s="103" t="s">
        <v>850</v>
      </c>
      <c r="O60" s="103" t="s">
        <v>850</v>
      </c>
      <c r="P60" s="103" t="s">
        <v>850</v>
      </c>
      <c r="Q60" s="103"/>
      <c r="R60" s="103" t="s">
        <v>850</v>
      </c>
      <c r="S60" s="103"/>
      <c r="T60" s="103"/>
      <c r="U60" s="103"/>
      <c r="V60" s="103"/>
      <c r="W60" s="103"/>
      <c r="X60" s="103"/>
    </row>
    <row r="61" spans="1:24" x14ac:dyDescent="0.25">
      <c r="A61" s="79" t="s">
        <v>1518</v>
      </c>
      <c r="B61" s="80" t="s">
        <v>1519</v>
      </c>
      <c r="C61" s="79" t="s">
        <v>817</v>
      </c>
      <c r="D61" s="79" t="s">
        <v>1905</v>
      </c>
      <c r="E61" s="79" t="s">
        <v>2831</v>
      </c>
      <c r="F61" s="79" t="s">
        <v>1864</v>
      </c>
      <c r="G61" s="81">
        <v>0.95699999999999996</v>
      </c>
      <c r="H61" s="82" t="s">
        <v>2832</v>
      </c>
      <c r="I61" s="81">
        <v>0.95699999999999996</v>
      </c>
      <c r="J61" s="82" t="s">
        <v>2833</v>
      </c>
      <c r="K61" s="79" t="s">
        <v>1644</v>
      </c>
      <c r="L61" s="79" t="s">
        <v>1889</v>
      </c>
      <c r="M61" s="103" t="s">
        <v>850</v>
      </c>
      <c r="N61" s="103" t="s">
        <v>850</v>
      </c>
      <c r="O61" s="103" t="s">
        <v>850</v>
      </c>
      <c r="P61" s="103" t="s">
        <v>850</v>
      </c>
      <c r="Q61" s="103"/>
      <c r="R61" s="103" t="s">
        <v>850</v>
      </c>
      <c r="S61" s="103"/>
      <c r="T61" s="103"/>
      <c r="U61" s="103"/>
      <c r="V61" s="103"/>
      <c r="W61" s="103"/>
      <c r="X61" s="103"/>
    </row>
    <row r="62" spans="1:24" x14ac:dyDescent="0.25">
      <c r="A62" s="79" t="s">
        <v>1536</v>
      </c>
      <c r="B62" s="80" t="s">
        <v>1537</v>
      </c>
      <c r="C62" s="79" t="s">
        <v>817</v>
      </c>
      <c r="D62" s="79" t="s">
        <v>2120</v>
      </c>
      <c r="E62" s="79" t="s">
        <v>2852</v>
      </c>
      <c r="F62" s="79" t="s">
        <v>1864</v>
      </c>
      <c r="G62" s="160"/>
      <c r="H62" s="103"/>
      <c r="I62" s="160"/>
      <c r="J62" s="103"/>
      <c r="K62" s="103"/>
      <c r="L62" s="103"/>
      <c r="M62" s="160"/>
      <c r="N62" s="103"/>
      <c r="O62" s="160"/>
      <c r="P62" s="103"/>
      <c r="Q62" s="103"/>
      <c r="R62" s="103"/>
      <c r="S62" s="160"/>
      <c r="T62" s="103"/>
      <c r="U62" s="160"/>
      <c r="V62" s="103"/>
      <c r="W62" s="103"/>
      <c r="X62" s="103"/>
    </row>
    <row r="63" spans="1:24" x14ac:dyDescent="0.25">
      <c r="A63" s="79" t="s">
        <v>1548</v>
      </c>
      <c r="B63" s="80" t="s">
        <v>1549</v>
      </c>
      <c r="C63" s="79" t="s">
        <v>817</v>
      </c>
      <c r="D63" s="79" t="s">
        <v>1999</v>
      </c>
      <c r="E63" s="79" t="s">
        <v>2865</v>
      </c>
      <c r="F63" s="79" t="s">
        <v>1864</v>
      </c>
      <c r="G63" s="81">
        <v>1</v>
      </c>
      <c r="H63" s="82" t="s">
        <v>2016</v>
      </c>
      <c r="I63" s="81">
        <v>1</v>
      </c>
      <c r="J63" s="82" t="s">
        <v>2866</v>
      </c>
      <c r="K63" s="79" t="s">
        <v>1644</v>
      </c>
      <c r="L63" s="79" t="s">
        <v>1897</v>
      </c>
      <c r="M63" s="160"/>
      <c r="N63" s="161"/>
      <c r="O63" s="160"/>
      <c r="P63" s="161"/>
      <c r="Q63" s="103"/>
      <c r="R63" s="103"/>
      <c r="S63" s="160"/>
      <c r="T63" s="161"/>
      <c r="U63" s="160"/>
      <c r="V63" s="161"/>
      <c r="W63" s="103"/>
      <c r="X63" s="103"/>
    </row>
    <row r="64" spans="1:24" x14ac:dyDescent="0.25">
      <c r="A64" s="79" t="s">
        <v>1554</v>
      </c>
      <c r="B64" s="80" t="s">
        <v>1555</v>
      </c>
      <c r="C64" s="79" t="s">
        <v>817</v>
      </c>
      <c r="D64" s="79" t="s">
        <v>2017</v>
      </c>
      <c r="E64" s="79" t="s">
        <v>2871</v>
      </c>
      <c r="F64" s="79" t="s">
        <v>88</v>
      </c>
      <c r="G64" s="81">
        <v>1</v>
      </c>
      <c r="H64" s="82" t="s">
        <v>2552</v>
      </c>
      <c r="I64" s="81">
        <v>1</v>
      </c>
      <c r="J64" s="103" t="s">
        <v>850</v>
      </c>
      <c r="K64" s="79" t="s">
        <v>1644</v>
      </c>
      <c r="L64" s="79" t="s">
        <v>1897</v>
      </c>
      <c r="M64" s="81">
        <v>1</v>
      </c>
      <c r="N64" s="82" t="s">
        <v>2251</v>
      </c>
      <c r="O64" s="81">
        <v>1</v>
      </c>
      <c r="P64" s="82" t="s">
        <v>2177</v>
      </c>
      <c r="Q64" s="79" t="s">
        <v>1644</v>
      </c>
      <c r="R64" s="79" t="s">
        <v>1897</v>
      </c>
      <c r="S64" s="103"/>
      <c r="T64" s="103"/>
      <c r="U64" s="103"/>
      <c r="V64" s="103"/>
      <c r="W64" s="103"/>
      <c r="X64" s="103"/>
    </row>
    <row r="65" spans="1:24" x14ac:dyDescent="0.25">
      <c r="A65" s="79" t="s">
        <v>1556</v>
      </c>
      <c r="B65" s="80" t="s">
        <v>1557</v>
      </c>
      <c r="C65" s="79" t="s">
        <v>817</v>
      </c>
      <c r="D65" s="79" t="s">
        <v>2076</v>
      </c>
      <c r="E65" s="79" t="s">
        <v>2872</v>
      </c>
      <c r="F65" s="79" t="s">
        <v>1894</v>
      </c>
      <c r="G65" s="81">
        <v>1</v>
      </c>
      <c r="H65" s="82" t="s">
        <v>2873</v>
      </c>
      <c r="I65" s="81">
        <v>0.99460000000000004</v>
      </c>
      <c r="J65" s="103" t="s">
        <v>850</v>
      </c>
      <c r="K65" s="79" t="s">
        <v>1643</v>
      </c>
      <c r="L65" s="79" t="s">
        <v>1897</v>
      </c>
      <c r="M65" s="160"/>
      <c r="N65" s="103"/>
      <c r="O65" s="160"/>
      <c r="P65" s="103"/>
      <c r="Q65" s="103"/>
      <c r="R65" s="103"/>
      <c r="S65" s="160"/>
      <c r="T65" s="103"/>
      <c r="U65" s="160"/>
      <c r="V65" s="103"/>
      <c r="W65" s="103"/>
      <c r="X65" s="103"/>
    </row>
    <row r="66" spans="1:24" x14ac:dyDescent="0.25">
      <c r="A66" s="79" t="s">
        <v>1558</v>
      </c>
      <c r="B66" s="80" t="s">
        <v>1559</v>
      </c>
      <c r="C66" s="79" t="s">
        <v>817</v>
      </c>
      <c r="D66" s="79" t="s">
        <v>2382</v>
      </c>
      <c r="E66" s="79" t="s">
        <v>2874</v>
      </c>
      <c r="F66" s="79" t="s">
        <v>2075</v>
      </c>
      <c r="G66" s="103" t="s">
        <v>850</v>
      </c>
      <c r="H66" s="103"/>
      <c r="I66" s="103"/>
      <c r="J66" s="103"/>
      <c r="K66" s="103"/>
      <c r="L66" s="103"/>
      <c r="M66" s="103"/>
      <c r="N66" s="103"/>
      <c r="O66" s="103"/>
      <c r="P66" s="103"/>
      <c r="Q66" s="103"/>
      <c r="R66" s="103"/>
      <c r="S66" s="103"/>
      <c r="T66" s="103"/>
      <c r="U66" s="103"/>
      <c r="V66" s="103"/>
      <c r="W66" s="103"/>
      <c r="X66" s="103"/>
    </row>
    <row r="67" spans="1:24" x14ac:dyDescent="0.25">
      <c r="A67" s="79" t="s">
        <v>1568</v>
      </c>
      <c r="B67" s="80" t="s">
        <v>1569</v>
      </c>
      <c r="C67" s="79" t="s">
        <v>817</v>
      </c>
      <c r="D67" s="79" t="s">
        <v>2064</v>
      </c>
      <c r="E67" s="79" t="s">
        <v>2883</v>
      </c>
      <c r="F67" s="79" t="s">
        <v>1864</v>
      </c>
      <c r="G67" s="81">
        <v>0.54500000000000004</v>
      </c>
      <c r="H67" s="82" t="s">
        <v>2884</v>
      </c>
      <c r="I67" s="81">
        <v>0</v>
      </c>
      <c r="J67" s="103" t="s">
        <v>850</v>
      </c>
      <c r="K67" s="79" t="s">
        <v>1644</v>
      </c>
      <c r="L67" s="103" t="s">
        <v>850</v>
      </c>
      <c r="M67" s="160"/>
      <c r="N67" s="103"/>
      <c r="O67" s="160"/>
      <c r="P67" s="103"/>
      <c r="Q67" s="103"/>
      <c r="R67" s="103"/>
      <c r="S67" s="160"/>
      <c r="T67" s="103"/>
      <c r="U67" s="160"/>
      <c r="V67" s="103"/>
      <c r="W67" s="103"/>
      <c r="X67" s="103"/>
    </row>
    <row r="68" spans="1:24" x14ac:dyDescent="0.25">
      <c r="A68" s="79" t="s">
        <v>1580</v>
      </c>
      <c r="B68" s="80" t="s">
        <v>1581</v>
      </c>
      <c r="C68" s="79" t="s">
        <v>817</v>
      </c>
      <c r="D68" s="79" t="s">
        <v>1976</v>
      </c>
      <c r="E68" s="79" t="s">
        <v>2897</v>
      </c>
      <c r="F68" s="79" t="s">
        <v>1864</v>
      </c>
      <c r="G68" s="81">
        <v>0.8</v>
      </c>
      <c r="H68" s="82" t="s">
        <v>2116</v>
      </c>
      <c r="I68" s="81">
        <v>0.8</v>
      </c>
      <c r="J68" s="82" t="s">
        <v>2898</v>
      </c>
      <c r="K68" s="79" t="s">
        <v>1644</v>
      </c>
      <c r="L68" s="79" t="s">
        <v>1897</v>
      </c>
      <c r="M68" s="81">
        <v>0.43</v>
      </c>
      <c r="N68" s="82" t="s">
        <v>2899</v>
      </c>
      <c r="O68" s="81">
        <v>0.43</v>
      </c>
      <c r="P68" s="82" t="s">
        <v>2900</v>
      </c>
      <c r="Q68" s="79" t="s">
        <v>1644</v>
      </c>
      <c r="R68" s="79" t="s">
        <v>1998</v>
      </c>
      <c r="S68" s="81">
        <v>0</v>
      </c>
      <c r="T68" s="82" t="s">
        <v>2116</v>
      </c>
      <c r="U68" s="81">
        <v>0.4</v>
      </c>
      <c r="V68" s="82" t="s">
        <v>2898</v>
      </c>
      <c r="W68" s="79" t="s">
        <v>1644</v>
      </c>
      <c r="X68" s="79" t="s">
        <v>1897</v>
      </c>
    </row>
    <row r="69" spans="1:24" x14ac:dyDescent="0.25">
      <c r="A69" s="79" t="s">
        <v>1592</v>
      </c>
      <c r="B69" s="80" t="s">
        <v>1593</v>
      </c>
      <c r="C69" s="79" t="s">
        <v>817</v>
      </c>
      <c r="D69" s="79" t="s">
        <v>2207</v>
      </c>
      <c r="E69" s="79" t="s">
        <v>2913</v>
      </c>
      <c r="F69" s="79" t="s">
        <v>1864</v>
      </c>
      <c r="G69" s="81">
        <v>1.5</v>
      </c>
      <c r="H69" s="82" t="s">
        <v>2500</v>
      </c>
      <c r="I69" s="81">
        <v>0.44950000000000001</v>
      </c>
      <c r="J69" s="82" t="s">
        <v>2914</v>
      </c>
      <c r="K69" s="79" t="s">
        <v>1644</v>
      </c>
      <c r="L69" s="79" t="s">
        <v>1897</v>
      </c>
      <c r="M69" s="160"/>
      <c r="N69" s="161"/>
      <c r="O69" s="160"/>
      <c r="P69" s="161"/>
      <c r="Q69" s="103"/>
      <c r="R69" s="103"/>
      <c r="S69" s="160"/>
      <c r="T69" s="161"/>
      <c r="U69" s="160"/>
      <c r="V69" s="161"/>
      <c r="W69" s="103"/>
      <c r="X69" s="103"/>
    </row>
    <row r="70" spans="1:24" x14ac:dyDescent="0.25">
      <c r="A70" s="79" t="s">
        <v>1600</v>
      </c>
      <c r="B70" s="80" t="s">
        <v>1601</v>
      </c>
      <c r="C70" s="79" t="s">
        <v>817</v>
      </c>
      <c r="D70" s="79" t="s">
        <v>2120</v>
      </c>
      <c r="E70" s="79" t="s">
        <v>2921</v>
      </c>
      <c r="F70" s="79" t="s">
        <v>1894</v>
      </c>
      <c r="G70" s="81">
        <v>0.75</v>
      </c>
      <c r="H70" s="82" t="s">
        <v>2462</v>
      </c>
      <c r="I70" s="81">
        <v>0.62439999999999996</v>
      </c>
      <c r="J70" s="103" t="s">
        <v>850</v>
      </c>
      <c r="K70" s="79" t="s">
        <v>1643</v>
      </c>
      <c r="L70" s="79" t="s">
        <v>1897</v>
      </c>
      <c r="M70" s="103" t="s">
        <v>850</v>
      </c>
      <c r="N70" s="103" t="s">
        <v>850</v>
      </c>
      <c r="O70" s="103" t="s">
        <v>850</v>
      </c>
      <c r="P70" s="103" t="s">
        <v>850</v>
      </c>
      <c r="Q70" s="103"/>
      <c r="R70" s="103" t="s">
        <v>850</v>
      </c>
      <c r="S70" s="103"/>
      <c r="T70" s="103"/>
      <c r="U70" s="103"/>
      <c r="V70" s="103"/>
      <c r="W70" s="103"/>
      <c r="X70" s="103"/>
    </row>
    <row r="71" spans="1:24" x14ac:dyDescent="0.25">
      <c r="A71" s="83" t="s">
        <v>796</v>
      </c>
      <c r="B71" s="84" t="s">
        <v>797</v>
      </c>
      <c r="C71" s="83" t="s">
        <v>798</v>
      </c>
      <c r="D71" s="83" t="s">
        <v>1885</v>
      </c>
      <c r="E71" s="83" t="s">
        <v>1886</v>
      </c>
      <c r="F71" s="83" t="s">
        <v>1864</v>
      </c>
      <c r="G71" s="85">
        <v>0.75</v>
      </c>
      <c r="H71" s="86" t="s">
        <v>1887</v>
      </c>
      <c r="I71" s="85">
        <v>0.54810000000000003</v>
      </c>
      <c r="J71" s="86" t="s">
        <v>1888</v>
      </c>
      <c r="K71" s="83" t="s">
        <v>1643</v>
      </c>
      <c r="L71" s="83" t="s">
        <v>1889</v>
      </c>
      <c r="M71" s="85">
        <v>0.2</v>
      </c>
      <c r="N71" s="86" t="s">
        <v>1890</v>
      </c>
      <c r="O71" s="85">
        <v>0.19239999999999999</v>
      </c>
      <c r="P71" s="86" t="s">
        <v>1891</v>
      </c>
      <c r="Q71" s="83" t="s">
        <v>1644</v>
      </c>
      <c r="R71" s="83" t="s">
        <v>1889</v>
      </c>
      <c r="S71" s="160"/>
      <c r="T71" s="161"/>
      <c r="U71" s="160"/>
      <c r="V71" s="161"/>
      <c r="W71" s="103"/>
      <c r="X71" s="103"/>
    </row>
    <row r="72" spans="1:24" x14ac:dyDescent="0.25">
      <c r="A72" s="83" t="s">
        <v>827</v>
      </c>
      <c r="B72" s="84" t="s">
        <v>828</v>
      </c>
      <c r="C72" s="83" t="s">
        <v>798</v>
      </c>
      <c r="D72" s="83" t="s">
        <v>1936</v>
      </c>
      <c r="E72" s="83" t="s">
        <v>1937</v>
      </c>
      <c r="F72" s="83" t="s">
        <v>1894</v>
      </c>
      <c r="G72" s="85">
        <v>1.2213000000000001</v>
      </c>
      <c r="H72" s="86" t="s">
        <v>1900</v>
      </c>
      <c r="I72" s="85">
        <v>1.25</v>
      </c>
      <c r="J72" s="86" t="s">
        <v>1938</v>
      </c>
      <c r="K72" s="83" t="s">
        <v>1644</v>
      </c>
      <c r="L72" s="83" t="s">
        <v>1897</v>
      </c>
      <c r="M72" s="103" t="s">
        <v>850</v>
      </c>
      <c r="N72" s="103" t="s">
        <v>850</v>
      </c>
      <c r="O72" s="103" t="s">
        <v>850</v>
      </c>
      <c r="P72" s="103" t="s">
        <v>850</v>
      </c>
      <c r="Q72" s="103"/>
      <c r="R72" s="103" t="s">
        <v>850</v>
      </c>
      <c r="S72" s="103"/>
      <c r="T72" s="103"/>
      <c r="U72" s="103"/>
      <c r="V72" s="103"/>
      <c r="W72" s="103"/>
      <c r="X72" s="103"/>
    </row>
    <row r="73" spans="1:24" x14ac:dyDescent="0.25">
      <c r="A73" s="83" t="s">
        <v>838</v>
      </c>
      <c r="B73" s="84" t="s">
        <v>839</v>
      </c>
      <c r="C73" s="83" t="s">
        <v>798</v>
      </c>
      <c r="D73" s="83" t="s">
        <v>1952</v>
      </c>
      <c r="E73" s="83" t="s">
        <v>1953</v>
      </c>
      <c r="F73" s="83" t="s">
        <v>1864</v>
      </c>
      <c r="G73" s="85">
        <v>0.75</v>
      </c>
      <c r="H73" s="86" t="s">
        <v>1954</v>
      </c>
      <c r="I73" s="85">
        <v>0.63360000000000005</v>
      </c>
      <c r="J73" s="86" t="s">
        <v>1661</v>
      </c>
      <c r="K73" s="83" t="s">
        <v>1643</v>
      </c>
      <c r="L73" s="83" t="s">
        <v>1897</v>
      </c>
      <c r="M73" s="85">
        <v>0.5</v>
      </c>
      <c r="N73" s="86" t="s">
        <v>1955</v>
      </c>
      <c r="O73" s="85">
        <v>0.44919999999999999</v>
      </c>
      <c r="P73" s="86"/>
      <c r="Q73" s="83" t="s">
        <v>1643</v>
      </c>
      <c r="R73" s="83" t="s">
        <v>1897</v>
      </c>
      <c r="S73" s="160"/>
      <c r="T73" s="161"/>
      <c r="U73" s="160"/>
      <c r="V73" s="161"/>
      <c r="W73" s="103"/>
      <c r="X73" s="103"/>
    </row>
    <row r="74" spans="1:24" x14ac:dyDescent="0.25">
      <c r="A74" s="83" t="s">
        <v>842</v>
      </c>
      <c r="B74" s="84" t="s">
        <v>843</v>
      </c>
      <c r="C74" s="83" t="s">
        <v>798</v>
      </c>
      <c r="D74" s="83" t="s">
        <v>1905</v>
      </c>
      <c r="E74" s="83" t="s">
        <v>1959</v>
      </c>
      <c r="F74" s="83" t="s">
        <v>1864</v>
      </c>
      <c r="G74" s="85">
        <v>0.6</v>
      </c>
      <c r="H74" s="86" t="s">
        <v>1960</v>
      </c>
      <c r="I74" s="85">
        <v>0.6</v>
      </c>
      <c r="J74" s="86" t="s">
        <v>1961</v>
      </c>
      <c r="K74" s="83" t="s">
        <v>1644</v>
      </c>
      <c r="L74" s="83" t="s">
        <v>1897</v>
      </c>
      <c r="M74" s="160"/>
      <c r="N74" s="103"/>
      <c r="O74" s="160"/>
      <c r="P74" s="103"/>
      <c r="Q74" s="103"/>
      <c r="R74" s="103"/>
      <c r="S74" s="160"/>
      <c r="T74" s="103"/>
      <c r="U74" s="160"/>
      <c r="V74" s="103"/>
      <c r="W74" s="103"/>
      <c r="X74" s="103"/>
    </row>
    <row r="75" spans="1:24" x14ac:dyDescent="0.25">
      <c r="A75" s="83" t="s">
        <v>853</v>
      </c>
      <c r="B75" s="84" t="s">
        <v>854</v>
      </c>
      <c r="C75" s="83" t="s">
        <v>798</v>
      </c>
      <c r="D75" s="83" t="s">
        <v>1970</v>
      </c>
      <c r="E75" s="83" t="s">
        <v>1971</v>
      </c>
      <c r="F75" s="83" t="s">
        <v>1894</v>
      </c>
      <c r="G75" s="85">
        <v>0.9</v>
      </c>
      <c r="H75" s="86" t="s">
        <v>1972</v>
      </c>
      <c r="I75" s="85">
        <v>0.9</v>
      </c>
      <c r="J75" s="86" t="s">
        <v>1973</v>
      </c>
      <c r="K75" s="83" t="s">
        <v>1643</v>
      </c>
      <c r="L75" s="83" t="s">
        <v>1897</v>
      </c>
      <c r="M75" s="103"/>
      <c r="N75" s="103"/>
      <c r="O75" s="103"/>
      <c r="P75" s="103"/>
      <c r="Q75" s="103"/>
      <c r="R75" s="103"/>
      <c r="S75" s="103"/>
      <c r="T75" s="103"/>
      <c r="U75" s="103"/>
      <c r="V75" s="103"/>
      <c r="W75" s="103"/>
      <c r="X75" s="103"/>
    </row>
    <row r="76" spans="1:24" x14ac:dyDescent="0.25">
      <c r="A76" s="83" t="s">
        <v>857</v>
      </c>
      <c r="B76" s="84" t="s">
        <v>858</v>
      </c>
      <c r="C76" s="83" t="s">
        <v>798</v>
      </c>
      <c r="D76" s="83" t="s">
        <v>1976</v>
      </c>
      <c r="E76" s="83" t="s">
        <v>1977</v>
      </c>
      <c r="F76" s="83" t="s">
        <v>1894</v>
      </c>
      <c r="G76" s="85">
        <v>0.99570000000000003</v>
      </c>
      <c r="H76" s="86" t="s">
        <v>1978</v>
      </c>
      <c r="I76" s="85">
        <v>0.99229999999999996</v>
      </c>
      <c r="J76" s="86" t="s">
        <v>1979</v>
      </c>
      <c r="K76" s="83" t="s">
        <v>1644</v>
      </c>
      <c r="L76" s="83" t="s">
        <v>1897</v>
      </c>
      <c r="M76" s="103"/>
      <c r="N76" s="103"/>
      <c r="O76" s="103"/>
      <c r="P76" s="103"/>
      <c r="Q76" s="103"/>
      <c r="R76" s="103"/>
      <c r="S76" s="103"/>
      <c r="T76" s="103"/>
      <c r="U76" s="103"/>
      <c r="V76" s="103"/>
      <c r="W76" s="103"/>
      <c r="X76" s="103"/>
    </row>
    <row r="77" spans="1:24" x14ac:dyDescent="0.25">
      <c r="A77" s="83" t="s">
        <v>881</v>
      </c>
      <c r="B77" s="84" t="s">
        <v>882</v>
      </c>
      <c r="C77" s="83" t="s">
        <v>798</v>
      </c>
      <c r="D77" s="83" t="s">
        <v>2017</v>
      </c>
      <c r="E77" s="83" t="s">
        <v>2018</v>
      </c>
      <c r="F77" s="83" t="s">
        <v>88</v>
      </c>
      <c r="G77" s="85">
        <v>1</v>
      </c>
      <c r="H77" s="86" t="s">
        <v>804</v>
      </c>
      <c r="I77" s="85">
        <v>1</v>
      </c>
      <c r="J77" s="103" t="s">
        <v>850</v>
      </c>
      <c r="K77" s="83" t="s">
        <v>1643</v>
      </c>
      <c r="L77" s="83" t="s">
        <v>1897</v>
      </c>
      <c r="M77" s="160"/>
      <c r="N77" s="103"/>
      <c r="O77" s="160"/>
      <c r="P77" s="103"/>
      <c r="Q77" s="103"/>
      <c r="R77" s="103"/>
      <c r="S77" s="160"/>
      <c r="T77" s="103"/>
      <c r="U77" s="160"/>
      <c r="V77" s="103"/>
      <c r="W77" s="103"/>
      <c r="X77" s="103"/>
    </row>
    <row r="78" spans="1:24" x14ac:dyDescent="0.25">
      <c r="A78" s="83" t="s">
        <v>903</v>
      </c>
      <c r="B78" s="84" t="s">
        <v>904</v>
      </c>
      <c r="C78" s="83" t="s">
        <v>798</v>
      </c>
      <c r="D78" s="83" t="s">
        <v>2001</v>
      </c>
      <c r="E78" s="83" t="s">
        <v>2047</v>
      </c>
      <c r="F78" s="83" t="s">
        <v>88</v>
      </c>
      <c r="G78" s="85">
        <v>1</v>
      </c>
      <c r="H78" s="86" t="s">
        <v>2048</v>
      </c>
      <c r="I78" s="85">
        <v>0.72440000000000004</v>
      </c>
      <c r="J78" s="103" t="s">
        <v>850</v>
      </c>
      <c r="K78" s="83" t="s">
        <v>1643</v>
      </c>
      <c r="L78" s="83" t="s">
        <v>1897</v>
      </c>
      <c r="M78" s="85">
        <v>0.98609999999999998</v>
      </c>
      <c r="N78" s="86" t="s">
        <v>1907</v>
      </c>
      <c r="O78" s="85">
        <v>1</v>
      </c>
      <c r="P78" s="86" t="s">
        <v>2038</v>
      </c>
      <c r="Q78" s="83" t="s">
        <v>1644</v>
      </c>
      <c r="R78" s="83" t="s">
        <v>1897</v>
      </c>
      <c r="S78" s="103"/>
      <c r="T78" s="103"/>
      <c r="U78" s="103"/>
      <c r="V78" s="103"/>
      <c r="W78" s="103"/>
      <c r="X78" s="103"/>
    </row>
    <row r="79" spans="1:24" x14ac:dyDescent="0.25">
      <c r="A79" s="83" t="s">
        <v>909</v>
      </c>
      <c r="B79" s="84" t="s">
        <v>910</v>
      </c>
      <c r="C79" s="83" t="s">
        <v>798</v>
      </c>
      <c r="D79" s="83" t="s">
        <v>1898</v>
      </c>
      <c r="E79" s="83" t="s">
        <v>2057</v>
      </c>
      <c r="F79" s="83" t="s">
        <v>88</v>
      </c>
      <c r="G79" s="85">
        <v>0.2</v>
      </c>
      <c r="H79" s="86" t="s">
        <v>2058</v>
      </c>
      <c r="I79" s="85">
        <v>0.02</v>
      </c>
      <c r="J79" s="86" t="s">
        <v>2059</v>
      </c>
      <c r="K79" s="83" t="s">
        <v>1644</v>
      </c>
      <c r="L79" s="83" t="s">
        <v>1897</v>
      </c>
      <c r="M79" s="85">
        <v>0.2</v>
      </c>
      <c r="N79" s="86" t="s">
        <v>2060</v>
      </c>
      <c r="O79" s="85">
        <v>0.2</v>
      </c>
      <c r="P79" s="86" t="s">
        <v>2059</v>
      </c>
      <c r="Q79" s="83" t="s">
        <v>1644</v>
      </c>
      <c r="R79" s="83" t="s">
        <v>1897</v>
      </c>
      <c r="S79" s="85">
        <v>0.2</v>
      </c>
      <c r="T79" s="86" t="s">
        <v>2060</v>
      </c>
      <c r="U79" s="85">
        <v>0.2</v>
      </c>
      <c r="V79" s="86" t="s">
        <v>2059</v>
      </c>
      <c r="W79" s="83" t="s">
        <v>1644</v>
      </c>
      <c r="X79" s="83" t="s">
        <v>1897</v>
      </c>
    </row>
    <row r="80" spans="1:24" x14ac:dyDescent="0.25">
      <c r="A80" s="83" t="s">
        <v>921</v>
      </c>
      <c r="B80" s="84" t="s">
        <v>922</v>
      </c>
      <c r="C80" s="83" t="s">
        <v>798</v>
      </c>
      <c r="D80" s="83" t="s">
        <v>2076</v>
      </c>
      <c r="E80" s="83" t="s">
        <v>2077</v>
      </c>
      <c r="F80" s="83" t="s">
        <v>1864</v>
      </c>
      <c r="G80" s="85">
        <v>0.75</v>
      </c>
      <c r="H80" s="86" t="s">
        <v>2078</v>
      </c>
      <c r="I80" s="85">
        <v>0.75</v>
      </c>
      <c r="J80" s="103" t="s">
        <v>850</v>
      </c>
      <c r="K80" s="83" t="s">
        <v>1643</v>
      </c>
      <c r="L80" s="83" t="s">
        <v>1897</v>
      </c>
      <c r="M80" s="103"/>
      <c r="N80" s="103"/>
      <c r="O80" s="103"/>
      <c r="P80" s="103"/>
      <c r="Q80" s="103"/>
      <c r="R80" s="103"/>
      <c r="S80" s="103"/>
      <c r="T80" s="103"/>
      <c r="U80" s="103"/>
      <c r="V80" s="103"/>
      <c r="W80" s="103"/>
      <c r="X80" s="103"/>
    </row>
    <row r="81" spans="1:24" x14ac:dyDescent="0.25">
      <c r="A81" s="83" t="s">
        <v>963</v>
      </c>
      <c r="B81" s="84" t="s">
        <v>964</v>
      </c>
      <c r="C81" s="83" t="s">
        <v>798</v>
      </c>
      <c r="D81" s="83" t="s">
        <v>2140</v>
      </c>
      <c r="E81" s="83" t="s">
        <v>2141</v>
      </c>
      <c r="F81" s="83" t="s">
        <v>1894</v>
      </c>
      <c r="G81" s="85">
        <v>1</v>
      </c>
      <c r="H81" s="86" t="s">
        <v>2134</v>
      </c>
      <c r="I81" s="85">
        <v>1</v>
      </c>
      <c r="J81" s="86" t="s">
        <v>1947</v>
      </c>
      <c r="K81" s="83" t="s">
        <v>1644</v>
      </c>
      <c r="L81" s="83" t="s">
        <v>1897</v>
      </c>
      <c r="M81" s="160"/>
      <c r="N81" s="103"/>
      <c r="O81" s="160"/>
      <c r="P81" s="103"/>
      <c r="Q81" s="103"/>
      <c r="R81" s="103"/>
      <c r="S81" s="160"/>
      <c r="T81" s="103"/>
      <c r="U81" s="160"/>
      <c r="V81" s="103"/>
      <c r="W81" s="103"/>
      <c r="X81" s="103"/>
    </row>
    <row r="82" spans="1:24" x14ac:dyDescent="0.25">
      <c r="A82" s="83" t="s">
        <v>977</v>
      </c>
      <c r="B82" s="84" t="s">
        <v>978</v>
      </c>
      <c r="C82" s="83" t="s">
        <v>798</v>
      </c>
      <c r="D82" s="83" t="s">
        <v>2068</v>
      </c>
      <c r="E82" s="83" t="s">
        <v>2163</v>
      </c>
      <c r="F82" s="83" t="s">
        <v>1864</v>
      </c>
      <c r="G82" s="85">
        <v>1</v>
      </c>
      <c r="H82" s="86" t="s">
        <v>2164</v>
      </c>
      <c r="I82" s="85">
        <v>0.94520000000000004</v>
      </c>
      <c r="J82" s="103" t="s">
        <v>850</v>
      </c>
      <c r="K82" s="83" t="s">
        <v>1643</v>
      </c>
      <c r="L82" s="83" t="s">
        <v>1897</v>
      </c>
      <c r="M82" s="103"/>
      <c r="N82" s="103"/>
      <c r="O82" s="103"/>
      <c r="P82" s="103"/>
      <c r="Q82" s="103"/>
      <c r="R82" s="103"/>
      <c r="S82" s="103"/>
      <c r="T82" s="103"/>
      <c r="U82" s="103"/>
      <c r="V82" s="103"/>
      <c r="W82" s="103"/>
      <c r="X82" s="103"/>
    </row>
    <row r="83" spans="1:24" x14ac:dyDescent="0.25">
      <c r="A83" s="83" t="s">
        <v>999</v>
      </c>
      <c r="B83" s="84" t="s">
        <v>1000</v>
      </c>
      <c r="C83" s="83" t="s">
        <v>798</v>
      </c>
      <c r="D83" s="83" t="s">
        <v>1898</v>
      </c>
      <c r="E83" s="83" t="s">
        <v>2201</v>
      </c>
      <c r="F83" s="83" t="s">
        <v>2011</v>
      </c>
      <c r="G83" s="85">
        <v>0.2</v>
      </c>
      <c r="H83" s="86" t="s">
        <v>1907</v>
      </c>
      <c r="I83" s="85">
        <v>0.2</v>
      </c>
      <c r="J83" s="86" t="s">
        <v>2202</v>
      </c>
      <c r="K83" s="83" t="s">
        <v>1644</v>
      </c>
      <c r="L83" s="83" t="s">
        <v>1897</v>
      </c>
      <c r="M83" s="160"/>
      <c r="N83" s="103"/>
      <c r="O83" s="160"/>
      <c r="P83" s="103"/>
      <c r="Q83" s="103"/>
      <c r="R83" s="103"/>
      <c r="S83" s="160"/>
      <c r="T83" s="103"/>
      <c r="U83" s="160"/>
      <c r="V83" s="103"/>
      <c r="W83" s="103"/>
      <c r="X83" s="103"/>
    </row>
    <row r="84" spans="1:24" x14ac:dyDescent="0.25">
      <c r="A84" s="83" t="s">
        <v>1013</v>
      </c>
      <c r="B84" s="84" t="s">
        <v>1014</v>
      </c>
      <c r="C84" s="83" t="s">
        <v>798</v>
      </c>
      <c r="D84" s="83" t="s">
        <v>1999</v>
      </c>
      <c r="E84" s="83" t="s">
        <v>2223</v>
      </c>
      <c r="F84" s="83" t="s">
        <v>1864</v>
      </c>
      <c r="G84" s="160"/>
      <c r="H84" s="103"/>
      <c r="I84" s="160"/>
      <c r="J84" s="103"/>
      <c r="K84" s="103"/>
      <c r="L84" s="103"/>
      <c r="M84" s="160"/>
      <c r="N84" s="103"/>
      <c r="O84" s="160"/>
      <c r="P84" s="103"/>
      <c r="Q84" s="103"/>
      <c r="R84" s="103"/>
      <c r="S84" s="160"/>
      <c r="T84" s="103"/>
      <c r="U84" s="160"/>
      <c r="V84" s="103"/>
      <c r="W84" s="103"/>
      <c r="X84" s="103"/>
    </row>
    <row r="85" spans="1:24" x14ac:dyDescent="0.25">
      <c r="A85" s="83" t="s">
        <v>1019</v>
      </c>
      <c r="B85" s="84" t="s">
        <v>1020</v>
      </c>
      <c r="C85" s="83" t="s">
        <v>798</v>
      </c>
      <c r="D85" s="83" t="s">
        <v>2205</v>
      </c>
      <c r="E85" s="83" t="s">
        <v>2231</v>
      </c>
      <c r="F85" s="83" t="s">
        <v>1864</v>
      </c>
      <c r="G85" s="85">
        <v>2.9999999999999997E-4</v>
      </c>
      <c r="H85" s="86" t="s">
        <v>2232</v>
      </c>
      <c r="I85" s="85">
        <v>2.9999999999999997E-4</v>
      </c>
      <c r="J85" s="86" t="s">
        <v>2059</v>
      </c>
      <c r="K85" s="83" t="s">
        <v>1644</v>
      </c>
      <c r="L85" s="83" t="s">
        <v>1897</v>
      </c>
      <c r="M85" s="85">
        <v>2.9999999999999997E-4</v>
      </c>
      <c r="N85" s="86" t="s">
        <v>2232</v>
      </c>
      <c r="O85" s="85">
        <v>2.9999999999999997E-4</v>
      </c>
      <c r="P85" s="86" t="s">
        <v>2059</v>
      </c>
      <c r="Q85" s="83" t="s">
        <v>1644</v>
      </c>
      <c r="R85" s="83" t="s">
        <v>1897</v>
      </c>
      <c r="S85" s="160"/>
      <c r="T85" s="161"/>
      <c r="U85" s="160"/>
      <c r="V85" s="161"/>
      <c r="W85" s="103"/>
      <c r="X85" s="103"/>
    </row>
    <row r="86" spans="1:24" x14ac:dyDescent="0.25">
      <c r="A86" s="83" t="s">
        <v>1021</v>
      </c>
      <c r="B86" s="84" t="s">
        <v>1022</v>
      </c>
      <c r="C86" s="83" t="s">
        <v>798</v>
      </c>
      <c r="D86" s="83" t="s">
        <v>1936</v>
      </c>
      <c r="E86" s="83" t="s">
        <v>2233</v>
      </c>
      <c r="F86" s="83" t="s">
        <v>1864</v>
      </c>
      <c r="G86" s="85">
        <v>0.36449999999999999</v>
      </c>
      <c r="H86" s="86" t="s">
        <v>2234</v>
      </c>
      <c r="I86" s="85">
        <v>0.36449999999999999</v>
      </c>
      <c r="J86" s="86" t="s">
        <v>2235</v>
      </c>
      <c r="K86" s="83" t="s">
        <v>1643</v>
      </c>
      <c r="L86" s="83" t="s">
        <v>1897</v>
      </c>
      <c r="M86" s="160"/>
      <c r="N86" s="161"/>
      <c r="O86" s="160"/>
      <c r="P86" s="161"/>
      <c r="Q86" s="103"/>
      <c r="R86" s="103"/>
      <c r="S86" s="160"/>
      <c r="T86" s="161"/>
      <c r="U86" s="160"/>
      <c r="V86" s="161"/>
      <c r="W86" s="103"/>
      <c r="X86" s="103"/>
    </row>
    <row r="87" spans="1:24" x14ac:dyDescent="0.25">
      <c r="A87" s="83" t="s">
        <v>1035</v>
      </c>
      <c r="B87" s="84" t="s">
        <v>1036</v>
      </c>
      <c r="C87" s="83" t="s">
        <v>798</v>
      </c>
      <c r="D87" s="83" t="s">
        <v>1915</v>
      </c>
      <c r="E87" s="83" t="s">
        <v>2252</v>
      </c>
      <c r="F87" s="83" t="s">
        <v>1894</v>
      </c>
      <c r="G87" s="85">
        <v>0.51149999999999995</v>
      </c>
      <c r="H87" s="86" t="s">
        <v>2253</v>
      </c>
      <c r="I87" s="85">
        <v>0.6</v>
      </c>
      <c r="J87" s="86" t="s">
        <v>1951</v>
      </c>
      <c r="K87" s="83" t="s">
        <v>1643</v>
      </c>
      <c r="L87" s="83" t="s">
        <v>1897</v>
      </c>
      <c r="M87" s="103"/>
      <c r="N87" s="103"/>
      <c r="O87" s="103"/>
      <c r="P87" s="103"/>
      <c r="Q87" s="103"/>
      <c r="R87" s="103"/>
      <c r="S87" s="103"/>
      <c r="T87" s="103"/>
      <c r="U87" s="103"/>
      <c r="V87" s="103"/>
      <c r="W87" s="103"/>
      <c r="X87" s="103"/>
    </row>
    <row r="88" spans="1:24" x14ac:dyDescent="0.25">
      <c r="A88" s="83" t="s">
        <v>1065</v>
      </c>
      <c r="B88" s="84" t="s">
        <v>1066</v>
      </c>
      <c r="C88" s="83" t="s">
        <v>798</v>
      </c>
      <c r="D88" s="83" t="s">
        <v>2292</v>
      </c>
      <c r="E88" s="83" t="s">
        <v>2293</v>
      </c>
      <c r="F88" s="83" t="s">
        <v>1864</v>
      </c>
      <c r="G88" s="85">
        <v>0.5</v>
      </c>
      <c r="H88" s="86" t="s">
        <v>1966</v>
      </c>
      <c r="I88" s="85">
        <v>0.4965</v>
      </c>
      <c r="J88" s="86" t="s">
        <v>2294</v>
      </c>
      <c r="K88" s="83" t="s">
        <v>1644</v>
      </c>
      <c r="L88" s="83" t="s">
        <v>1897</v>
      </c>
      <c r="M88" s="160"/>
      <c r="N88" s="103"/>
      <c r="O88" s="160"/>
      <c r="P88" s="103"/>
      <c r="Q88" s="103"/>
      <c r="R88" s="103"/>
      <c r="S88" s="160"/>
      <c r="T88" s="103"/>
      <c r="U88" s="160"/>
      <c r="V88" s="103"/>
      <c r="W88" s="103"/>
      <c r="X88" s="103"/>
    </row>
    <row r="89" spans="1:24" x14ac:dyDescent="0.25">
      <c r="A89" s="83" t="s">
        <v>1075</v>
      </c>
      <c r="B89" s="84" t="s">
        <v>1076</v>
      </c>
      <c r="C89" s="83" t="s">
        <v>798</v>
      </c>
      <c r="D89" s="83" t="s">
        <v>2205</v>
      </c>
      <c r="E89" s="83" t="s">
        <v>2306</v>
      </c>
      <c r="F89" s="83" t="s">
        <v>1894</v>
      </c>
      <c r="G89" s="85">
        <v>0.49199999999999999</v>
      </c>
      <c r="H89" s="86" t="s">
        <v>2012</v>
      </c>
      <c r="I89" s="85">
        <v>0.5</v>
      </c>
      <c r="J89" s="86" t="s">
        <v>1908</v>
      </c>
      <c r="K89" s="83" t="s">
        <v>1644</v>
      </c>
      <c r="L89" s="83" t="s">
        <v>1897</v>
      </c>
      <c r="M89" s="160"/>
      <c r="N89" s="103"/>
      <c r="O89" s="103"/>
      <c r="P89" s="103"/>
      <c r="Q89" s="103"/>
      <c r="R89" s="103"/>
      <c r="S89" s="160"/>
      <c r="T89" s="103"/>
      <c r="U89" s="103"/>
      <c r="V89" s="103"/>
      <c r="W89" s="103"/>
      <c r="X89" s="103"/>
    </row>
    <row r="90" spans="1:24" x14ac:dyDescent="0.25">
      <c r="A90" s="83" t="s">
        <v>1119</v>
      </c>
      <c r="B90" s="84" t="s">
        <v>1120</v>
      </c>
      <c r="C90" s="83" t="s">
        <v>798</v>
      </c>
      <c r="D90" s="83" t="s">
        <v>1970</v>
      </c>
      <c r="E90" s="83" t="s">
        <v>2368</v>
      </c>
      <c r="F90" s="83" t="s">
        <v>1894</v>
      </c>
      <c r="G90" s="85">
        <v>1.6</v>
      </c>
      <c r="H90" s="86" t="s">
        <v>2369</v>
      </c>
      <c r="I90" s="85">
        <v>1.5781000000000001</v>
      </c>
      <c r="J90" s="86" t="s">
        <v>1935</v>
      </c>
      <c r="K90" s="83" t="s">
        <v>1643</v>
      </c>
      <c r="L90" s="83" t="s">
        <v>1897</v>
      </c>
      <c r="M90" s="103"/>
      <c r="N90" s="103"/>
      <c r="O90" s="103"/>
      <c r="P90" s="103"/>
      <c r="Q90" s="103"/>
      <c r="R90" s="103"/>
      <c r="S90" s="103"/>
      <c r="T90" s="103"/>
      <c r="U90" s="103"/>
      <c r="V90" s="103"/>
      <c r="W90" s="103"/>
      <c r="X90" s="103"/>
    </row>
    <row r="91" spans="1:24" x14ac:dyDescent="0.25">
      <c r="A91" s="83" t="s">
        <v>1129</v>
      </c>
      <c r="B91" s="84" t="s">
        <v>1130</v>
      </c>
      <c r="C91" s="83" t="s">
        <v>798</v>
      </c>
      <c r="D91" s="83" t="s">
        <v>2385</v>
      </c>
      <c r="E91" s="83" t="s">
        <v>2386</v>
      </c>
      <c r="F91" s="83" t="s">
        <v>1894</v>
      </c>
      <c r="G91" s="85">
        <v>0.85</v>
      </c>
      <c r="H91" s="86" t="s">
        <v>2387</v>
      </c>
      <c r="I91" s="85">
        <v>0.76239999999999997</v>
      </c>
      <c r="J91" s="86" t="s">
        <v>1661</v>
      </c>
      <c r="K91" s="83" t="s">
        <v>1643</v>
      </c>
      <c r="L91" s="83" t="s">
        <v>1897</v>
      </c>
      <c r="M91" s="85">
        <v>0.85</v>
      </c>
      <c r="N91" s="86" t="s">
        <v>2388</v>
      </c>
      <c r="O91" s="85">
        <v>0.77829999999999999</v>
      </c>
      <c r="P91" s="86" t="s">
        <v>1661</v>
      </c>
      <c r="Q91" s="83" t="s">
        <v>1643</v>
      </c>
      <c r="R91" s="83" t="s">
        <v>1897</v>
      </c>
      <c r="S91" s="160"/>
      <c r="T91" s="161"/>
      <c r="U91" s="160"/>
      <c r="V91" s="161"/>
      <c r="W91" s="103"/>
      <c r="X91" s="103"/>
    </row>
    <row r="92" spans="1:24" x14ac:dyDescent="0.25">
      <c r="A92" s="83" t="s">
        <v>1139</v>
      </c>
      <c r="B92" s="84" t="s">
        <v>1140</v>
      </c>
      <c r="C92" s="83" t="s">
        <v>798</v>
      </c>
      <c r="D92" s="83" t="s">
        <v>2180</v>
      </c>
      <c r="E92" s="83" t="s">
        <v>2399</v>
      </c>
      <c r="F92" s="83" t="s">
        <v>1894</v>
      </c>
      <c r="G92" s="85">
        <v>0.85</v>
      </c>
      <c r="H92" s="86" t="s">
        <v>2020</v>
      </c>
      <c r="I92" s="85">
        <v>0.85</v>
      </c>
      <c r="J92" s="86" t="s">
        <v>1979</v>
      </c>
      <c r="K92" s="83" t="s">
        <v>1644</v>
      </c>
      <c r="L92" s="83" t="s">
        <v>1897</v>
      </c>
      <c r="M92" s="85">
        <v>0.96</v>
      </c>
      <c r="N92" s="86" t="s">
        <v>2400</v>
      </c>
      <c r="O92" s="85">
        <v>0.96</v>
      </c>
      <c r="P92" s="86" t="s">
        <v>1979</v>
      </c>
      <c r="Q92" s="83" t="s">
        <v>1644</v>
      </c>
      <c r="R92" s="83" t="s">
        <v>1998</v>
      </c>
      <c r="S92" s="103"/>
      <c r="T92" s="103"/>
      <c r="U92" s="103"/>
      <c r="V92" s="103"/>
      <c r="W92" s="103"/>
      <c r="X92" s="103"/>
    </row>
    <row r="93" spans="1:24" x14ac:dyDescent="0.25">
      <c r="A93" s="83" t="s">
        <v>1147</v>
      </c>
      <c r="B93" s="84" t="s">
        <v>1148</v>
      </c>
      <c r="C93" s="83" t="s">
        <v>798</v>
      </c>
      <c r="D93" s="83" t="s">
        <v>2091</v>
      </c>
      <c r="E93" s="83" t="s">
        <v>2410</v>
      </c>
      <c r="F93" s="83" t="s">
        <v>1864</v>
      </c>
      <c r="G93" s="85">
        <v>0.5</v>
      </c>
      <c r="H93" s="86" t="s">
        <v>2062</v>
      </c>
      <c r="I93" s="85">
        <v>0.46560000000000001</v>
      </c>
      <c r="J93" s="86" t="s">
        <v>2411</v>
      </c>
      <c r="K93" s="83" t="s">
        <v>1644</v>
      </c>
      <c r="L93" s="83" t="s">
        <v>1897</v>
      </c>
      <c r="M93" s="103"/>
      <c r="N93" s="103"/>
      <c r="O93" s="103"/>
      <c r="P93" s="103"/>
      <c r="Q93" s="103"/>
      <c r="R93" s="103"/>
      <c r="S93" s="103"/>
      <c r="T93" s="103"/>
      <c r="U93" s="103"/>
      <c r="V93" s="103"/>
      <c r="W93" s="103"/>
      <c r="X93" s="103"/>
    </row>
    <row r="94" spans="1:24" x14ac:dyDescent="0.25">
      <c r="A94" s="83" t="s">
        <v>1151</v>
      </c>
      <c r="B94" s="84" t="s">
        <v>1152</v>
      </c>
      <c r="C94" s="83" t="s">
        <v>798</v>
      </c>
      <c r="D94" s="83" t="s">
        <v>1919</v>
      </c>
      <c r="E94" s="83" t="s">
        <v>2414</v>
      </c>
      <c r="F94" s="83" t="s">
        <v>1894</v>
      </c>
      <c r="G94" s="85">
        <v>0.6</v>
      </c>
      <c r="H94" s="86" t="s">
        <v>2129</v>
      </c>
      <c r="I94" s="85">
        <v>0.6</v>
      </c>
      <c r="J94" s="86" t="s">
        <v>1918</v>
      </c>
      <c r="K94" s="83" t="s">
        <v>1643</v>
      </c>
      <c r="L94" s="83" t="s">
        <v>1897</v>
      </c>
      <c r="M94" s="103"/>
      <c r="N94" s="103"/>
      <c r="O94" s="103"/>
      <c r="P94" s="103"/>
      <c r="Q94" s="103"/>
      <c r="R94" s="103"/>
      <c r="S94" s="103"/>
      <c r="T94" s="103"/>
      <c r="U94" s="103"/>
      <c r="V94" s="103"/>
      <c r="W94" s="103"/>
      <c r="X94" s="103"/>
    </row>
    <row r="95" spans="1:24" x14ac:dyDescent="0.25">
      <c r="A95" s="83" t="s">
        <v>1157</v>
      </c>
      <c r="B95" s="84" t="s">
        <v>1158</v>
      </c>
      <c r="C95" s="83" t="s">
        <v>798</v>
      </c>
      <c r="D95" s="83" t="s">
        <v>1930</v>
      </c>
      <c r="E95" s="83" t="s">
        <v>2418</v>
      </c>
      <c r="F95" s="83" t="s">
        <v>2011</v>
      </c>
      <c r="G95" s="85">
        <v>0.5</v>
      </c>
      <c r="H95" s="86" t="s">
        <v>2419</v>
      </c>
      <c r="I95" s="85">
        <v>0.5</v>
      </c>
      <c r="J95" s="86" t="s">
        <v>2420</v>
      </c>
      <c r="K95" s="83" t="s">
        <v>1644</v>
      </c>
      <c r="L95" s="83" t="s">
        <v>1661</v>
      </c>
      <c r="M95" s="160"/>
      <c r="N95" s="161"/>
      <c r="O95" s="160"/>
      <c r="P95" s="161"/>
      <c r="Q95" s="103"/>
      <c r="R95" s="103"/>
      <c r="S95" s="160"/>
      <c r="T95" s="161"/>
      <c r="U95" s="160"/>
      <c r="V95" s="161"/>
      <c r="W95" s="103"/>
      <c r="X95" s="103"/>
    </row>
    <row r="96" spans="1:24" x14ac:dyDescent="0.25">
      <c r="A96" s="83" t="s">
        <v>1161</v>
      </c>
      <c r="B96" s="84" t="s">
        <v>1162</v>
      </c>
      <c r="C96" s="83" t="s">
        <v>798</v>
      </c>
      <c r="D96" s="83" t="s">
        <v>1892</v>
      </c>
      <c r="E96" s="83" t="s">
        <v>2425</v>
      </c>
      <c r="F96" s="83" t="s">
        <v>1894</v>
      </c>
      <c r="G96" s="85">
        <v>0.75</v>
      </c>
      <c r="H96" s="86" t="s">
        <v>2213</v>
      </c>
      <c r="I96" s="85">
        <v>0.75</v>
      </c>
      <c r="J96" s="86" t="s">
        <v>2149</v>
      </c>
      <c r="K96" s="83" t="s">
        <v>1644</v>
      </c>
      <c r="L96" s="83" t="s">
        <v>1889</v>
      </c>
      <c r="M96" s="103"/>
      <c r="N96" s="103"/>
      <c r="O96" s="103"/>
      <c r="P96" s="103"/>
      <c r="Q96" s="103"/>
      <c r="R96" s="103"/>
      <c r="S96" s="103"/>
      <c r="T96" s="103"/>
      <c r="U96" s="103"/>
      <c r="V96" s="103"/>
      <c r="W96" s="103"/>
      <c r="X96" s="103"/>
    </row>
    <row r="97" spans="1:24" x14ac:dyDescent="0.25">
      <c r="A97" s="83" t="s">
        <v>1167</v>
      </c>
      <c r="B97" s="84" t="s">
        <v>1168</v>
      </c>
      <c r="C97" s="83" t="s">
        <v>798</v>
      </c>
      <c r="D97" s="83" t="s">
        <v>2277</v>
      </c>
      <c r="E97" s="83" t="s">
        <v>2429</v>
      </c>
      <c r="F97" s="83" t="s">
        <v>1864</v>
      </c>
      <c r="G97" s="160"/>
      <c r="H97" s="161"/>
      <c r="I97" s="160"/>
      <c r="J97" s="161"/>
      <c r="K97" s="103"/>
      <c r="L97" s="103"/>
      <c r="M97" s="160"/>
      <c r="N97" s="161"/>
      <c r="O97" s="160"/>
      <c r="P97" s="161"/>
      <c r="Q97" s="103"/>
      <c r="R97" s="103"/>
      <c r="S97" s="160"/>
      <c r="T97" s="161"/>
      <c r="U97" s="160"/>
      <c r="V97" s="161"/>
      <c r="W97" s="103"/>
      <c r="X97" s="103"/>
    </row>
    <row r="98" spans="1:24" x14ac:dyDescent="0.25">
      <c r="A98" s="83" t="s">
        <v>1173</v>
      </c>
      <c r="B98" s="84" t="s">
        <v>1174</v>
      </c>
      <c r="C98" s="83" t="s">
        <v>798</v>
      </c>
      <c r="D98" s="83" t="s">
        <v>2017</v>
      </c>
      <c r="E98" s="83" t="s">
        <v>2434</v>
      </c>
      <c r="F98" s="83" t="s">
        <v>88</v>
      </c>
      <c r="G98" s="85">
        <v>1</v>
      </c>
      <c r="H98" s="86" t="s">
        <v>2435</v>
      </c>
      <c r="I98" s="85">
        <v>0.96579999999999999</v>
      </c>
      <c r="J98" s="86" t="s">
        <v>2436</v>
      </c>
      <c r="K98" s="83" t="s">
        <v>1643</v>
      </c>
      <c r="L98" s="83" t="s">
        <v>1897</v>
      </c>
      <c r="M98" s="160"/>
      <c r="N98" s="103"/>
      <c r="O98" s="103"/>
      <c r="P98" s="103"/>
      <c r="Q98" s="103"/>
      <c r="R98" s="103"/>
      <c r="S98" s="160"/>
      <c r="T98" s="103"/>
      <c r="U98" s="103"/>
      <c r="V98" s="103"/>
      <c r="W98" s="103"/>
      <c r="X98" s="103"/>
    </row>
    <row r="99" spans="1:24" x14ac:dyDescent="0.25">
      <c r="A99" s="83" t="s">
        <v>1177</v>
      </c>
      <c r="B99" s="84" t="s">
        <v>1178</v>
      </c>
      <c r="C99" s="83" t="s">
        <v>798</v>
      </c>
      <c r="D99" s="83" t="s">
        <v>1919</v>
      </c>
      <c r="E99" s="83" t="s">
        <v>2438</v>
      </c>
      <c r="F99" s="83" t="s">
        <v>1864</v>
      </c>
      <c r="G99" s="160"/>
      <c r="H99" s="161"/>
      <c r="I99" s="160"/>
      <c r="J99" s="161"/>
      <c r="K99" s="103"/>
      <c r="L99" s="103"/>
      <c r="M99" s="160"/>
      <c r="N99" s="161"/>
      <c r="O99" s="160"/>
      <c r="P99" s="161"/>
      <c r="Q99" s="103"/>
      <c r="R99" s="103"/>
      <c r="S99" s="160"/>
      <c r="T99" s="161"/>
      <c r="U99" s="160"/>
      <c r="V99" s="161"/>
      <c r="W99" s="103"/>
      <c r="X99" s="103"/>
    </row>
    <row r="100" spans="1:24" x14ac:dyDescent="0.25">
      <c r="A100" s="83" t="s">
        <v>1181</v>
      </c>
      <c r="B100" s="84" t="s">
        <v>1182</v>
      </c>
      <c r="C100" s="83" t="s">
        <v>798</v>
      </c>
      <c r="D100" s="83" t="s">
        <v>2064</v>
      </c>
      <c r="E100" s="83" t="s">
        <v>2441</v>
      </c>
      <c r="F100" s="83" t="s">
        <v>2075</v>
      </c>
      <c r="G100" s="160"/>
      <c r="H100" s="161"/>
      <c r="I100" s="160"/>
      <c r="J100" s="161"/>
      <c r="K100" s="103"/>
      <c r="L100" s="103"/>
      <c r="M100" s="160"/>
      <c r="N100" s="161"/>
      <c r="O100" s="160"/>
      <c r="P100" s="161"/>
      <c r="Q100" s="103"/>
      <c r="R100" s="103"/>
      <c r="S100" s="160"/>
      <c r="T100" s="161"/>
      <c r="U100" s="160"/>
      <c r="V100" s="161"/>
      <c r="W100" s="103"/>
      <c r="X100" s="103"/>
    </row>
    <row r="101" spans="1:24" x14ac:dyDescent="0.25">
      <c r="A101" s="83" t="s">
        <v>1183</v>
      </c>
      <c r="B101" s="84" t="s">
        <v>1184</v>
      </c>
      <c r="C101" s="83" t="s">
        <v>798</v>
      </c>
      <c r="D101" s="83" t="s">
        <v>2076</v>
      </c>
      <c r="E101" s="83" t="s">
        <v>2442</v>
      </c>
      <c r="F101" s="83" t="s">
        <v>1894</v>
      </c>
      <c r="G101" s="85">
        <v>1</v>
      </c>
      <c r="H101" s="86" t="s">
        <v>2443</v>
      </c>
      <c r="I101" s="85">
        <v>1</v>
      </c>
      <c r="J101" s="103" t="s">
        <v>850</v>
      </c>
      <c r="K101" s="83" t="s">
        <v>1643</v>
      </c>
      <c r="L101" s="83" t="s">
        <v>1889</v>
      </c>
      <c r="M101" s="103"/>
      <c r="N101" s="103"/>
      <c r="O101" s="103"/>
      <c r="P101" s="103"/>
      <c r="Q101" s="103"/>
      <c r="R101" s="103"/>
      <c r="S101" s="103"/>
      <c r="T101" s="103"/>
      <c r="U101" s="103"/>
      <c r="V101" s="103"/>
      <c r="W101" s="103"/>
      <c r="X101" s="103"/>
    </row>
    <row r="102" spans="1:24" x14ac:dyDescent="0.25">
      <c r="A102" s="83" t="s">
        <v>1185</v>
      </c>
      <c r="B102" s="84" t="s">
        <v>1186</v>
      </c>
      <c r="C102" s="83" t="s">
        <v>798</v>
      </c>
      <c r="D102" s="83" t="s">
        <v>1988</v>
      </c>
      <c r="E102" s="83" t="s">
        <v>2444</v>
      </c>
      <c r="F102" s="83" t="s">
        <v>1894</v>
      </c>
      <c r="G102" s="85">
        <v>1</v>
      </c>
      <c r="H102" s="86" t="s">
        <v>2445</v>
      </c>
      <c r="I102" s="85">
        <v>0.85709999999999997</v>
      </c>
      <c r="J102" s="86" t="s">
        <v>1888</v>
      </c>
      <c r="K102" s="83" t="s">
        <v>1643</v>
      </c>
      <c r="L102" s="83" t="s">
        <v>1897</v>
      </c>
      <c r="M102" s="103"/>
      <c r="N102" s="103"/>
      <c r="O102" s="103"/>
      <c r="P102" s="103"/>
      <c r="Q102" s="103"/>
      <c r="R102" s="103"/>
      <c r="S102" s="103"/>
      <c r="T102" s="103"/>
      <c r="U102" s="103"/>
      <c r="V102" s="103"/>
      <c r="W102" s="103"/>
      <c r="X102" s="103"/>
    </row>
    <row r="103" spans="1:24" x14ac:dyDescent="0.25">
      <c r="A103" s="83" t="s">
        <v>1197</v>
      </c>
      <c r="B103" s="84" t="s">
        <v>1198</v>
      </c>
      <c r="C103" s="83" t="s">
        <v>798</v>
      </c>
      <c r="D103" s="83" t="s">
        <v>1944</v>
      </c>
      <c r="E103" s="83" t="s">
        <v>2460</v>
      </c>
      <c r="F103" s="83" t="s">
        <v>1894</v>
      </c>
      <c r="G103" s="85">
        <v>1</v>
      </c>
      <c r="H103" s="86" t="s">
        <v>2461</v>
      </c>
      <c r="I103" s="85">
        <v>0.95</v>
      </c>
      <c r="J103" s="86" t="s">
        <v>1967</v>
      </c>
      <c r="K103" s="83" t="s">
        <v>1644</v>
      </c>
      <c r="L103" s="83" t="s">
        <v>1889</v>
      </c>
      <c r="M103" s="85">
        <v>1</v>
      </c>
      <c r="N103" s="86" t="s">
        <v>2462</v>
      </c>
      <c r="O103" s="85">
        <v>0.95</v>
      </c>
      <c r="P103" s="86" t="s">
        <v>2463</v>
      </c>
      <c r="Q103" s="83" t="s">
        <v>1643</v>
      </c>
      <c r="R103" s="83" t="s">
        <v>1889</v>
      </c>
      <c r="S103" s="103"/>
      <c r="T103" s="103"/>
      <c r="U103" s="103"/>
      <c r="V103" s="103"/>
      <c r="W103" s="103"/>
      <c r="X103" s="103"/>
    </row>
    <row r="104" spans="1:24" x14ac:dyDescent="0.25">
      <c r="A104" s="83" t="s">
        <v>1211</v>
      </c>
      <c r="B104" s="84" t="s">
        <v>1212</v>
      </c>
      <c r="C104" s="83" t="s">
        <v>798</v>
      </c>
      <c r="D104" s="83" t="s">
        <v>1919</v>
      </c>
      <c r="E104" s="83" t="s">
        <v>2472</v>
      </c>
      <c r="F104" s="83" t="s">
        <v>1864</v>
      </c>
      <c r="G104" s="85">
        <v>2</v>
      </c>
      <c r="H104" s="86" t="s">
        <v>2473</v>
      </c>
      <c r="I104" s="85">
        <v>1</v>
      </c>
      <c r="J104" s="86" t="s">
        <v>1935</v>
      </c>
      <c r="K104" s="83" t="s">
        <v>1643</v>
      </c>
      <c r="L104" s="83" t="s">
        <v>1897</v>
      </c>
      <c r="M104" s="103"/>
      <c r="N104" s="103"/>
      <c r="O104" s="103"/>
      <c r="P104" s="103"/>
      <c r="Q104" s="103"/>
      <c r="R104" s="103"/>
      <c r="S104" s="103"/>
      <c r="T104" s="103"/>
      <c r="U104" s="103"/>
      <c r="V104" s="103"/>
      <c r="W104" s="103"/>
      <c r="X104" s="103"/>
    </row>
    <row r="105" spans="1:24" x14ac:dyDescent="0.25">
      <c r="A105" s="83" t="s">
        <v>1213</v>
      </c>
      <c r="B105" s="84" t="s">
        <v>1214</v>
      </c>
      <c r="C105" s="83" t="s">
        <v>798</v>
      </c>
      <c r="D105" s="83" t="s">
        <v>2334</v>
      </c>
      <c r="E105" s="83" t="s">
        <v>2474</v>
      </c>
      <c r="F105" s="83" t="s">
        <v>1864</v>
      </c>
      <c r="G105" s="85">
        <v>0.4</v>
      </c>
      <c r="H105" s="86" t="s">
        <v>1900</v>
      </c>
      <c r="I105" s="85">
        <v>0.3962</v>
      </c>
      <c r="J105" s="86" t="s">
        <v>1990</v>
      </c>
      <c r="K105" s="83" t="s">
        <v>1644</v>
      </c>
      <c r="L105" s="83" t="s">
        <v>1661</v>
      </c>
      <c r="M105" s="160"/>
      <c r="N105" s="161"/>
      <c r="O105" s="160"/>
      <c r="P105" s="161"/>
      <c r="Q105" s="103"/>
      <c r="R105" s="103"/>
      <c r="S105" s="160"/>
      <c r="T105" s="161"/>
      <c r="U105" s="160"/>
      <c r="V105" s="161"/>
      <c r="W105" s="103"/>
      <c r="X105" s="103"/>
    </row>
    <row r="106" spans="1:24" x14ac:dyDescent="0.25">
      <c r="A106" s="83" t="s">
        <v>1233</v>
      </c>
      <c r="B106" s="84" t="s">
        <v>1234</v>
      </c>
      <c r="C106" s="83" t="s">
        <v>798</v>
      </c>
      <c r="D106" s="83" t="s">
        <v>2047</v>
      </c>
      <c r="E106" s="83" t="s">
        <v>2497</v>
      </c>
      <c r="F106" s="83" t="s">
        <v>1894</v>
      </c>
      <c r="G106" s="85">
        <v>0.25</v>
      </c>
      <c r="H106" s="86" t="s">
        <v>2045</v>
      </c>
      <c r="I106" s="85">
        <v>0.25</v>
      </c>
      <c r="J106" s="86" t="s">
        <v>2498</v>
      </c>
      <c r="K106" s="83" t="s">
        <v>1644</v>
      </c>
      <c r="L106" s="83" t="s">
        <v>1897</v>
      </c>
      <c r="M106" s="103"/>
      <c r="N106" s="103"/>
      <c r="O106" s="103"/>
      <c r="P106" s="103"/>
      <c r="Q106" s="103"/>
      <c r="R106" s="103"/>
      <c r="S106" s="103"/>
      <c r="T106" s="103"/>
      <c r="U106" s="103"/>
      <c r="V106" s="103"/>
      <c r="W106" s="103"/>
      <c r="X106" s="103"/>
    </row>
    <row r="107" spans="1:24" x14ac:dyDescent="0.25">
      <c r="A107" s="83" t="s">
        <v>1239</v>
      </c>
      <c r="B107" s="84" t="s">
        <v>1240</v>
      </c>
      <c r="C107" s="83" t="s">
        <v>798</v>
      </c>
      <c r="D107" s="83" t="s">
        <v>2259</v>
      </c>
      <c r="E107" s="83" t="s">
        <v>2201</v>
      </c>
      <c r="F107" s="83" t="s">
        <v>2011</v>
      </c>
      <c r="G107" s="85">
        <v>1</v>
      </c>
      <c r="H107" s="86" t="s">
        <v>2504</v>
      </c>
      <c r="I107" s="85">
        <v>1</v>
      </c>
      <c r="J107" s="103" t="s">
        <v>850</v>
      </c>
      <c r="K107" s="83" t="s">
        <v>1643</v>
      </c>
      <c r="L107" s="83" t="s">
        <v>1897</v>
      </c>
      <c r="M107" s="160"/>
      <c r="N107" s="161"/>
      <c r="O107" s="160"/>
      <c r="P107" s="161"/>
      <c r="Q107" s="103"/>
      <c r="R107" s="103"/>
      <c r="S107" s="160"/>
      <c r="T107" s="161"/>
      <c r="U107" s="160"/>
      <c r="V107" s="161"/>
      <c r="W107" s="103"/>
      <c r="X107" s="103"/>
    </row>
    <row r="108" spans="1:24" x14ac:dyDescent="0.25">
      <c r="A108" s="83" t="s">
        <v>1245</v>
      </c>
      <c r="B108" s="84" t="s">
        <v>1246</v>
      </c>
      <c r="C108" s="83" t="s">
        <v>798</v>
      </c>
      <c r="D108" s="83" t="s">
        <v>1903</v>
      </c>
      <c r="E108" s="83" t="s">
        <v>2509</v>
      </c>
      <c r="F108" s="83" t="s">
        <v>1894</v>
      </c>
      <c r="G108" s="85">
        <v>1</v>
      </c>
      <c r="H108" s="86" t="s">
        <v>2510</v>
      </c>
      <c r="I108" s="85">
        <v>0.84950000000000003</v>
      </c>
      <c r="J108" s="103" t="s">
        <v>850</v>
      </c>
      <c r="K108" s="83" t="s">
        <v>1643</v>
      </c>
      <c r="L108" s="83" t="s">
        <v>1897</v>
      </c>
      <c r="M108" s="103"/>
      <c r="N108" s="103"/>
      <c r="O108" s="103"/>
      <c r="P108" s="103"/>
      <c r="Q108" s="103"/>
      <c r="R108" s="103"/>
      <c r="S108" s="103"/>
      <c r="T108" s="103"/>
      <c r="U108" s="103"/>
      <c r="V108" s="103"/>
      <c r="W108" s="103"/>
      <c r="X108" s="103"/>
    </row>
    <row r="109" spans="1:24" x14ac:dyDescent="0.25">
      <c r="A109" s="83" t="s">
        <v>1249</v>
      </c>
      <c r="B109" s="84" t="s">
        <v>1250</v>
      </c>
      <c r="C109" s="83" t="s">
        <v>798</v>
      </c>
      <c r="D109" s="83" t="s">
        <v>1915</v>
      </c>
      <c r="E109" s="83" t="s">
        <v>2514</v>
      </c>
      <c r="F109" s="83" t="s">
        <v>1864</v>
      </c>
      <c r="G109" s="160"/>
      <c r="H109" s="103"/>
      <c r="I109" s="160"/>
      <c r="J109" s="103"/>
      <c r="K109" s="103"/>
      <c r="L109" s="103"/>
      <c r="M109" s="160">
        <v>0</v>
      </c>
      <c r="N109" s="103" t="s">
        <v>850</v>
      </c>
      <c r="O109" s="160">
        <v>0</v>
      </c>
      <c r="P109" s="103" t="s">
        <v>850</v>
      </c>
      <c r="Q109" s="103" t="s">
        <v>1644</v>
      </c>
      <c r="R109" s="103" t="s">
        <v>850</v>
      </c>
      <c r="S109" s="160"/>
      <c r="T109" s="103"/>
      <c r="U109" s="160"/>
      <c r="V109" s="103"/>
      <c r="W109" s="103"/>
      <c r="X109" s="103"/>
    </row>
    <row r="110" spans="1:24" x14ac:dyDescent="0.25">
      <c r="A110" s="83" t="s">
        <v>1261</v>
      </c>
      <c r="B110" s="84" t="s">
        <v>1262</v>
      </c>
      <c r="C110" s="83" t="s">
        <v>798</v>
      </c>
      <c r="D110" s="83" t="s">
        <v>2095</v>
      </c>
      <c r="E110" s="83" t="s">
        <v>2523</v>
      </c>
      <c r="F110" s="83" t="s">
        <v>1864</v>
      </c>
      <c r="G110" s="85">
        <v>2</v>
      </c>
      <c r="H110" s="86" t="s">
        <v>2524</v>
      </c>
      <c r="I110" s="85">
        <v>2</v>
      </c>
      <c r="J110" s="86" t="s">
        <v>2525</v>
      </c>
      <c r="K110" s="83" t="s">
        <v>1644</v>
      </c>
      <c r="L110" s="83" t="s">
        <v>1897</v>
      </c>
      <c r="M110" s="160"/>
      <c r="N110" s="161"/>
      <c r="O110" s="160"/>
      <c r="P110" s="161"/>
      <c r="Q110" s="103"/>
      <c r="R110" s="103"/>
      <c r="S110" s="160"/>
      <c r="T110" s="161"/>
      <c r="U110" s="160"/>
      <c r="V110" s="161"/>
      <c r="W110" s="103"/>
      <c r="X110" s="103"/>
    </row>
    <row r="111" spans="1:24" x14ac:dyDescent="0.25">
      <c r="A111" s="83" t="s">
        <v>1263</v>
      </c>
      <c r="B111" s="84" t="s">
        <v>1264</v>
      </c>
      <c r="C111" s="83" t="s">
        <v>798</v>
      </c>
      <c r="D111" s="83" t="s">
        <v>1898</v>
      </c>
      <c r="E111" s="83" t="s">
        <v>2526</v>
      </c>
      <c r="F111" s="83" t="s">
        <v>1894</v>
      </c>
      <c r="G111" s="85">
        <v>0.2</v>
      </c>
      <c r="H111" s="86" t="s">
        <v>2191</v>
      </c>
      <c r="I111" s="85">
        <v>0.2</v>
      </c>
      <c r="J111" s="86" t="s">
        <v>2059</v>
      </c>
      <c r="K111" s="83" t="s">
        <v>1644</v>
      </c>
      <c r="L111" s="103" t="s">
        <v>850</v>
      </c>
      <c r="M111" s="103"/>
      <c r="N111" s="103"/>
      <c r="O111" s="103"/>
      <c r="P111" s="103"/>
      <c r="Q111" s="103"/>
      <c r="R111" s="103" t="s">
        <v>850</v>
      </c>
      <c r="S111" s="103"/>
      <c r="T111" s="103"/>
      <c r="U111" s="103"/>
      <c r="V111" s="103"/>
      <c r="W111" s="103"/>
      <c r="X111" s="103"/>
    </row>
    <row r="112" spans="1:24" x14ac:dyDescent="0.25">
      <c r="A112" s="83" t="s">
        <v>1271</v>
      </c>
      <c r="B112" s="84" t="s">
        <v>1272</v>
      </c>
      <c r="C112" s="83" t="s">
        <v>798</v>
      </c>
      <c r="D112" s="83" t="s">
        <v>2064</v>
      </c>
      <c r="E112" s="83" t="s">
        <v>2533</v>
      </c>
      <c r="F112" s="83" t="s">
        <v>1894</v>
      </c>
      <c r="G112" s="85">
        <v>0.75</v>
      </c>
      <c r="H112" s="86" t="s">
        <v>2176</v>
      </c>
      <c r="I112" s="85">
        <v>0.74080000000000001</v>
      </c>
      <c r="J112" s="86" t="s">
        <v>2534</v>
      </c>
      <c r="K112" s="83" t="s">
        <v>1644</v>
      </c>
      <c r="L112" s="83" t="s">
        <v>1897</v>
      </c>
      <c r="M112" s="103"/>
      <c r="N112" s="103"/>
      <c r="O112" s="103"/>
      <c r="P112" s="103"/>
      <c r="Q112" s="103"/>
      <c r="R112" s="103" t="s">
        <v>850</v>
      </c>
      <c r="S112" s="103"/>
      <c r="T112" s="103"/>
      <c r="U112" s="103"/>
      <c r="V112" s="103"/>
      <c r="W112" s="103"/>
      <c r="X112" s="103"/>
    </row>
    <row r="113" spans="1:24" x14ac:dyDescent="0.25">
      <c r="A113" s="83" t="s">
        <v>1273</v>
      </c>
      <c r="B113" s="84" t="s">
        <v>1274</v>
      </c>
      <c r="C113" s="83" t="s">
        <v>798</v>
      </c>
      <c r="D113" s="83" t="s">
        <v>2267</v>
      </c>
      <c r="E113" s="83" t="s">
        <v>2535</v>
      </c>
      <c r="F113" s="83" t="s">
        <v>2075</v>
      </c>
      <c r="G113" s="160"/>
      <c r="H113" s="103"/>
      <c r="I113" s="160"/>
      <c r="J113" s="103"/>
      <c r="K113" s="103"/>
      <c r="L113" s="103"/>
      <c r="M113" s="160"/>
      <c r="N113" s="103"/>
      <c r="O113" s="160"/>
      <c r="P113" s="103"/>
      <c r="Q113" s="103"/>
      <c r="R113" s="103" t="s">
        <v>850</v>
      </c>
      <c r="S113" s="160"/>
      <c r="T113" s="103"/>
      <c r="U113" s="160"/>
      <c r="V113" s="103"/>
      <c r="W113" s="103"/>
      <c r="X113" s="103"/>
    </row>
    <row r="114" spans="1:24" x14ac:dyDescent="0.25">
      <c r="A114" s="83" t="s">
        <v>1279</v>
      </c>
      <c r="B114" s="84" t="s">
        <v>1280</v>
      </c>
      <c r="C114" s="83" t="s">
        <v>798</v>
      </c>
      <c r="D114" s="83" t="s">
        <v>2068</v>
      </c>
      <c r="E114" s="83" t="s">
        <v>2539</v>
      </c>
      <c r="F114" s="83" t="s">
        <v>1864</v>
      </c>
      <c r="G114" s="85">
        <v>1</v>
      </c>
      <c r="H114" s="86" t="s">
        <v>1987</v>
      </c>
      <c r="I114" s="85">
        <v>0.97519999999999996</v>
      </c>
      <c r="J114" s="86" t="s">
        <v>1987</v>
      </c>
      <c r="K114" s="83" t="s">
        <v>1643</v>
      </c>
      <c r="L114" s="83" t="s">
        <v>1897</v>
      </c>
      <c r="M114" s="160"/>
      <c r="N114" s="161"/>
      <c r="O114" s="160"/>
      <c r="P114" s="161"/>
      <c r="Q114" s="103"/>
      <c r="R114" s="103"/>
      <c r="S114" s="160"/>
      <c r="T114" s="161"/>
      <c r="U114" s="160"/>
      <c r="V114" s="161"/>
      <c r="W114" s="103"/>
      <c r="X114" s="103"/>
    </row>
    <row r="115" spans="1:24" x14ac:dyDescent="0.25">
      <c r="A115" s="83" t="s">
        <v>1297</v>
      </c>
      <c r="B115" s="84" t="s">
        <v>1298</v>
      </c>
      <c r="C115" s="83" t="s">
        <v>798</v>
      </c>
      <c r="D115" s="83" t="s">
        <v>1898</v>
      </c>
      <c r="E115" s="83" t="s">
        <v>2560</v>
      </c>
      <c r="F115" s="83" t="s">
        <v>1894</v>
      </c>
      <c r="G115" s="85">
        <v>0.2</v>
      </c>
      <c r="H115" s="86" t="s">
        <v>1907</v>
      </c>
      <c r="I115" s="85">
        <v>0.2</v>
      </c>
      <c r="J115" s="86" t="s">
        <v>2202</v>
      </c>
      <c r="K115" s="83" t="s">
        <v>1644</v>
      </c>
      <c r="L115" s="83" t="s">
        <v>1897</v>
      </c>
      <c r="M115" s="85">
        <v>0.59860000000000002</v>
      </c>
      <c r="N115" s="86" t="s">
        <v>2561</v>
      </c>
      <c r="O115" s="85">
        <v>0.59860000000000002</v>
      </c>
      <c r="P115" s="86" t="s">
        <v>2562</v>
      </c>
      <c r="Q115" s="83" t="s">
        <v>1644</v>
      </c>
      <c r="R115" s="83" t="s">
        <v>1897</v>
      </c>
      <c r="S115" s="103"/>
      <c r="T115" s="103"/>
      <c r="U115" s="103"/>
      <c r="V115" s="103"/>
      <c r="W115" s="103"/>
      <c r="X115" s="103"/>
    </row>
    <row r="116" spans="1:24" x14ac:dyDescent="0.25">
      <c r="A116" s="83" t="s">
        <v>1299</v>
      </c>
      <c r="B116" s="84" t="s">
        <v>1300</v>
      </c>
      <c r="C116" s="83" t="s">
        <v>798</v>
      </c>
      <c r="D116" s="83" t="s">
        <v>1976</v>
      </c>
      <c r="E116" s="83" t="s">
        <v>2563</v>
      </c>
      <c r="F116" s="83" t="s">
        <v>1864</v>
      </c>
      <c r="G116" s="85">
        <v>0.8</v>
      </c>
      <c r="H116" s="86" t="s">
        <v>2564</v>
      </c>
      <c r="I116" s="85">
        <v>0.73960000000000004</v>
      </c>
      <c r="J116" s="86" t="s">
        <v>1661</v>
      </c>
      <c r="K116" s="83" t="s">
        <v>1643</v>
      </c>
      <c r="L116" s="83" t="s">
        <v>1897</v>
      </c>
      <c r="M116" s="85">
        <v>0.66</v>
      </c>
      <c r="N116" s="86" t="s">
        <v>2341</v>
      </c>
      <c r="O116" s="85">
        <v>0.62490000000000001</v>
      </c>
      <c r="P116" s="86" t="s">
        <v>2565</v>
      </c>
      <c r="Q116" s="83" t="s">
        <v>1644</v>
      </c>
      <c r="R116" s="83" t="s">
        <v>1998</v>
      </c>
      <c r="S116" s="85">
        <v>6.0400000000000002E-2</v>
      </c>
      <c r="T116" s="86" t="s">
        <v>2566</v>
      </c>
      <c r="U116" s="85">
        <v>6.0400000000000002E-2</v>
      </c>
      <c r="V116" s="103" t="s">
        <v>850</v>
      </c>
      <c r="W116" s="83" t="s">
        <v>1643</v>
      </c>
      <c r="X116" s="83" t="s">
        <v>1897</v>
      </c>
    </row>
    <row r="117" spans="1:24" x14ac:dyDescent="0.25">
      <c r="A117" s="83" t="s">
        <v>1311</v>
      </c>
      <c r="B117" s="84" t="s">
        <v>1312</v>
      </c>
      <c r="C117" s="83" t="s">
        <v>798</v>
      </c>
      <c r="D117" s="83" t="s">
        <v>2001</v>
      </c>
      <c r="E117" s="83" t="s">
        <v>2576</v>
      </c>
      <c r="F117" s="83" t="s">
        <v>1864</v>
      </c>
      <c r="G117" s="85">
        <v>0.5</v>
      </c>
      <c r="H117" s="86" t="s">
        <v>2577</v>
      </c>
      <c r="I117" s="85">
        <v>0.33629999999999999</v>
      </c>
      <c r="J117" s="86" t="s">
        <v>2578</v>
      </c>
      <c r="K117" s="83" t="s">
        <v>1643</v>
      </c>
      <c r="L117" s="83" t="s">
        <v>1897</v>
      </c>
      <c r="M117" s="85">
        <v>0.45219999999999999</v>
      </c>
      <c r="N117" s="86" t="s">
        <v>2579</v>
      </c>
      <c r="O117" s="85">
        <v>0.35</v>
      </c>
      <c r="P117" s="86" t="s">
        <v>2580</v>
      </c>
      <c r="Q117" s="83" t="s">
        <v>1644</v>
      </c>
      <c r="R117" s="83" t="s">
        <v>1998</v>
      </c>
      <c r="S117" s="160"/>
      <c r="T117" s="161"/>
      <c r="U117" s="160"/>
      <c r="V117" s="161"/>
      <c r="W117" s="103"/>
      <c r="X117" s="103"/>
    </row>
    <row r="118" spans="1:24" x14ac:dyDescent="0.25">
      <c r="A118" s="83" t="s">
        <v>1313</v>
      </c>
      <c r="B118" s="84" t="s">
        <v>1314</v>
      </c>
      <c r="C118" s="83" t="s">
        <v>798</v>
      </c>
      <c r="D118" s="83" t="s">
        <v>2180</v>
      </c>
      <c r="E118" s="83" t="s">
        <v>2581</v>
      </c>
      <c r="F118" s="83" t="s">
        <v>1894</v>
      </c>
      <c r="G118" s="85">
        <v>1.1000000000000001</v>
      </c>
      <c r="H118" s="86" t="s">
        <v>2582</v>
      </c>
      <c r="I118" s="85">
        <v>1.0967</v>
      </c>
      <c r="J118" s="86" t="s">
        <v>2583</v>
      </c>
      <c r="K118" s="83" t="s">
        <v>1644</v>
      </c>
      <c r="L118" s="83" t="s">
        <v>2584</v>
      </c>
      <c r="M118" s="160"/>
      <c r="N118" s="103"/>
      <c r="O118" s="160"/>
      <c r="P118" s="103"/>
      <c r="Q118" s="103"/>
      <c r="R118" s="103"/>
      <c r="S118" s="160"/>
      <c r="T118" s="103"/>
      <c r="U118" s="160"/>
      <c r="V118" s="103"/>
      <c r="W118" s="103"/>
      <c r="X118" s="103"/>
    </row>
    <row r="119" spans="1:24" x14ac:dyDescent="0.25">
      <c r="A119" s="83" t="s">
        <v>1317</v>
      </c>
      <c r="B119" s="84" t="s">
        <v>1318</v>
      </c>
      <c r="C119" s="83" t="s">
        <v>798</v>
      </c>
      <c r="D119" s="83" t="s">
        <v>2076</v>
      </c>
      <c r="E119" s="83" t="s">
        <v>2588</v>
      </c>
      <c r="F119" s="83" t="s">
        <v>1894</v>
      </c>
      <c r="G119" s="85">
        <v>8.9999999999999998E-4</v>
      </c>
      <c r="H119" s="86" t="s">
        <v>1900</v>
      </c>
      <c r="I119" s="85">
        <v>0.88719999999999999</v>
      </c>
      <c r="J119" s="86" t="s">
        <v>2589</v>
      </c>
      <c r="K119" s="83" t="s">
        <v>1644</v>
      </c>
      <c r="L119" s="83" t="s">
        <v>1889</v>
      </c>
      <c r="M119" s="160"/>
      <c r="N119" s="103"/>
      <c r="O119" s="160"/>
      <c r="P119" s="103"/>
      <c r="Q119" s="103"/>
      <c r="R119" s="103"/>
      <c r="S119" s="160"/>
      <c r="T119" s="103"/>
      <c r="U119" s="160"/>
      <c r="V119" s="103"/>
      <c r="W119" s="103"/>
      <c r="X119" s="103"/>
    </row>
    <row r="120" spans="1:24" x14ac:dyDescent="0.25">
      <c r="A120" s="83" t="s">
        <v>1325</v>
      </c>
      <c r="B120" s="84" t="s">
        <v>1326</v>
      </c>
      <c r="C120" s="83" t="s">
        <v>798</v>
      </c>
      <c r="D120" s="83" t="s">
        <v>2068</v>
      </c>
      <c r="E120" s="83" t="s">
        <v>2598</v>
      </c>
      <c r="F120" s="83" t="s">
        <v>1864</v>
      </c>
      <c r="G120" s="85">
        <v>1.6351</v>
      </c>
      <c r="H120" s="86" t="s">
        <v>2599</v>
      </c>
      <c r="I120" s="85">
        <v>1.6351</v>
      </c>
      <c r="J120" s="86" t="s">
        <v>2600</v>
      </c>
      <c r="K120" s="83" t="s">
        <v>1644</v>
      </c>
      <c r="L120" s="83" t="s">
        <v>1897</v>
      </c>
      <c r="M120" s="103"/>
      <c r="N120" s="103"/>
      <c r="O120" s="103"/>
      <c r="P120" s="103"/>
      <c r="Q120" s="103"/>
      <c r="R120" s="103"/>
      <c r="S120" s="103"/>
      <c r="T120" s="103"/>
      <c r="U120" s="103"/>
      <c r="V120" s="103"/>
      <c r="W120" s="103"/>
      <c r="X120" s="103"/>
    </row>
    <row r="121" spans="1:24" x14ac:dyDescent="0.25">
      <c r="A121" s="83" t="s">
        <v>1345</v>
      </c>
      <c r="B121" s="84" t="s">
        <v>1346</v>
      </c>
      <c r="C121" s="83" t="s">
        <v>798</v>
      </c>
      <c r="D121" s="83" t="s">
        <v>1980</v>
      </c>
      <c r="E121" s="83" t="s">
        <v>2622</v>
      </c>
      <c r="F121" s="83" t="s">
        <v>1894</v>
      </c>
      <c r="G121" s="85">
        <v>1</v>
      </c>
      <c r="H121" s="86" t="s">
        <v>2623</v>
      </c>
      <c r="I121" s="85">
        <v>0.75</v>
      </c>
      <c r="J121" s="103" t="s">
        <v>850</v>
      </c>
      <c r="K121" s="83" t="s">
        <v>1643</v>
      </c>
      <c r="L121" s="83" t="s">
        <v>1897</v>
      </c>
      <c r="M121" s="160"/>
      <c r="N121" s="103"/>
      <c r="O121" s="160"/>
      <c r="P121" s="103"/>
      <c r="Q121" s="103"/>
      <c r="R121" s="103"/>
      <c r="S121" s="160"/>
      <c r="T121" s="103"/>
      <c r="U121" s="160"/>
      <c r="V121" s="103"/>
      <c r="W121" s="103"/>
      <c r="X121" s="103"/>
    </row>
    <row r="122" spans="1:24" x14ac:dyDescent="0.25">
      <c r="A122" s="83" t="s">
        <v>1351</v>
      </c>
      <c r="B122" s="84" t="s">
        <v>1352</v>
      </c>
      <c r="C122" s="83" t="s">
        <v>798</v>
      </c>
      <c r="D122" s="83" t="s">
        <v>2047</v>
      </c>
      <c r="E122" s="83" t="s">
        <v>2628</v>
      </c>
      <c r="F122" s="83" t="s">
        <v>1864</v>
      </c>
      <c r="G122" s="85">
        <v>1</v>
      </c>
      <c r="H122" s="86" t="s">
        <v>2629</v>
      </c>
      <c r="I122" s="85">
        <v>1</v>
      </c>
      <c r="J122" s="103" t="s">
        <v>850</v>
      </c>
      <c r="K122" s="83" t="s">
        <v>1643</v>
      </c>
      <c r="L122" s="83" t="s">
        <v>1889</v>
      </c>
      <c r="M122" s="85">
        <v>0.25</v>
      </c>
      <c r="N122" s="86" t="s">
        <v>2630</v>
      </c>
      <c r="O122" s="85">
        <v>0.25</v>
      </c>
      <c r="P122" s="86" t="s">
        <v>2631</v>
      </c>
      <c r="Q122" s="83" t="s">
        <v>1644</v>
      </c>
      <c r="R122" s="83" t="s">
        <v>1889</v>
      </c>
      <c r="S122" s="160"/>
      <c r="T122" s="103"/>
      <c r="U122" s="160"/>
      <c r="V122" s="103"/>
      <c r="W122" s="103"/>
      <c r="X122" s="103"/>
    </row>
    <row r="123" spans="1:24" x14ac:dyDescent="0.25">
      <c r="A123" s="83" t="s">
        <v>1357</v>
      </c>
      <c r="B123" s="84" t="s">
        <v>1358</v>
      </c>
      <c r="C123" s="83" t="s">
        <v>798</v>
      </c>
      <c r="D123" s="83" t="s">
        <v>2277</v>
      </c>
      <c r="E123" s="83" t="s">
        <v>2639</v>
      </c>
      <c r="F123" s="83" t="s">
        <v>1864</v>
      </c>
      <c r="G123" s="160"/>
      <c r="H123" s="103"/>
      <c r="I123" s="160"/>
      <c r="J123" s="103"/>
      <c r="K123" s="103"/>
      <c r="L123" s="103"/>
      <c r="M123" s="160"/>
      <c r="N123" s="103"/>
      <c r="O123" s="160"/>
      <c r="P123" s="103"/>
      <c r="Q123" s="103"/>
      <c r="R123" s="103"/>
      <c r="S123" s="160"/>
      <c r="T123" s="103"/>
      <c r="U123" s="160"/>
      <c r="V123" s="103"/>
      <c r="W123" s="103"/>
      <c r="X123" s="103"/>
    </row>
    <row r="124" spans="1:24" x14ac:dyDescent="0.25">
      <c r="A124" s="83" t="s">
        <v>1367</v>
      </c>
      <c r="B124" s="84" t="s">
        <v>1368</v>
      </c>
      <c r="C124" s="83" t="s">
        <v>798</v>
      </c>
      <c r="D124" s="83" t="s">
        <v>1970</v>
      </c>
      <c r="E124" s="83" t="s">
        <v>2652</v>
      </c>
      <c r="F124" s="83" t="s">
        <v>1894</v>
      </c>
      <c r="G124" s="85">
        <v>1</v>
      </c>
      <c r="H124" s="86" t="s">
        <v>2653</v>
      </c>
      <c r="I124" s="85">
        <v>0.6</v>
      </c>
      <c r="J124" s="86" t="s">
        <v>2654</v>
      </c>
      <c r="K124" s="83" t="s">
        <v>1644</v>
      </c>
      <c r="L124" s="83" t="s">
        <v>1897</v>
      </c>
      <c r="M124" s="160"/>
      <c r="N124" s="161"/>
      <c r="O124" s="160"/>
      <c r="P124" s="161"/>
      <c r="Q124" s="103"/>
      <c r="R124" s="103"/>
      <c r="S124" s="160"/>
      <c r="T124" s="161"/>
      <c r="U124" s="160"/>
      <c r="V124" s="161"/>
      <c r="W124" s="103"/>
      <c r="X124" s="103"/>
    </row>
    <row r="125" spans="1:24" x14ac:dyDescent="0.25">
      <c r="A125" s="83" t="s">
        <v>1371</v>
      </c>
      <c r="B125" s="84" t="s">
        <v>1372</v>
      </c>
      <c r="C125" s="83" t="s">
        <v>798</v>
      </c>
      <c r="D125" s="83" t="s">
        <v>2076</v>
      </c>
      <c r="E125" s="83" t="s">
        <v>2659</v>
      </c>
      <c r="F125" s="83" t="s">
        <v>1864</v>
      </c>
      <c r="G125" s="85">
        <v>0.93</v>
      </c>
      <c r="H125" s="86" t="s">
        <v>2660</v>
      </c>
      <c r="I125" s="85">
        <v>0.93</v>
      </c>
      <c r="J125" s="86" t="s">
        <v>2661</v>
      </c>
      <c r="K125" s="83" t="s">
        <v>1644</v>
      </c>
      <c r="L125" s="83" t="s">
        <v>1897</v>
      </c>
      <c r="M125" s="160"/>
      <c r="N125" s="103"/>
      <c r="O125" s="160"/>
      <c r="P125" s="103"/>
      <c r="Q125" s="103"/>
      <c r="R125" s="103"/>
      <c r="S125" s="160"/>
      <c r="T125" s="103"/>
      <c r="U125" s="160"/>
      <c r="V125" s="103"/>
      <c r="W125" s="103"/>
      <c r="X125" s="103"/>
    </row>
    <row r="126" spans="1:24" x14ac:dyDescent="0.25">
      <c r="A126" s="83" t="s">
        <v>1377</v>
      </c>
      <c r="B126" s="84" t="s">
        <v>1378</v>
      </c>
      <c r="C126" s="83" t="s">
        <v>798</v>
      </c>
      <c r="D126" s="83" t="s">
        <v>1970</v>
      </c>
      <c r="E126" s="83" t="s">
        <v>2668</v>
      </c>
      <c r="F126" s="83" t="s">
        <v>1864</v>
      </c>
      <c r="G126" s="85">
        <v>0.5</v>
      </c>
      <c r="H126" s="86" t="s">
        <v>2257</v>
      </c>
      <c r="I126" s="85">
        <v>0.5</v>
      </c>
      <c r="J126" s="86" t="s">
        <v>2669</v>
      </c>
      <c r="K126" s="83" t="s">
        <v>1644</v>
      </c>
      <c r="L126" s="83" t="s">
        <v>1897</v>
      </c>
      <c r="M126" s="85">
        <v>0.5</v>
      </c>
      <c r="N126" s="86" t="s">
        <v>2670</v>
      </c>
      <c r="O126" s="85">
        <v>0.5</v>
      </c>
      <c r="P126" s="86" t="s">
        <v>2671</v>
      </c>
      <c r="Q126" s="83" t="s">
        <v>1644</v>
      </c>
      <c r="R126" s="83" t="s">
        <v>1998</v>
      </c>
      <c r="S126" s="85">
        <v>0.35</v>
      </c>
      <c r="T126" s="86" t="s">
        <v>2670</v>
      </c>
      <c r="U126" s="85">
        <v>0.35</v>
      </c>
      <c r="V126" s="86" t="s">
        <v>2672</v>
      </c>
      <c r="W126" s="83" t="s">
        <v>1644</v>
      </c>
      <c r="X126" s="83" t="s">
        <v>1897</v>
      </c>
    </row>
    <row r="127" spans="1:24" x14ac:dyDescent="0.25">
      <c r="A127" s="83" t="s">
        <v>1385</v>
      </c>
      <c r="B127" s="84" t="s">
        <v>1386</v>
      </c>
      <c r="C127" s="83" t="s">
        <v>798</v>
      </c>
      <c r="D127" s="83" t="s">
        <v>1999</v>
      </c>
      <c r="E127" s="83" t="s">
        <v>2002</v>
      </c>
      <c r="F127" s="83" t="s">
        <v>1894</v>
      </c>
      <c r="G127" s="85">
        <v>0.5</v>
      </c>
      <c r="H127" s="86" t="s">
        <v>2684</v>
      </c>
      <c r="I127" s="85">
        <v>0.46210000000000001</v>
      </c>
      <c r="J127" s="103" t="s">
        <v>850</v>
      </c>
      <c r="K127" s="83" t="s">
        <v>1643</v>
      </c>
      <c r="L127" s="83" t="s">
        <v>1897</v>
      </c>
      <c r="M127" s="160"/>
      <c r="N127" s="103"/>
      <c r="O127" s="160"/>
      <c r="P127" s="103"/>
      <c r="Q127" s="103"/>
      <c r="R127" s="103"/>
      <c r="S127" s="160"/>
      <c r="T127" s="103"/>
      <c r="U127" s="160"/>
      <c r="V127" s="103"/>
      <c r="W127" s="103"/>
      <c r="X127" s="103"/>
    </row>
    <row r="128" spans="1:24" x14ac:dyDescent="0.25">
      <c r="A128" s="83" t="s">
        <v>1391</v>
      </c>
      <c r="B128" s="84" t="s">
        <v>1392</v>
      </c>
      <c r="C128" s="83" t="s">
        <v>798</v>
      </c>
      <c r="D128" s="83" t="s">
        <v>2205</v>
      </c>
      <c r="E128" s="83" t="s">
        <v>2691</v>
      </c>
      <c r="F128" s="83" t="s">
        <v>1894</v>
      </c>
      <c r="G128" s="85">
        <v>0.99839999999999995</v>
      </c>
      <c r="H128" s="86" t="s">
        <v>2692</v>
      </c>
      <c r="I128" s="85">
        <v>0.99839999999999995</v>
      </c>
      <c r="J128" s="86" t="s">
        <v>2562</v>
      </c>
      <c r="K128" s="83" t="s">
        <v>1644</v>
      </c>
      <c r="L128" s="83" t="s">
        <v>1897</v>
      </c>
      <c r="M128" s="103" t="s">
        <v>850</v>
      </c>
      <c r="N128" s="103" t="s">
        <v>850</v>
      </c>
      <c r="O128" s="103" t="s">
        <v>850</v>
      </c>
      <c r="P128" s="103" t="s">
        <v>850</v>
      </c>
      <c r="Q128" s="83" t="s">
        <v>1644</v>
      </c>
      <c r="R128" s="103" t="s">
        <v>850</v>
      </c>
      <c r="S128" s="103"/>
      <c r="T128" s="103"/>
      <c r="U128" s="103"/>
      <c r="V128" s="103"/>
      <c r="W128" s="103"/>
      <c r="X128" s="103"/>
    </row>
    <row r="129" spans="1:24" x14ac:dyDescent="0.25">
      <c r="A129" s="83" t="s">
        <v>1393</v>
      </c>
      <c r="B129" s="84" t="s">
        <v>1394</v>
      </c>
      <c r="C129" s="83" t="s">
        <v>798</v>
      </c>
      <c r="D129" s="83" t="s">
        <v>2043</v>
      </c>
      <c r="E129" s="83" t="s">
        <v>2693</v>
      </c>
      <c r="F129" s="83" t="s">
        <v>1864</v>
      </c>
      <c r="G129" s="85">
        <v>0.75</v>
      </c>
      <c r="H129" s="86" t="s">
        <v>2694</v>
      </c>
      <c r="I129" s="85">
        <v>0.68120000000000003</v>
      </c>
      <c r="J129" s="103" t="s">
        <v>850</v>
      </c>
      <c r="K129" s="83" t="s">
        <v>1643</v>
      </c>
      <c r="L129" s="83" t="s">
        <v>1897</v>
      </c>
      <c r="M129" s="85">
        <v>6.88E-2</v>
      </c>
      <c r="N129" s="86" t="s">
        <v>2029</v>
      </c>
      <c r="O129" s="85">
        <v>6.88E-2</v>
      </c>
      <c r="P129" s="103" t="s">
        <v>850</v>
      </c>
      <c r="Q129" s="83" t="s">
        <v>1643</v>
      </c>
      <c r="R129" s="83" t="s">
        <v>1897</v>
      </c>
      <c r="S129" s="103"/>
      <c r="T129" s="103"/>
      <c r="U129" s="103"/>
      <c r="V129" s="103"/>
      <c r="W129" s="103"/>
      <c r="X129" s="103"/>
    </row>
    <row r="130" spans="1:24" x14ac:dyDescent="0.25">
      <c r="A130" s="83" t="s">
        <v>1399</v>
      </c>
      <c r="B130" s="84" t="s">
        <v>1400</v>
      </c>
      <c r="C130" s="83" t="s">
        <v>798</v>
      </c>
      <c r="D130" s="83" t="s">
        <v>2076</v>
      </c>
      <c r="E130" s="83" t="s">
        <v>2699</v>
      </c>
      <c r="F130" s="83" t="s">
        <v>1894</v>
      </c>
      <c r="G130" s="85">
        <v>1</v>
      </c>
      <c r="H130" s="86" t="s">
        <v>2210</v>
      </c>
      <c r="I130" s="85">
        <v>1</v>
      </c>
      <c r="J130" s="86" t="s">
        <v>2700</v>
      </c>
      <c r="K130" s="83" t="s">
        <v>1644</v>
      </c>
      <c r="L130" s="83" t="s">
        <v>1897</v>
      </c>
      <c r="M130" s="160"/>
      <c r="N130" s="103"/>
      <c r="O130" s="160"/>
      <c r="P130" s="103"/>
      <c r="Q130" s="103"/>
      <c r="R130" s="103"/>
      <c r="S130" s="103"/>
      <c r="T130" s="103"/>
      <c r="U130" s="103"/>
      <c r="V130" s="103"/>
      <c r="W130" s="103"/>
      <c r="X130" s="103"/>
    </row>
    <row r="131" spans="1:24" x14ac:dyDescent="0.25">
      <c r="A131" s="83" t="s">
        <v>1405</v>
      </c>
      <c r="B131" s="84" t="s">
        <v>1406</v>
      </c>
      <c r="C131" s="83" t="s">
        <v>798</v>
      </c>
      <c r="D131" s="83" t="s">
        <v>2064</v>
      </c>
      <c r="E131" s="83" t="s">
        <v>2706</v>
      </c>
      <c r="F131" s="83" t="s">
        <v>1894</v>
      </c>
      <c r="G131" s="85">
        <v>1</v>
      </c>
      <c r="H131" s="86" t="s">
        <v>1985</v>
      </c>
      <c r="I131" s="85">
        <v>0.99650000000000005</v>
      </c>
      <c r="J131" s="86" t="s">
        <v>2707</v>
      </c>
      <c r="K131" s="83" t="s">
        <v>1644</v>
      </c>
      <c r="L131" s="83" t="s">
        <v>1897</v>
      </c>
      <c r="M131" s="103" t="s">
        <v>850</v>
      </c>
      <c r="N131" s="86" t="s">
        <v>2303</v>
      </c>
      <c r="O131" s="103" t="s">
        <v>850</v>
      </c>
      <c r="P131" s="86" t="s">
        <v>2708</v>
      </c>
      <c r="Q131" s="83" t="s">
        <v>1644</v>
      </c>
      <c r="R131" s="83" t="s">
        <v>1998</v>
      </c>
      <c r="S131" s="103"/>
      <c r="T131" s="161"/>
      <c r="U131" s="103"/>
      <c r="V131" s="161"/>
      <c r="W131" s="103"/>
      <c r="X131" s="103"/>
    </row>
    <row r="132" spans="1:24" x14ac:dyDescent="0.25">
      <c r="A132" s="83" t="s">
        <v>1417</v>
      </c>
      <c r="B132" s="84" t="s">
        <v>1418</v>
      </c>
      <c r="C132" s="83" t="s">
        <v>798</v>
      </c>
      <c r="D132" s="83" t="s">
        <v>2043</v>
      </c>
      <c r="E132" s="83" t="s">
        <v>2716</v>
      </c>
      <c r="F132" s="83" t="s">
        <v>1894</v>
      </c>
      <c r="G132" s="85">
        <v>1</v>
      </c>
      <c r="H132" s="86" t="s">
        <v>2717</v>
      </c>
      <c r="I132" s="85">
        <v>1</v>
      </c>
      <c r="J132" s="86" t="s">
        <v>2718</v>
      </c>
      <c r="K132" s="83" t="s">
        <v>1644</v>
      </c>
      <c r="L132" s="83" t="s">
        <v>1897</v>
      </c>
      <c r="M132" s="160"/>
      <c r="N132" s="103"/>
      <c r="O132" s="160"/>
      <c r="P132" s="103"/>
      <c r="Q132" s="103"/>
      <c r="R132" s="103"/>
      <c r="S132" s="160"/>
      <c r="T132" s="103"/>
      <c r="U132" s="160"/>
      <c r="V132" s="103"/>
      <c r="W132" s="103"/>
      <c r="X132" s="103"/>
    </row>
    <row r="133" spans="1:24" x14ac:dyDescent="0.25">
      <c r="A133" s="83" t="s">
        <v>1429</v>
      </c>
      <c r="B133" s="84" t="s">
        <v>1430</v>
      </c>
      <c r="C133" s="83" t="s">
        <v>798</v>
      </c>
      <c r="D133" s="83" t="s">
        <v>2415</v>
      </c>
      <c r="E133" s="83" t="s">
        <v>2727</v>
      </c>
      <c r="F133" s="83" t="s">
        <v>1894</v>
      </c>
      <c r="G133" s="85">
        <v>0.75</v>
      </c>
      <c r="H133" s="86" t="s">
        <v>2213</v>
      </c>
      <c r="I133" s="85">
        <v>0.75</v>
      </c>
      <c r="J133" s="86" t="s">
        <v>2728</v>
      </c>
      <c r="K133" s="83" t="s">
        <v>1644</v>
      </c>
      <c r="L133" s="83" t="s">
        <v>1889</v>
      </c>
      <c r="M133" s="103"/>
      <c r="N133" s="103"/>
      <c r="O133" s="103"/>
      <c r="P133" s="103"/>
      <c r="Q133" s="103"/>
      <c r="R133" s="103"/>
      <c r="S133" s="103"/>
      <c r="T133" s="103"/>
      <c r="U133" s="103"/>
      <c r="V133" s="103"/>
      <c r="W133" s="103"/>
      <c r="X133" s="103"/>
    </row>
    <row r="134" spans="1:24" x14ac:dyDescent="0.25">
      <c r="A134" s="83" t="s">
        <v>1443</v>
      </c>
      <c r="B134" s="84" t="s">
        <v>1444</v>
      </c>
      <c r="C134" s="83" t="s">
        <v>798</v>
      </c>
      <c r="D134" s="83" t="s">
        <v>2507</v>
      </c>
      <c r="E134" s="83" t="s">
        <v>2745</v>
      </c>
      <c r="F134" s="83" t="s">
        <v>88</v>
      </c>
      <c r="G134" s="85">
        <v>1</v>
      </c>
      <c r="H134" s="86" t="s">
        <v>2746</v>
      </c>
      <c r="I134" s="85">
        <v>1</v>
      </c>
      <c r="J134" s="86" t="s">
        <v>2747</v>
      </c>
      <c r="K134" s="83" t="s">
        <v>1644</v>
      </c>
      <c r="L134" s="83" t="s">
        <v>1897</v>
      </c>
      <c r="M134" s="85">
        <v>0.5</v>
      </c>
      <c r="N134" s="86" t="s">
        <v>2748</v>
      </c>
      <c r="O134" s="85">
        <v>0.5</v>
      </c>
      <c r="P134" s="86" t="s">
        <v>2749</v>
      </c>
      <c r="Q134" s="83" t="s">
        <v>1644</v>
      </c>
      <c r="R134" s="83" t="s">
        <v>1897</v>
      </c>
      <c r="S134" s="85">
        <v>0.25</v>
      </c>
      <c r="T134" s="86" t="s">
        <v>2748</v>
      </c>
      <c r="U134" s="85">
        <v>0.25</v>
      </c>
      <c r="V134" s="86" t="s">
        <v>2749</v>
      </c>
      <c r="W134" s="83" t="s">
        <v>1644</v>
      </c>
      <c r="X134" s="83" t="s">
        <v>1897</v>
      </c>
    </row>
    <row r="135" spans="1:24" x14ac:dyDescent="0.25">
      <c r="A135" s="83" t="s">
        <v>1453</v>
      </c>
      <c r="B135" s="84" t="s">
        <v>1454</v>
      </c>
      <c r="C135" s="83" t="s">
        <v>798</v>
      </c>
      <c r="D135" s="83" t="s">
        <v>1898</v>
      </c>
      <c r="E135" s="83" t="s">
        <v>1898</v>
      </c>
      <c r="F135" s="83" t="s">
        <v>1894</v>
      </c>
      <c r="G135" s="85">
        <v>0.625</v>
      </c>
      <c r="H135" s="86" t="s">
        <v>2315</v>
      </c>
      <c r="I135" s="85">
        <v>0.62460000000000004</v>
      </c>
      <c r="J135" s="86" t="s">
        <v>2311</v>
      </c>
      <c r="K135" s="83" t="s">
        <v>1644</v>
      </c>
      <c r="L135" s="83" t="s">
        <v>1897</v>
      </c>
      <c r="M135" s="85">
        <v>0.2</v>
      </c>
      <c r="N135" s="86" t="s">
        <v>2189</v>
      </c>
      <c r="O135" s="85">
        <v>0.2</v>
      </c>
      <c r="P135" s="86" t="s">
        <v>2186</v>
      </c>
      <c r="Q135" s="83" t="s">
        <v>1644</v>
      </c>
      <c r="R135" s="83" t="s">
        <v>1897</v>
      </c>
      <c r="S135" s="160"/>
      <c r="T135" s="161"/>
      <c r="U135" s="160"/>
      <c r="V135" s="161"/>
      <c r="W135" s="103"/>
      <c r="X135" s="103"/>
    </row>
    <row r="136" spans="1:24" x14ac:dyDescent="0.25">
      <c r="A136" s="83" t="s">
        <v>1457</v>
      </c>
      <c r="B136" s="84" t="s">
        <v>1458</v>
      </c>
      <c r="C136" s="83" t="s">
        <v>798</v>
      </c>
      <c r="D136" s="83" t="s">
        <v>1919</v>
      </c>
      <c r="E136" s="83" t="s">
        <v>2765</v>
      </c>
      <c r="F136" s="83" t="s">
        <v>1894</v>
      </c>
      <c r="G136" s="85">
        <v>0.3</v>
      </c>
      <c r="H136" s="86" t="s">
        <v>2766</v>
      </c>
      <c r="I136" s="85">
        <v>0.21540000000000001</v>
      </c>
      <c r="J136" s="86" t="s">
        <v>2739</v>
      </c>
      <c r="K136" s="83" t="s">
        <v>1643</v>
      </c>
      <c r="L136" s="83" t="s">
        <v>1897</v>
      </c>
      <c r="M136" s="85">
        <v>0.2</v>
      </c>
      <c r="N136" s="86" t="s">
        <v>2717</v>
      </c>
      <c r="O136" s="85">
        <v>0.19320000000000001</v>
      </c>
      <c r="P136" s="86" t="s">
        <v>2718</v>
      </c>
      <c r="Q136" s="83" t="s">
        <v>1644</v>
      </c>
      <c r="R136" s="83" t="s">
        <v>1897</v>
      </c>
      <c r="S136" s="160"/>
      <c r="T136" s="161"/>
      <c r="U136" s="103"/>
      <c r="V136" s="103"/>
      <c r="W136" s="103"/>
      <c r="X136" s="103"/>
    </row>
    <row r="137" spans="1:24" x14ac:dyDescent="0.25">
      <c r="A137" s="83" t="s">
        <v>1463</v>
      </c>
      <c r="B137" s="84" t="s">
        <v>1464</v>
      </c>
      <c r="C137" s="83" t="s">
        <v>798</v>
      </c>
      <c r="D137" s="83" t="s">
        <v>1970</v>
      </c>
      <c r="E137" s="83" t="s">
        <v>2770</v>
      </c>
      <c r="F137" s="83" t="s">
        <v>1864</v>
      </c>
      <c r="G137" s="85">
        <v>0.5</v>
      </c>
      <c r="H137" s="86" t="s">
        <v>2771</v>
      </c>
      <c r="I137" s="85">
        <v>0.5</v>
      </c>
      <c r="J137" s="86" t="s">
        <v>2772</v>
      </c>
      <c r="K137" s="83" t="s">
        <v>1644</v>
      </c>
      <c r="L137" s="83" t="s">
        <v>1897</v>
      </c>
      <c r="M137" s="85">
        <v>0.3</v>
      </c>
      <c r="N137" s="86" t="s">
        <v>2771</v>
      </c>
      <c r="O137" s="85">
        <v>0.3</v>
      </c>
      <c r="P137" s="86" t="s">
        <v>2773</v>
      </c>
      <c r="Q137" s="83" t="s">
        <v>1644</v>
      </c>
      <c r="R137" s="83" t="s">
        <v>1897</v>
      </c>
      <c r="S137" s="85">
        <v>0.1</v>
      </c>
      <c r="T137" s="86" t="s">
        <v>1923</v>
      </c>
      <c r="U137" s="85">
        <v>0.1</v>
      </c>
      <c r="V137" s="86" t="s">
        <v>2774</v>
      </c>
      <c r="W137" s="83" t="s">
        <v>1644</v>
      </c>
      <c r="X137" s="83" t="s">
        <v>1897</v>
      </c>
    </row>
    <row r="138" spans="1:24" x14ac:dyDescent="0.25">
      <c r="A138" s="83" t="s">
        <v>1472</v>
      </c>
      <c r="B138" s="84" t="s">
        <v>1473</v>
      </c>
      <c r="C138" s="83" t="s">
        <v>798</v>
      </c>
      <c r="D138" s="83" t="s">
        <v>2132</v>
      </c>
      <c r="E138" s="83" t="s">
        <v>2778</v>
      </c>
      <c r="F138" s="83" t="s">
        <v>1864</v>
      </c>
      <c r="G138" s="85">
        <v>0.75</v>
      </c>
      <c r="H138" s="86" t="s">
        <v>2374</v>
      </c>
      <c r="I138" s="85">
        <v>0.75</v>
      </c>
      <c r="J138" s="86" t="s">
        <v>2779</v>
      </c>
      <c r="K138" s="83" t="s">
        <v>1644</v>
      </c>
      <c r="L138" s="83" t="s">
        <v>1897</v>
      </c>
      <c r="M138" s="103" t="s">
        <v>850</v>
      </c>
      <c r="N138" s="103" t="s">
        <v>850</v>
      </c>
      <c r="O138" s="103" t="s">
        <v>850</v>
      </c>
      <c r="P138" s="103" t="s">
        <v>850</v>
      </c>
      <c r="Q138" s="83" t="s">
        <v>1644</v>
      </c>
      <c r="R138" s="103" t="s">
        <v>850</v>
      </c>
      <c r="S138" s="103"/>
      <c r="T138" s="103"/>
      <c r="U138" s="103"/>
      <c r="V138" s="103"/>
      <c r="W138" s="103"/>
      <c r="X138" s="103"/>
    </row>
    <row r="139" spans="1:24" x14ac:dyDescent="0.25">
      <c r="A139" s="83" t="s">
        <v>1494</v>
      </c>
      <c r="B139" s="84" t="s">
        <v>1495</v>
      </c>
      <c r="C139" s="83" t="s">
        <v>798</v>
      </c>
      <c r="D139" s="83" t="s">
        <v>1892</v>
      </c>
      <c r="E139" s="83" t="s">
        <v>2806</v>
      </c>
      <c r="F139" s="83" t="s">
        <v>1894</v>
      </c>
      <c r="G139" s="85">
        <v>1.25</v>
      </c>
      <c r="H139" s="86" t="s">
        <v>2807</v>
      </c>
      <c r="I139" s="85">
        <v>1.25</v>
      </c>
      <c r="J139" s="86" t="s">
        <v>2808</v>
      </c>
      <c r="K139" s="83" t="s">
        <v>1644</v>
      </c>
      <c r="L139" s="83" t="s">
        <v>1897</v>
      </c>
      <c r="M139" s="160"/>
      <c r="N139" s="103"/>
      <c r="O139" s="160"/>
      <c r="P139" s="161"/>
      <c r="Q139" s="103"/>
      <c r="R139" s="103"/>
      <c r="S139" s="160"/>
      <c r="T139" s="103"/>
      <c r="U139" s="160"/>
      <c r="V139" s="103"/>
      <c r="W139" s="103"/>
      <c r="X139" s="103"/>
    </row>
    <row r="140" spans="1:24" x14ac:dyDescent="0.25">
      <c r="A140" s="83" t="s">
        <v>1506</v>
      </c>
      <c r="B140" s="84" t="s">
        <v>1507</v>
      </c>
      <c r="C140" s="83" t="s">
        <v>798</v>
      </c>
      <c r="D140" s="83" t="s">
        <v>2334</v>
      </c>
      <c r="E140" s="83" t="s">
        <v>2818</v>
      </c>
      <c r="F140" s="83" t="s">
        <v>1894</v>
      </c>
      <c r="G140" s="85">
        <v>0.5</v>
      </c>
      <c r="H140" s="86" t="s">
        <v>2336</v>
      </c>
      <c r="I140" s="85">
        <v>0.48499999999999999</v>
      </c>
      <c r="J140" s="86" t="s">
        <v>2819</v>
      </c>
      <c r="K140" s="83" t="s">
        <v>1644</v>
      </c>
      <c r="L140" s="83" t="s">
        <v>1897</v>
      </c>
      <c r="M140" s="103"/>
      <c r="N140" s="103"/>
      <c r="O140" s="103"/>
      <c r="P140" s="161"/>
      <c r="Q140" s="103"/>
      <c r="R140" s="103"/>
      <c r="S140" s="103"/>
      <c r="T140" s="103"/>
      <c r="U140" s="103"/>
      <c r="V140" s="103"/>
      <c r="W140" s="103"/>
      <c r="X140" s="103"/>
    </row>
    <row r="141" spans="1:24" x14ac:dyDescent="0.25">
      <c r="A141" s="83" t="s">
        <v>1514</v>
      </c>
      <c r="B141" s="84" t="s">
        <v>1515</v>
      </c>
      <c r="C141" s="83" t="s">
        <v>798</v>
      </c>
      <c r="D141" s="83" t="s">
        <v>2043</v>
      </c>
      <c r="E141" s="83" t="s">
        <v>2827</v>
      </c>
      <c r="F141" s="83" t="s">
        <v>1864</v>
      </c>
      <c r="G141" s="160"/>
      <c r="H141" s="103"/>
      <c r="I141" s="160"/>
      <c r="J141" s="103"/>
      <c r="K141" s="103"/>
      <c r="L141" s="103"/>
      <c r="M141" s="160"/>
      <c r="N141" s="103"/>
      <c r="O141" s="160"/>
      <c r="P141" s="103"/>
      <c r="Q141" s="103"/>
      <c r="R141" s="103" t="s">
        <v>850</v>
      </c>
      <c r="S141" s="160"/>
      <c r="T141" s="103"/>
      <c r="U141" s="160"/>
      <c r="V141" s="103"/>
      <c r="W141" s="103"/>
      <c r="X141" s="103"/>
    </row>
    <row r="142" spans="1:24" x14ac:dyDescent="0.25">
      <c r="A142" s="83" t="s">
        <v>1522</v>
      </c>
      <c r="B142" s="84" t="s">
        <v>1523</v>
      </c>
      <c r="C142" s="83" t="s">
        <v>798</v>
      </c>
      <c r="D142" s="83" t="s">
        <v>2043</v>
      </c>
      <c r="E142" s="83" t="s">
        <v>2836</v>
      </c>
      <c r="F142" s="83" t="s">
        <v>1864</v>
      </c>
      <c r="G142" s="160"/>
      <c r="H142" s="103"/>
      <c r="I142" s="160"/>
      <c r="J142" s="103"/>
      <c r="K142" s="103"/>
      <c r="L142" s="103"/>
      <c r="M142" s="160"/>
      <c r="N142" s="103"/>
      <c r="O142" s="160"/>
      <c r="P142" s="103"/>
      <c r="Q142" s="103"/>
      <c r="R142" s="103"/>
      <c r="S142" s="160"/>
      <c r="T142" s="103"/>
      <c r="U142" s="160"/>
      <c r="V142" s="103"/>
      <c r="W142" s="103"/>
      <c r="X142" s="103"/>
    </row>
    <row r="143" spans="1:24" x14ac:dyDescent="0.25">
      <c r="A143" s="83" t="s">
        <v>1530</v>
      </c>
      <c r="B143" s="84" t="s">
        <v>1531</v>
      </c>
      <c r="C143" s="83" t="s">
        <v>798</v>
      </c>
      <c r="D143" s="83" t="s">
        <v>2001</v>
      </c>
      <c r="E143" s="83" t="s">
        <v>2844</v>
      </c>
      <c r="F143" s="83" t="s">
        <v>1864</v>
      </c>
      <c r="G143" s="85">
        <v>1.5</v>
      </c>
      <c r="H143" s="86" t="s">
        <v>2845</v>
      </c>
      <c r="I143" s="85">
        <v>1.4796</v>
      </c>
      <c r="J143" s="86" t="s">
        <v>2846</v>
      </c>
      <c r="K143" s="83" t="s">
        <v>1644</v>
      </c>
      <c r="L143" s="83" t="s">
        <v>1897</v>
      </c>
      <c r="M143" s="103" t="s">
        <v>850</v>
      </c>
      <c r="N143" s="103" t="s">
        <v>850</v>
      </c>
      <c r="O143" s="103" t="s">
        <v>850</v>
      </c>
      <c r="P143" s="103" t="s">
        <v>850</v>
      </c>
      <c r="Q143" s="103"/>
      <c r="R143" s="103"/>
      <c r="S143" s="103"/>
      <c r="T143" s="161"/>
      <c r="U143" s="103"/>
      <c r="V143" s="161"/>
      <c r="W143" s="103"/>
      <c r="X143" s="103"/>
    </row>
    <row r="144" spans="1:24" x14ac:dyDescent="0.25">
      <c r="A144" s="83" t="s">
        <v>1544</v>
      </c>
      <c r="B144" s="84" t="s">
        <v>1545</v>
      </c>
      <c r="C144" s="83" t="s">
        <v>798</v>
      </c>
      <c r="D144" s="83" t="s">
        <v>1952</v>
      </c>
      <c r="E144" s="83" t="s">
        <v>2858</v>
      </c>
      <c r="F144" s="83" t="s">
        <v>88</v>
      </c>
      <c r="G144" s="85">
        <v>1</v>
      </c>
      <c r="H144" s="86" t="s">
        <v>2859</v>
      </c>
      <c r="I144" s="85">
        <v>0.83389999999999997</v>
      </c>
      <c r="J144" s="86" t="s">
        <v>1888</v>
      </c>
      <c r="K144" s="83" t="s">
        <v>1643</v>
      </c>
      <c r="L144" s="83" t="s">
        <v>1897</v>
      </c>
      <c r="M144" s="85">
        <v>0.4</v>
      </c>
      <c r="N144" s="86" t="s">
        <v>1946</v>
      </c>
      <c r="O144" s="85">
        <v>0.4</v>
      </c>
      <c r="P144" s="86" t="s">
        <v>2860</v>
      </c>
      <c r="Q144" s="83" t="s">
        <v>1644</v>
      </c>
      <c r="R144" s="83" t="s">
        <v>1897</v>
      </c>
      <c r="S144" s="103"/>
      <c r="T144" s="103"/>
      <c r="U144" s="103"/>
      <c r="V144" s="103"/>
      <c r="W144" s="103"/>
      <c r="X144" s="103"/>
    </row>
    <row r="145" spans="1:24" x14ac:dyDescent="0.25">
      <c r="A145" s="83" t="s">
        <v>1550</v>
      </c>
      <c r="B145" s="84" t="s">
        <v>1551</v>
      </c>
      <c r="C145" s="83" t="s">
        <v>798</v>
      </c>
      <c r="D145" s="83" t="s">
        <v>2157</v>
      </c>
      <c r="E145" s="83" t="s">
        <v>2867</v>
      </c>
      <c r="F145" s="83" t="s">
        <v>1864</v>
      </c>
      <c r="G145" s="85">
        <v>0.5</v>
      </c>
      <c r="H145" s="86" t="s">
        <v>2868</v>
      </c>
      <c r="I145" s="85">
        <v>0.05</v>
      </c>
      <c r="J145" s="86" t="s">
        <v>1935</v>
      </c>
      <c r="K145" s="83" t="s">
        <v>1643</v>
      </c>
      <c r="L145" s="83" t="s">
        <v>1897</v>
      </c>
      <c r="M145" s="103"/>
      <c r="N145" s="161"/>
      <c r="O145" s="103"/>
      <c r="P145" s="103"/>
      <c r="Q145" s="103"/>
      <c r="R145" s="103"/>
      <c r="S145" s="103"/>
      <c r="T145" s="103"/>
      <c r="U145" s="103"/>
      <c r="V145" s="103"/>
      <c r="W145" s="103"/>
      <c r="X145" s="103"/>
    </row>
    <row r="146" spans="1:24" x14ac:dyDescent="0.25">
      <c r="A146" s="83" t="s">
        <v>1560</v>
      </c>
      <c r="B146" s="84" t="s">
        <v>1561</v>
      </c>
      <c r="C146" s="83" t="s">
        <v>798</v>
      </c>
      <c r="D146" s="83" t="s">
        <v>1885</v>
      </c>
      <c r="E146" s="83" t="s">
        <v>2875</v>
      </c>
      <c r="F146" s="83" t="s">
        <v>88</v>
      </c>
      <c r="G146" s="85">
        <v>1</v>
      </c>
      <c r="H146" s="86" t="s">
        <v>2876</v>
      </c>
      <c r="I146" s="85">
        <v>0.79500000000000004</v>
      </c>
      <c r="J146" s="103" t="s">
        <v>850</v>
      </c>
      <c r="K146" s="83" t="s">
        <v>1643</v>
      </c>
      <c r="L146" s="83" t="s">
        <v>1897</v>
      </c>
      <c r="M146" s="85">
        <v>0.98740000000000006</v>
      </c>
      <c r="N146" s="86" t="s">
        <v>2313</v>
      </c>
      <c r="O146" s="85">
        <v>0.98740000000000006</v>
      </c>
      <c r="P146" s="86" t="s">
        <v>2690</v>
      </c>
      <c r="Q146" s="83" t="s">
        <v>1644</v>
      </c>
      <c r="R146" s="83" t="s">
        <v>1897</v>
      </c>
      <c r="S146" s="103"/>
      <c r="T146" s="103"/>
      <c r="U146" s="103"/>
      <c r="V146" s="103"/>
      <c r="W146" s="103"/>
      <c r="X146" s="103"/>
    </row>
    <row r="147" spans="1:24" x14ac:dyDescent="0.25">
      <c r="A147" s="83" t="s">
        <v>1570</v>
      </c>
      <c r="B147" s="84" t="s">
        <v>1571</v>
      </c>
      <c r="C147" s="83" t="s">
        <v>798</v>
      </c>
      <c r="D147" s="83" t="s">
        <v>2001</v>
      </c>
      <c r="E147" s="83" t="s">
        <v>2885</v>
      </c>
      <c r="F147" s="83" t="s">
        <v>1894</v>
      </c>
      <c r="G147" s="85">
        <v>0.5</v>
      </c>
      <c r="H147" s="86" t="s">
        <v>2210</v>
      </c>
      <c r="I147" s="85">
        <v>0.5</v>
      </c>
      <c r="J147" s="86" t="s">
        <v>2886</v>
      </c>
      <c r="K147" s="83" t="s">
        <v>1644</v>
      </c>
      <c r="L147" s="83" t="s">
        <v>1897</v>
      </c>
      <c r="M147" s="85">
        <v>0.5</v>
      </c>
      <c r="N147" s="86" t="s">
        <v>1946</v>
      </c>
      <c r="O147" s="85">
        <v>0.5</v>
      </c>
      <c r="P147" s="86" t="s">
        <v>2339</v>
      </c>
      <c r="Q147" s="83" t="s">
        <v>1644</v>
      </c>
      <c r="R147" s="83" t="s">
        <v>1897</v>
      </c>
      <c r="S147" s="160"/>
      <c r="T147" s="161"/>
      <c r="U147" s="160"/>
      <c r="V147" s="161"/>
      <c r="W147" s="103"/>
      <c r="X147" s="103"/>
    </row>
    <row r="148" spans="1:24" x14ac:dyDescent="0.25">
      <c r="A148" s="83" t="s">
        <v>1588</v>
      </c>
      <c r="B148" s="84" t="s">
        <v>1589</v>
      </c>
      <c r="C148" s="83" t="s">
        <v>798</v>
      </c>
      <c r="D148" s="83" t="s">
        <v>2068</v>
      </c>
      <c r="E148" s="83" t="s">
        <v>2908</v>
      </c>
      <c r="F148" s="83" t="s">
        <v>1864</v>
      </c>
      <c r="G148" s="85">
        <v>0.3</v>
      </c>
      <c r="H148" s="86" t="s">
        <v>2191</v>
      </c>
      <c r="I148" s="85">
        <v>0.3</v>
      </c>
      <c r="J148" s="86" t="s">
        <v>2059</v>
      </c>
      <c r="K148" s="83" t="s">
        <v>1644</v>
      </c>
      <c r="L148" s="83" t="s">
        <v>1897</v>
      </c>
      <c r="M148" s="85">
        <v>0.7</v>
      </c>
      <c r="N148" s="86" t="s">
        <v>2909</v>
      </c>
      <c r="O148" s="85">
        <v>0.64870000000000005</v>
      </c>
      <c r="P148" s="103" t="s">
        <v>850</v>
      </c>
      <c r="Q148" s="83" t="s">
        <v>1643</v>
      </c>
      <c r="R148" s="83" t="s">
        <v>1897</v>
      </c>
      <c r="S148" s="103"/>
      <c r="T148" s="103"/>
      <c r="U148" s="103"/>
      <c r="V148" s="103"/>
      <c r="W148" s="103"/>
      <c r="X148" s="103"/>
    </row>
    <row r="149" spans="1:24" x14ac:dyDescent="0.25">
      <c r="A149" s="87" t="s">
        <v>806</v>
      </c>
      <c r="B149" s="88" t="s">
        <v>807</v>
      </c>
      <c r="C149" s="87" t="s">
        <v>808</v>
      </c>
      <c r="D149" s="87" t="s">
        <v>1898</v>
      </c>
      <c r="E149" s="87" t="s">
        <v>1899</v>
      </c>
      <c r="F149" s="87" t="s">
        <v>1894</v>
      </c>
      <c r="G149" s="89">
        <v>0.2</v>
      </c>
      <c r="H149" s="90" t="s">
        <v>1900</v>
      </c>
      <c r="I149" s="89">
        <v>0.2</v>
      </c>
      <c r="J149" s="90" t="s">
        <v>1901</v>
      </c>
      <c r="K149" s="87" t="s">
        <v>1644</v>
      </c>
      <c r="L149" s="87" t="s">
        <v>1897</v>
      </c>
      <c r="M149" s="89">
        <v>0.79</v>
      </c>
      <c r="N149" s="90" t="s">
        <v>1900</v>
      </c>
      <c r="O149" s="89">
        <v>0.79</v>
      </c>
      <c r="P149" s="90" t="s">
        <v>1902</v>
      </c>
      <c r="Q149" s="87" t="s">
        <v>1644</v>
      </c>
      <c r="R149" s="87" t="s">
        <v>1897</v>
      </c>
      <c r="S149" s="160"/>
      <c r="T149" s="103"/>
      <c r="U149" s="160"/>
      <c r="V149" s="103"/>
      <c r="W149" s="103"/>
      <c r="X149" s="103"/>
    </row>
    <row r="150" spans="1:24" x14ac:dyDescent="0.25">
      <c r="A150" s="87" t="s">
        <v>809</v>
      </c>
      <c r="B150" s="88" t="s">
        <v>810</v>
      </c>
      <c r="C150" s="87" t="s">
        <v>808</v>
      </c>
      <c r="D150" s="87" t="s">
        <v>1903</v>
      </c>
      <c r="E150" s="87" t="s">
        <v>1904</v>
      </c>
      <c r="F150" s="87" t="s">
        <v>1894</v>
      </c>
      <c r="G150" s="160"/>
      <c r="H150" s="103"/>
      <c r="I150" s="160"/>
      <c r="J150" s="103"/>
      <c r="K150" s="103"/>
      <c r="L150" s="103"/>
      <c r="M150" s="160"/>
      <c r="N150" s="103"/>
      <c r="O150" s="160"/>
      <c r="P150" s="103"/>
      <c r="Q150" s="103"/>
      <c r="R150" s="103"/>
      <c r="S150" s="160"/>
      <c r="T150" s="103"/>
      <c r="U150" s="160"/>
      <c r="V150" s="103"/>
      <c r="W150" s="103"/>
      <c r="X150" s="103"/>
    </row>
    <row r="151" spans="1:24" x14ac:dyDescent="0.25">
      <c r="A151" s="87" t="s">
        <v>811</v>
      </c>
      <c r="B151" s="88" t="s">
        <v>812</v>
      </c>
      <c r="C151" s="87" t="s">
        <v>808</v>
      </c>
      <c r="D151" s="87" t="s">
        <v>1905</v>
      </c>
      <c r="E151" s="87" t="s">
        <v>1906</v>
      </c>
      <c r="F151" s="87" t="s">
        <v>1894</v>
      </c>
      <c r="G151" s="89">
        <v>2.5</v>
      </c>
      <c r="H151" s="90" t="s">
        <v>1907</v>
      </c>
      <c r="I151" s="89">
        <v>2.5</v>
      </c>
      <c r="J151" s="90" t="s">
        <v>1908</v>
      </c>
      <c r="K151" s="87" t="s">
        <v>1644</v>
      </c>
      <c r="L151" s="87" t="s">
        <v>1897</v>
      </c>
      <c r="M151" s="103"/>
      <c r="N151" s="103"/>
      <c r="O151" s="103"/>
      <c r="P151" s="103"/>
      <c r="Q151" s="103"/>
      <c r="R151" s="103"/>
      <c r="S151" s="103"/>
      <c r="T151" s="103"/>
      <c r="U151" s="103"/>
      <c r="V151" s="103"/>
      <c r="W151" s="103"/>
      <c r="X151" s="103"/>
    </row>
    <row r="152" spans="1:24" x14ac:dyDescent="0.25">
      <c r="A152" s="87" t="s">
        <v>813</v>
      </c>
      <c r="B152" s="88" t="s">
        <v>814</v>
      </c>
      <c r="C152" s="87" t="s">
        <v>808</v>
      </c>
      <c r="D152" s="87" t="s">
        <v>1909</v>
      </c>
      <c r="E152" s="87" t="s">
        <v>1910</v>
      </c>
      <c r="F152" s="87" t="s">
        <v>92</v>
      </c>
      <c r="G152" s="89">
        <v>0.5</v>
      </c>
      <c r="H152" s="90" t="s">
        <v>1911</v>
      </c>
      <c r="I152" s="89">
        <v>0.5</v>
      </c>
      <c r="J152" s="90" t="s">
        <v>1912</v>
      </c>
      <c r="K152" s="87" t="s">
        <v>1644</v>
      </c>
      <c r="L152" s="87" t="s">
        <v>1889</v>
      </c>
      <c r="M152" s="103" t="s">
        <v>850</v>
      </c>
      <c r="N152" s="90" t="s">
        <v>1913</v>
      </c>
      <c r="O152" s="103" t="s">
        <v>850</v>
      </c>
      <c r="P152" s="90" t="s">
        <v>1914</v>
      </c>
      <c r="Q152" s="87" t="s">
        <v>1644</v>
      </c>
      <c r="R152" s="103" t="s">
        <v>850</v>
      </c>
      <c r="S152" s="103"/>
      <c r="T152" s="103"/>
      <c r="U152" s="103"/>
      <c r="V152" s="103"/>
      <c r="W152" s="103"/>
      <c r="X152" s="103"/>
    </row>
    <row r="153" spans="1:24" x14ac:dyDescent="0.25">
      <c r="A153" s="87" t="s">
        <v>825</v>
      </c>
      <c r="B153" s="88" t="s">
        <v>826</v>
      </c>
      <c r="C153" s="87" t="s">
        <v>808</v>
      </c>
      <c r="D153" s="87" t="s">
        <v>1930</v>
      </c>
      <c r="E153" s="87" t="s">
        <v>1931</v>
      </c>
      <c r="F153" s="87" t="s">
        <v>88</v>
      </c>
      <c r="G153" s="89">
        <v>2</v>
      </c>
      <c r="H153" s="90" t="s">
        <v>1932</v>
      </c>
      <c r="I153" s="89">
        <v>2</v>
      </c>
      <c r="J153" s="90" t="s">
        <v>1933</v>
      </c>
      <c r="K153" s="87" t="s">
        <v>1644</v>
      </c>
      <c r="L153" s="87" t="s">
        <v>1998</v>
      </c>
      <c r="M153" s="89">
        <v>1</v>
      </c>
      <c r="N153" s="90" t="s">
        <v>1934</v>
      </c>
      <c r="O153" s="89">
        <v>1</v>
      </c>
      <c r="P153" s="90"/>
      <c r="Q153" s="87" t="s">
        <v>1643</v>
      </c>
      <c r="R153" s="87" t="s">
        <v>1897</v>
      </c>
      <c r="S153" s="160"/>
      <c r="T153" s="161"/>
      <c r="U153" s="160"/>
      <c r="V153" s="161"/>
      <c r="W153" s="103"/>
      <c r="X153" s="103"/>
    </row>
    <row r="154" spans="1:24" x14ac:dyDescent="0.25">
      <c r="A154" s="87" t="s">
        <v>833</v>
      </c>
      <c r="B154" s="88" t="s">
        <v>834</v>
      </c>
      <c r="C154" s="87" t="s">
        <v>808</v>
      </c>
      <c r="D154" s="87" t="s">
        <v>1944</v>
      </c>
      <c r="E154" s="87" t="s">
        <v>1945</v>
      </c>
      <c r="F154" s="87" t="s">
        <v>88</v>
      </c>
      <c r="G154" s="89">
        <v>1.3</v>
      </c>
      <c r="H154" s="90" t="s">
        <v>1946</v>
      </c>
      <c r="I154" s="89">
        <v>1.2324999999999999</v>
      </c>
      <c r="J154" s="90" t="s">
        <v>1947</v>
      </c>
      <c r="K154" s="87" t="s">
        <v>1644</v>
      </c>
      <c r="L154" s="87" t="s">
        <v>1897</v>
      </c>
      <c r="M154" s="160"/>
      <c r="N154" s="103"/>
      <c r="O154" s="160"/>
      <c r="P154" s="103"/>
      <c r="Q154" s="103"/>
      <c r="R154" s="103" t="s">
        <v>850</v>
      </c>
      <c r="S154" s="160"/>
      <c r="T154" s="103"/>
      <c r="U154" s="160"/>
      <c r="V154" s="103"/>
      <c r="W154" s="103"/>
      <c r="X154" s="103"/>
    </row>
    <row r="155" spans="1:24" x14ac:dyDescent="0.25">
      <c r="A155" s="87" t="s">
        <v>848</v>
      </c>
      <c r="B155" s="88" t="s">
        <v>849</v>
      </c>
      <c r="C155" s="87" t="s">
        <v>808</v>
      </c>
      <c r="D155" s="87" t="s">
        <v>1964</v>
      </c>
      <c r="E155" s="87" t="s">
        <v>1965</v>
      </c>
      <c r="F155" s="87" t="s">
        <v>1894</v>
      </c>
      <c r="G155" s="89">
        <v>0.5</v>
      </c>
      <c r="H155" s="90" t="s">
        <v>1966</v>
      </c>
      <c r="I155" s="89">
        <v>0.5</v>
      </c>
      <c r="J155" s="90" t="s">
        <v>1967</v>
      </c>
      <c r="K155" s="87" t="s">
        <v>1644</v>
      </c>
      <c r="L155" s="87" t="s">
        <v>1897</v>
      </c>
      <c r="M155" s="103"/>
      <c r="N155" s="103"/>
      <c r="O155" s="103"/>
      <c r="P155" s="103"/>
      <c r="Q155" s="103"/>
      <c r="R155" s="103" t="s">
        <v>850</v>
      </c>
      <c r="S155" s="103"/>
      <c r="T155" s="103"/>
      <c r="U155" s="103"/>
      <c r="V155" s="103"/>
      <c r="W155" s="103"/>
      <c r="X155" s="103"/>
    </row>
    <row r="156" spans="1:24" x14ac:dyDescent="0.25">
      <c r="A156" s="87" t="s">
        <v>859</v>
      </c>
      <c r="B156" s="88" t="s">
        <v>860</v>
      </c>
      <c r="C156" s="87" t="s">
        <v>808</v>
      </c>
      <c r="D156" s="87" t="s">
        <v>1980</v>
      </c>
      <c r="E156" s="87" t="s">
        <v>1981</v>
      </c>
      <c r="F156" s="87" t="s">
        <v>1864</v>
      </c>
      <c r="G156" s="89">
        <v>0.68</v>
      </c>
      <c r="H156" s="90" t="s">
        <v>1982</v>
      </c>
      <c r="I156" s="89">
        <v>0.68</v>
      </c>
      <c r="J156" s="90" t="s">
        <v>1983</v>
      </c>
      <c r="K156" s="87" t="s">
        <v>1644</v>
      </c>
      <c r="L156" s="87" t="s">
        <v>1897</v>
      </c>
      <c r="M156" s="160"/>
      <c r="N156" s="161"/>
      <c r="O156" s="160"/>
      <c r="P156" s="161"/>
      <c r="Q156" s="103"/>
      <c r="R156" s="103" t="s">
        <v>850</v>
      </c>
      <c r="S156" s="103"/>
      <c r="T156" s="103"/>
      <c r="U156" s="103"/>
      <c r="V156" s="103"/>
      <c r="W156" s="103"/>
      <c r="X156" s="103"/>
    </row>
    <row r="157" spans="1:24" x14ac:dyDescent="0.25">
      <c r="A157" s="87" t="s">
        <v>879</v>
      </c>
      <c r="B157" s="88" t="s">
        <v>880</v>
      </c>
      <c r="C157" s="87" t="s">
        <v>808</v>
      </c>
      <c r="D157" s="87" t="s">
        <v>2001</v>
      </c>
      <c r="E157" s="87" t="s">
        <v>2015</v>
      </c>
      <c r="F157" s="87" t="s">
        <v>1894</v>
      </c>
      <c r="G157" s="89">
        <v>1</v>
      </c>
      <c r="H157" s="90" t="s">
        <v>2016</v>
      </c>
      <c r="I157" s="89">
        <v>1</v>
      </c>
      <c r="J157" s="90" t="s">
        <v>1902</v>
      </c>
      <c r="K157" s="87" t="s">
        <v>1644</v>
      </c>
      <c r="L157" s="87" t="s">
        <v>1897</v>
      </c>
      <c r="M157" s="160"/>
      <c r="N157" s="103"/>
      <c r="O157" s="160"/>
      <c r="P157" s="103"/>
      <c r="Q157" s="103"/>
      <c r="R157" s="103" t="s">
        <v>850</v>
      </c>
      <c r="S157" s="160"/>
      <c r="T157" s="103"/>
      <c r="U157" s="160"/>
      <c r="V157" s="103"/>
      <c r="W157" s="103"/>
      <c r="X157" s="103"/>
    </row>
    <row r="158" spans="1:24" x14ac:dyDescent="0.25">
      <c r="A158" s="87" t="s">
        <v>889</v>
      </c>
      <c r="B158" s="88" t="s">
        <v>890</v>
      </c>
      <c r="C158" s="87" t="s">
        <v>808</v>
      </c>
      <c r="D158" s="87" t="s">
        <v>1885</v>
      </c>
      <c r="E158" s="87" t="s">
        <v>2022</v>
      </c>
      <c r="F158" s="87" t="s">
        <v>88</v>
      </c>
      <c r="G158" s="89">
        <v>1.3332999999999999</v>
      </c>
      <c r="H158" s="90" t="s">
        <v>2023</v>
      </c>
      <c r="I158" s="89">
        <v>1.2851999999999999</v>
      </c>
      <c r="J158" s="90" t="s">
        <v>1951</v>
      </c>
      <c r="K158" s="87" t="s">
        <v>1643</v>
      </c>
      <c r="L158" s="87" t="s">
        <v>1897</v>
      </c>
      <c r="M158" s="89">
        <v>0.56000000000000005</v>
      </c>
      <c r="N158" s="90" t="s">
        <v>2024</v>
      </c>
      <c r="O158" s="89">
        <v>0.56000000000000005</v>
      </c>
      <c r="P158" s="90" t="s">
        <v>2025</v>
      </c>
      <c r="Q158" s="87" t="s">
        <v>1644</v>
      </c>
      <c r="R158" s="87" t="s">
        <v>1998</v>
      </c>
      <c r="S158" s="103"/>
      <c r="T158" s="103"/>
      <c r="U158" s="103"/>
      <c r="V158" s="103"/>
      <c r="W158" s="103"/>
      <c r="X158" s="103"/>
    </row>
    <row r="159" spans="1:24" x14ac:dyDescent="0.25">
      <c r="A159" s="87" t="s">
        <v>893</v>
      </c>
      <c r="B159" s="88" t="s">
        <v>894</v>
      </c>
      <c r="C159" s="87" t="s">
        <v>808</v>
      </c>
      <c r="D159" s="87" t="s">
        <v>1988</v>
      </c>
      <c r="E159" s="87" t="s">
        <v>2031</v>
      </c>
      <c r="F159" s="87" t="s">
        <v>1894</v>
      </c>
      <c r="G159" s="89">
        <v>0.75</v>
      </c>
      <c r="H159" s="90" t="s">
        <v>2032</v>
      </c>
      <c r="I159" s="89">
        <v>0.63670000000000004</v>
      </c>
      <c r="J159" s="90" t="s">
        <v>1829</v>
      </c>
      <c r="K159" s="87" t="s">
        <v>1643</v>
      </c>
      <c r="L159" s="87" t="s">
        <v>1897</v>
      </c>
      <c r="M159" s="89">
        <v>0.35</v>
      </c>
      <c r="N159" s="90">
        <v>44047</v>
      </c>
      <c r="O159" s="89">
        <v>0.33289999999999997</v>
      </c>
      <c r="P159" s="90" t="s">
        <v>1829</v>
      </c>
      <c r="Q159" s="87" t="s">
        <v>1643</v>
      </c>
      <c r="R159" s="87" t="s">
        <v>1897</v>
      </c>
      <c r="S159" s="160"/>
      <c r="T159" s="103"/>
      <c r="U159" s="160"/>
      <c r="V159" s="103"/>
      <c r="W159" s="103"/>
      <c r="X159" s="103"/>
    </row>
    <row r="160" spans="1:24" x14ac:dyDescent="0.25">
      <c r="A160" s="87" t="s">
        <v>911</v>
      </c>
      <c r="B160" s="88" t="s">
        <v>912</v>
      </c>
      <c r="C160" s="87" t="s">
        <v>808</v>
      </c>
      <c r="D160" s="87" t="s">
        <v>2001</v>
      </c>
      <c r="E160" s="87" t="s">
        <v>2061</v>
      </c>
      <c r="F160" s="87" t="s">
        <v>1894</v>
      </c>
      <c r="G160" s="89">
        <v>0.9</v>
      </c>
      <c r="H160" s="90" t="s">
        <v>2062</v>
      </c>
      <c r="I160" s="89">
        <v>0.9</v>
      </c>
      <c r="J160" s="90" t="s">
        <v>2059</v>
      </c>
      <c r="K160" s="87" t="s">
        <v>1644</v>
      </c>
      <c r="L160" s="87" t="s">
        <v>1897</v>
      </c>
      <c r="M160" s="89">
        <v>0.3</v>
      </c>
      <c r="N160" s="90" t="s">
        <v>2063</v>
      </c>
      <c r="O160" s="89">
        <v>0.3</v>
      </c>
      <c r="P160" s="90" t="s">
        <v>1918</v>
      </c>
      <c r="Q160" s="87" t="s">
        <v>1644</v>
      </c>
      <c r="R160" s="87" t="s">
        <v>1897</v>
      </c>
      <c r="S160" s="103"/>
      <c r="T160" s="103"/>
      <c r="U160" s="103"/>
      <c r="V160" s="103"/>
      <c r="W160" s="103"/>
      <c r="X160" s="103"/>
    </row>
    <row r="161" spans="1:24" x14ac:dyDescent="0.25">
      <c r="A161" s="87" t="s">
        <v>913</v>
      </c>
      <c r="B161" s="88" t="s">
        <v>914</v>
      </c>
      <c r="C161" s="87" t="s">
        <v>808</v>
      </c>
      <c r="D161" s="87" t="s">
        <v>2064</v>
      </c>
      <c r="E161" s="87" t="s">
        <v>2065</v>
      </c>
      <c r="F161" s="87" t="s">
        <v>1894</v>
      </c>
      <c r="G161" s="89">
        <v>1.25</v>
      </c>
      <c r="H161" s="90" t="s">
        <v>2066</v>
      </c>
      <c r="I161" s="89">
        <v>1.25</v>
      </c>
      <c r="J161" s="90" t="s">
        <v>2067</v>
      </c>
      <c r="K161" s="87" t="s">
        <v>1644</v>
      </c>
      <c r="L161" s="87" t="s">
        <v>1897</v>
      </c>
      <c r="M161" s="103" t="s">
        <v>850</v>
      </c>
      <c r="N161" s="103" t="s">
        <v>850</v>
      </c>
      <c r="O161" s="103" t="s">
        <v>850</v>
      </c>
      <c r="P161" s="103" t="s">
        <v>850</v>
      </c>
      <c r="Q161" s="87" t="s">
        <v>1644</v>
      </c>
      <c r="R161" s="103" t="s">
        <v>850</v>
      </c>
      <c r="S161" s="103"/>
      <c r="T161" s="103"/>
      <c r="U161" s="103"/>
      <c r="V161" s="103"/>
      <c r="W161" s="103"/>
      <c r="X161" s="103"/>
    </row>
    <row r="162" spans="1:24" x14ac:dyDescent="0.25">
      <c r="A162" s="87" t="s">
        <v>919</v>
      </c>
      <c r="B162" s="88" t="s">
        <v>920</v>
      </c>
      <c r="C162" s="87" t="s">
        <v>808</v>
      </c>
      <c r="D162" s="87" t="s">
        <v>2073</v>
      </c>
      <c r="E162" s="87" t="s">
        <v>2074</v>
      </c>
      <c r="F162" s="87" t="s">
        <v>2075</v>
      </c>
      <c r="G162" s="160"/>
      <c r="H162" s="103"/>
      <c r="I162" s="160"/>
      <c r="J162" s="103"/>
      <c r="K162" s="103"/>
      <c r="L162" s="103"/>
      <c r="M162" s="160"/>
      <c r="N162" s="103"/>
      <c r="O162" s="160"/>
      <c r="P162" s="103"/>
      <c r="Q162" s="103"/>
      <c r="R162" s="103"/>
      <c r="S162" s="160"/>
      <c r="T162" s="103"/>
      <c r="U162" s="160"/>
      <c r="V162" s="103"/>
      <c r="W162" s="103"/>
      <c r="X162" s="103"/>
    </row>
    <row r="163" spans="1:24" x14ac:dyDescent="0.25">
      <c r="A163" s="87" t="s">
        <v>927</v>
      </c>
      <c r="B163" s="88" t="s">
        <v>928</v>
      </c>
      <c r="C163" s="87" t="s">
        <v>808</v>
      </c>
      <c r="D163" s="87" t="s">
        <v>2064</v>
      </c>
      <c r="E163" s="87" t="s">
        <v>2084</v>
      </c>
      <c r="F163" s="87" t="s">
        <v>1894</v>
      </c>
      <c r="G163" s="89">
        <v>1.4908999999999999</v>
      </c>
      <c r="H163" s="90" t="s">
        <v>2085</v>
      </c>
      <c r="I163" s="89">
        <v>1.4908999999999999</v>
      </c>
      <c r="J163" s="90" t="s">
        <v>2086</v>
      </c>
      <c r="K163" s="87" t="s">
        <v>1644</v>
      </c>
      <c r="L163" s="87" t="s">
        <v>1897</v>
      </c>
      <c r="M163" s="103"/>
      <c r="N163" s="161"/>
      <c r="O163" s="103"/>
      <c r="P163" s="161"/>
      <c r="Q163" s="103"/>
      <c r="R163" s="103"/>
      <c r="S163" s="103"/>
      <c r="T163" s="103"/>
      <c r="U163" s="103"/>
      <c r="V163" s="103"/>
      <c r="W163" s="103"/>
      <c r="X163" s="103"/>
    </row>
    <row r="164" spans="1:24" x14ac:dyDescent="0.25">
      <c r="A164" s="87" t="s">
        <v>931</v>
      </c>
      <c r="B164" s="88" t="s">
        <v>932</v>
      </c>
      <c r="C164" s="87" t="s">
        <v>808</v>
      </c>
      <c r="D164" s="87" t="s">
        <v>2091</v>
      </c>
      <c r="E164" s="87" t="s">
        <v>2092</v>
      </c>
      <c r="F164" s="87" t="s">
        <v>88</v>
      </c>
      <c r="G164" s="89">
        <v>0.5</v>
      </c>
      <c r="H164" s="90" t="s">
        <v>2093</v>
      </c>
      <c r="I164" s="89">
        <v>0.5</v>
      </c>
      <c r="J164" s="90" t="s">
        <v>2094</v>
      </c>
      <c r="K164" s="87" t="s">
        <v>1644</v>
      </c>
      <c r="L164" s="87" t="s">
        <v>1897</v>
      </c>
      <c r="M164" s="160"/>
      <c r="N164" s="103"/>
      <c r="O164" s="160"/>
      <c r="P164" s="103"/>
      <c r="Q164" s="103"/>
      <c r="R164" s="103"/>
      <c r="S164" s="160"/>
      <c r="T164" s="103"/>
      <c r="U164" s="160"/>
      <c r="V164" s="103"/>
      <c r="W164" s="103"/>
      <c r="X164" s="103"/>
    </row>
    <row r="165" spans="1:24" x14ac:dyDescent="0.25">
      <c r="A165" s="87" t="s">
        <v>935</v>
      </c>
      <c r="B165" s="88" t="s">
        <v>936</v>
      </c>
      <c r="C165" s="87" t="s">
        <v>808</v>
      </c>
      <c r="D165" s="87" t="s">
        <v>2098</v>
      </c>
      <c r="E165" s="87" t="s">
        <v>2099</v>
      </c>
      <c r="F165" s="87" t="s">
        <v>88</v>
      </c>
      <c r="G165" s="89">
        <v>0.5</v>
      </c>
      <c r="H165" s="90" t="s">
        <v>2100</v>
      </c>
      <c r="I165" s="89">
        <v>0</v>
      </c>
      <c r="J165" s="103" t="s">
        <v>850</v>
      </c>
      <c r="K165" s="87" t="s">
        <v>1643</v>
      </c>
      <c r="L165" s="87" t="s">
        <v>1897</v>
      </c>
      <c r="M165" s="89">
        <v>1</v>
      </c>
      <c r="N165" s="90" t="s">
        <v>2101</v>
      </c>
      <c r="O165" s="89">
        <v>0.87719999999999998</v>
      </c>
      <c r="P165" s="103" t="s">
        <v>850</v>
      </c>
      <c r="Q165" s="87" t="s">
        <v>1643</v>
      </c>
      <c r="R165" s="87" t="s">
        <v>1897</v>
      </c>
      <c r="S165" s="160"/>
      <c r="T165" s="161"/>
      <c r="U165" s="160"/>
      <c r="V165" s="161"/>
      <c r="W165" s="103"/>
      <c r="X165" s="103"/>
    </row>
    <row r="166" spans="1:24" x14ac:dyDescent="0.25">
      <c r="A166" s="87" t="s">
        <v>937</v>
      </c>
      <c r="B166" s="88" t="s">
        <v>938</v>
      </c>
      <c r="C166" s="87" t="s">
        <v>808</v>
      </c>
      <c r="D166" s="87" t="s">
        <v>1952</v>
      </c>
      <c r="E166" s="87" t="s">
        <v>2102</v>
      </c>
      <c r="F166" s="87" t="s">
        <v>88</v>
      </c>
      <c r="G166" s="160"/>
      <c r="H166" s="161"/>
      <c r="I166" s="160"/>
      <c r="J166" s="161"/>
      <c r="K166" s="103"/>
      <c r="L166" s="103"/>
      <c r="M166" s="160"/>
      <c r="N166" s="161"/>
      <c r="O166" s="160"/>
      <c r="P166" s="161"/>
      <c r="Q166" s="103"/>
      <c r="R166" s="103"/>
      <c r="S166" s="160"/>
      <c r="T166" s="161"/>
      <c r="U166" s="160"/>
      <c r="V166" s="161"/>
      <c r="W166" s="103"/>
      <c r="X166" s="103"/>
    </row>
    <row r="167" spans="1:24" x14ac:dyDescent="0.25">
      <c r="A167" s="87" t="s">
        <v>943</v>
      </c>
      <c r="B167" s="88" t="s">
        <v>944</v>
      </c>
      <c r="C167" s="87" t="s">
        <v>808</v>
      </c>
      <c r="D167" s="87" t="s">
        <v>1988</v>
      </c>
      <c r="E167" s="87" t="s">
        <v>2110</v>
      </c>
      <c r="F167" s="87" t="s">
        <v>1894</v>
      </c>
      <c r="G167" s="89">
        <v>0.5</v>
      </c>
      <c r="H167" s="90" t="s">
        <v>2111</v>
      </c>
      <c r="I167" s="89">
        <v>0.44190000000000002</v>
      </c>
      <c r="J167" s="90" t="s">
        <v>1661</v>
      </c>
      <c r="K167" s="87" t="s">
        <v>1643</v>
      </c>
      <c r="L167" s="87" t="s">
        <v>1897</v>
      </c>
      <c r="M167" s="89">
        <v>0.65</v>
      </c>
      <c r="N167" s="90" t="s">
        <v>2112</v>
      </c>
      <c r="O167" s="89">
        <v>0.63090000000000002</v>
      </c>
      <c r="P167" s="90" t="s">
        <v>2113</v>
      </c>
      <c r="Q167" s="87" t="s">
        <v>1644</v>
      </c>
      <c r="R167" s="87" t="s">
        <v>1897</v>
      </c>
      <c r="S167" s="89">
        <v>0.75</v>
      </c>
      <c r="T167" s="90" t="s">
        <v>2112</v>
      </c>
      <c r="U167" s="89">
        <v>0.7</v>
      </c>
      <c r="V167" s="90" t="s">
        <v>2114</v>
      </c>
      <c r="W167" s="87" t="s">
        <v>1644</v>
      </c>
      <c r="X167" s="87" t="s">
        <v>1998</v>
      </c>
    </row>
    <row r="168" spans="1:24" x14ac:dyDescent="0.25">
      <c r="A168" s="87" t="s">
        <v>979</v>
      </c>
      <c r="B168" s="88" t="s">
        <v>980</v>
      </c>
      <c r="C168" s="87" t="s">
        <v>808</v>
      </c>
      <c r="D168" s="87" t="s">
        <v>1926</v>
      </c>
      <c r="E168" s="87" t="s">
        <v>2165</v>
      </c>
      <c r="F168" s="87" t="s">
        <v>1894</v>
      </c>
      <c r="G168" s="89">
        <v>0.6</v>
      </c>
      <c r="H168" s="90" t="s">
        <v>2166</v>
      </c>
      <c r="I168" s="89">
        <v>0.58809999999999996</v>
      </c>
      <c r="J168" s="90" t="s">
        <v>2167</v>
      </c>
      <c r="K168" s="87" t="s">
        <v>1643</v>
      </c>
      <c r="L168" s="87" t="s">
        <v>1897</v>
      </c>
      <c r="M168" s="89">
        <v>0.33</v>
      </c>
      <c r="N168" s="90" t="s">
        <v>2168</v>
      </c>
      <c r="O168" s="89">
        <v>0.28000000000000003</v>
      </c>
      <c r="P168" s="90" t="s">
        <v>2169</v>
      </c>
      <c r="Q168" s="87" t="s">
        <v>1644</v>
      </c>
      <c r="R168" s="87" t="s">
        <v>1998</v>
      </c>
      <c r="S168" s="89">
        <v>0.28000000000000003</v>
      </c>
      <c r="T168" s="90" t="s">
        <v>2170</v>
      </c>
      <c r="U168" s="89">
        <v>0.28000000000000003</v>
      </c>
      <c r="V168" s="90" t="s">
        <v>2171</v>
      </c>
      <c r="W168" s="87" t="s">
        <v>1644</v>
      </c>
      <c r="X168" s="87" t="s">
        <v>1998</v>
      </c>
    </row>
    <row r="169" spans="1:24" x14ac:dyDescent="0.25">
      <c r="A169" s="87" t="s">
        <v>1003</v>
      </c>
      <c r="B169" s="88" t="s">
        <v>1004</v>
      </c>
      <c r="C169" s="87" t="s">
        <v>808</v>
      </c>
      <c r="D169" s="87" t="s">
        <v>2205</v>
      </c>
      <c r="E169" s="87" t="s">
        <v>2206</v>
      </c>
      <c r="F169" s="87" t="s">
        <v>1894</v>
      </c>
      <c r="G169" s="160"/>
      <c r="H169" s="161"/>
      <c r="I169" s="160"/>
      <c r="J169" s="161"/>
      <c r="K169" s="103"/>
      <c r="L169" s="103"/>
      <c r="M169" s="160"/>
      <c r="N169" s="161"/>
      <c r="O169" s="160"/>
      <c r="P169" s="161"/>
      <c r="Q169" s="103"/>
      <c r="R169" s="103"/>
      <c r="S169" s="160"/>
      <c r="T169" s="161"/>
      <c r="U169" s="160"/>
      <c r="V169" s="161"/>
      <c r="W169" s="103"/>
      <c r="X169" s="103"/>
    </row>
    <row r="170" spans="1:24" x14ac:dyDescent="0.25">
      <c r="A170" s="87" t="s">
        <v>1015</v>
      </c>
      <c r="B170" s="88" t="s">
        <v>1016</v>
      </c>
      <c r="C170" s="87" t="s">
        <v>808</v>
      </c>
      <c r="D170" s="87" t="s">
        <v>1919</v>
      </c>
      <c r="E170" s="87" t="s">
        <v>2224</v>
      </c>
      <c r="F170" s="87" t="s">
        <v>1864</v>
      </c>
      <c r="G170" s="89">
        <v>0.3</v>
      </c>
      <c r="H170" s="90" t="s">
        <v>2225</v>
      </c>
      <c r="I170" s="89">
        <v>0.3</v>
      </c>
      <c r="J170" s="90" t="s">
        <v>2226</v>
      </c>
      <c r="K170" s="87" t="s">
        <v>1644</v>
      </c>
      <c r="L170" s="87" t="s">
        <v>1897</v>
      </c>
      <c r="M170" s="103" t="s">
        <v>850</v>
      </c>
      <c r="N170" s="103" t="s">
        <v>850</v>
      </c>
      <c r="O170" s="103" t="s">
        <v>850</v>
      </c>
      <c r="P170" s="103" t="s">
        <v>850</v>
      </c>
      <c r="Q170" s="87" t="s">
        <v>1644</v>
      </c>
      <c r="R170" s="103" t="s">
        <v>850</v>
      </c>
      <c r="S170" s="103"/>
      <c r="T170" s="103"/>
      <c r="U170" s="103"/>
      <c r="V170" s="103"/>
      <c r="W170" s="103"/>
      <c r="X170" s="103"/>
    </row>
    <row r="171" spans="1:24" x14ac:dyDescent="0.25">
      <c r="A171" s="87" t="s">
        <v>1029</v>
      </c>
      <c r="B171" s="88" t="s">
        <v>1030</v>
      </c>
      <c r="C171" s="87" t="s">
        <v>808</v>
      </c>
      <c r="D171" s="87" t="s">
        <v>2001</v>
      </c>
      <c r="E171" s="87" t="s">
        <v>2001</v>
      </c>
      <c r="F171" s="87" t="s">
        <v>1894</v>
      </c>
      <c r="G171" s="89">
        <v>0.75</v>
      </c>
      <c r="H171" s="90" t="s">
        <v>1907</v>
      </c>
      <c r="I171" s="89">
        <v>0.75</v>
      </c>
      <c r="J171" s="90" t="s">
        <v>2249</v>
      </c>
      <c r="K171" s="87" t="s">
        <v>1644</v>
      </c>
      <c r="L171" s="87" t="s">
        <v>1897</v>
      </c>
      <c r="M171" s="103" t="s">
        <v>850</v>
      </c>
      <c r="N171" s="103" t="s">
        <v>850</v>
      </c>
      <c r="O171" s="103" t="s">
        <v>850</v>
      </c>
      <c r="P171" s="103" t="s">
        <v>850</v>
      </c>
      <c r="Q171" s="87" t="s">
        <v>1644</v>
      </c>
      <c r="R171" s="103" t="s">
        <v>850</v>
      </c>
      <c r="S171" s="103"/>
      <c r="T171" s="103"/>
      <c r="U171" s="103"/>
      <c r="V171" s="103"/>
      <c r="W171" s="103"/>
      <c r="X171" s="103"/>
    </row>
    <row r="172" spans="1:24" x14ac:dyDescent="0.25">
      <c r="A172" s="87" t="s">
        <v>1033</v>
      </c>
      <c r="B172" s="88" t="s">
        <v>1034</v>
      </c>
      <c r="C172" s="87" t="s">
        <v>808</v>
      </c>
      <c r="D172" s="87" t="s">
        <v>1925</v>
      </c>
      <c r="E172" s="103" t="s">
        <v>850</v>
      </c>
      <c r="F172" s="87" t="s">
        <v>88</v>
      </c>
      <c r="G172" s="89">
        <v>0.24560000000000001</v>
      </c>
      <c r="H172" s="90" t="s">
        <v>2250</v>
      </c>
      <c r="I172" s="89">
        <v>0.24560000000000001</v>
      </c>
      <c r="J172" s="103" t="s">
        <v>850</v>
      </c>
      <c r="K172" s="87" t="s">
        <v>1643</v>
      </c>
      <c r="L172" s="87" t="s">
        <v>1897</v>
      </c>
      <c r="M172" s="89">
        <v>1</v>
      </c>
      <c r="N172" s="90" t="s">
        <v>2251</v>
      </c>
      <c r="O172" s="89">
        <v>1</v>
      </c>
      <c r="P172" s="103" t="s">
        <v>850</v>
      </c>
      <c r="Q172" s="87" t="s">
        <v>1643</v>
      </c>
      <c r="R172" s="87" t="s">
        <v>1897</v>
      </c>
      <c r="S172" s="103"/>
      <c r="T172" s="103"/>
      <c r="U172" s="103"/>
      <c r="V172" s="103"/>
      <c r="W172" s="103"/>
      <c r="X172" s="103"/>
    </row>
    <row r="173" spans="1:24" x14ac:dyDescent="0.25">
      <c r="A173" s="87" t="s">
        <v>1045</v>
      </c>
      <c r="B173" s="88" t="s">
        <v>1046</v>
      </c>
      <c r="C173" s="87" t="s">
        <v>808</v>
      </c>
      <c r="D173" s="87" t="s">
        <v>2259</v>
      </c>
      <c r="E173" s="87" t="s">
        <v>2260</v>
      </c>
      <c r="F173" s="87" t="s">
        <v>1894</v>
      </c>
      <c r="G173" s="89">
        <v>1</v>
      </c>
      <c r="H173" s="90" t="s">
        <v>2261</v>
      </c>
      <c r="I173" s="89">
        <v>4</v>
      </c>
      <c r="J173" s="90" t="s">
        <v>2262</v>
      </c>
      <c r="K173" s="87" t="s">
        <v>1643</v>
      </c>
      <c r="L173" s="87" t="s">
        <v>1897</v>
      </c>
      <c r="M173" s="103"/>
      <c r="N173" s="161"/>
      <c r="O173" s="103"/>
      <c r="P173" s="103"/>
      <c r="Q173" s="103"/>
      <c r="R173" s="103"/>
      <c r="S173" s="103"/>
      <c r="T173" s="161"/>
      <c r="U173" s="103"/>
      <c r="V173" s="103"/>
      <c r="W173" s="103"/>
      <c r="X173" s="103"/>
    </row>
    <row r="174" spans="1:24" x14ac:dyDescent="0.25">
      <c r="A174" s="87" t="s">
        <v>1069</v>
      </c>
      <c r="B174" s="88" t="s">
        <v>1070</v>
      </c>
      <c r="C174" s="87" t="s">
        <v>808</v>
      </c>
      <c r="D174" s="87" t="s">
        <v>2043</v>
      </c>
      <c r="E174" s="87" t="s">
        <v>2299</v>
      </c>
      <c r="F174" s="87" t="s">
        <v>1894</v>
      </c>
      <c r="G174" s="89">
        <v>0.85</v>
      </c>
      <c r="H174" s="90" t="s">
        <v>2300</v>
      </c>
      <c r="I174" s="89">
        <v>0.84930000000000005</v>
      </c>
      <c r="J174" s="90" t="s">
        <v>2262</v>
      </c>
      <c r="K174" s="87" t="s">
        <v>1643</v>
      </c>
      <c r="L174" s="87" t="s">
        <v>1897</v>
      </c>
      <c r="M174" s="160"/>
      <c r="N174" s="103"/>
      <c r="O174" s="160"/>
      <c r="P174" s="103"/>
      <c r="Q174" s="103"/>
      <c r="R174" s="103"/>
      <c r="S174" s="160"/>
      <c r="T174" s="103"/>
      <c r="U174" s="160"/>
      <c r="V174" s="103"/>
      <c r="W174" s="103"/>
      <c r="X174" s="103"/>
    </row>
    <row r="175" spans="1:24" x14ac:dyDescent="0.25">
      <c r="A175" s="87" t="s">
        <v>1081</v>
      </c>
      <c r="B175" s="88" t="s">
        <v>1082</v>
      </c>
      <c r="C175" s="87" t="s">
        <v>808</v>
      </c>
      <c r="D175" s="87" t="s">
        <v>1964</v>
      </c>
      <c r="E175" s="87" t="s">
        <v>2312</v>
      </c>
      <c r="F175" s="87" t="s">
        <v>1894</v>
      </c>
      <c r="G175" s="89">
        <v>1</v>
      </c>
      <c r="H175" s="90" t="s">
        <v>2313</v>
      </c>
      <c r="I175" s="89">
        <v>0.99870000000000003</v>
      </c>
      <c r="J175" s="90" t="s">
        <v>2314</v>
      </c>
      <c r="K175" s="87" t="s">
        <v>1644</v>
      </c>
      <c r="L175" s="87" t="s">
        <v>1897</v>
      </c>
      <c r="M175" s="89">
        <v>1.3</v>
      </c>
      <c r="N175" s="90" t="s">
        <v>2315</v>
      </c>
      <c r="O175" s="89">
        <v>1.3</v>
      </c>
      <c r="P175" s="90" t="s">
        <v>2311</v>
      </c>
      <c r="Q175" s="87" t="s">
        <v>1644</v>
      </c>
      <c r="R175" s="103" t="s">
        <v>850</v>
      </c>
      <c r="S175" s="160"/>
      <c r="T175" s="103"/>
      <c r="U175" s="160"/>
      <c r="V175" s="103"/>
      <c r="W175" s="103"/>
      <c r="X175" s="103"/>
    </row>
    <row r="176" spans="1:24" x14ac:dyDescent="0.25">
      <c r="A176" s="87" t="s">
        <v>1087</v>
      </c>
      <c r="B176" s="88" t="s">
        <v>1088</v>
      </c>
      <c r="C176" s="87" t="s">
        <v>808</v>
      </c>
      <c r="D176" s="87" t="s">
        <v>1926</v>
      </c>
      <c r="E176" s="87" t="s">
        <v>2323</v>
      </c>
      <c r="F176" s="87" t="s">
        <v>88</v>
      </c>
      <c r="G176" s="89">
        <v>0.3</v>
      </c>
      <c r="H176" s="90" t="s">
        <v>2324</v>
      </c>
      <c r="I176" s="89">
        <v>0.3</v>
      </c>
      <c r="J176" s="90" t="s">
        <v>2325</v>
      </c>
      <c r="K176" s="87" t="s">
        <v>1644</v>
      </c>
      <c r="L176" s="87" t="s">
        <v>1897</v>
      </c>
      <c r="M176" s="160"/>
      <c r="N176" s="164"/>
      <c r="O176" s="160"/>
      <c r="P176" s="164"/>
      <c r="Q176" s="163"/>
      <c r="R176" s="163"/>
      <c r="S176" s="103"/>
      <c r="T176" s="103"/>
      <c r="U176" s="103"/>
      <c r="V176" s="103"/>
      <c r="W176" s="103"/>
      <c r="X176" s="103"/>
    </row>
    <row r="177" spans="1:24" x14ac:dyDescent="0.25">
      <c r="A177" s="87" t="s">
        <v>1095</v>
      </c>
      <c r="B177" s="88" t="s">
        <v>1096</v>
      </c>
      <c r="C177" s="87" t="s">
        <v>808</v>
      </c>
      <c r="D177" s="87" t="s">
        <v>2203</v>
      </c>
      <c r="E177" s="87" t="s">
        <v>2331</v>
      </c>
      <c r="F177" s="87" t="s">
        <v>2075</v>
      </c>
      <c r="G177" s="160"/>
      <c r="H177" s="103"/>
      <c r="I177" s="160"/>
      <c r="J177" s="103"/>
      <c r="K177" s="103"/>
      <c r="L177" s="103"/>
      <c r="M177" s="160"/>
      <c r="N177" s="103"/>
      <c r="O177" s="160"/>
      <c r="P177" s="103"/>
      <c r="Q177" s="103"/>
      <c r="R177" s="103" t="s">
        <v>850</v>
      </c>
      <c r="S177" s="160"/>
      <c r="T177" s="103"/>
      <c r="U177" s="160"/>
      <c r="V177" s="103"/>
      <c r="W177" s="103"/>
      <c r="X177" s="103"/>
    </row>
    <row r="178" spans="1:24" x14ac:dyDescent="0.25">
      <c r="A178" s="87" t="s">
        <v>1109</v>
      </c>
      <c r="B178" s="88" t="s">
        <v>1110</v>
      </c>
      <c r="C178" s="87" t="s">
        <v>808</v>
      </c>
      <c r="D178" s="87" t="s">
        <v>2180</v>
      </c>
      <c r="E178" s="87" t="s">
        <v>2346</v>
      </c>
      <c r="F178" s="87" t="s">
        <v>1894</v>
      </c>
      <c r="G178" s="89">
        <v>0.93500000000000005</v>
      </c>
      <c r="H178" s="90" t="s">
        <v>2347</v>
      </c>
      <c r="I178" s="89">
        <v>0.84499999999999997</v>
      </c>
      <c r="J178" s="103" t="s">
        <v>850</v>
      </c>
      <c r="K178" s="87" t="s">
        <v>1643</v>
      </c>
      <c r="L178" s="87" t="s">
        <v>1897</v>
      </c>
      <c r="M178" s="89">
        <v>0.65529999999999999</v>
      </c>
      <c r="N178" s="90" t="s">
        <v>2348</v>
      </c>
      <c r="O178" s="89">
        <v>0.56140000000000001</v>
      </c>
      <c r="P178" s="90" t="s">
        <v>2349</v>
      </c>
      <c r="Q178" s="87" t="s">
        <v>1644</v>
      </c>
      <c r="R178" s="87" t="s">
        <v>1998</v>
      </c>
      <c r="S178" s="89">
        <v>0.75</v>
      </c>
      <c r="T178" s="90" t="s">
        <v>2336</v>
      </c>
      <c r="U178" s="89">
        <v>0.73699999999999999</v>
      </c>
      <c r="V178" s="90" t="s">
        <v>2350</v>
      </c>
      <c r="W178" s="87" t="s">
        <v>1644</v>
      </c>
      <c r="X178" s="87" t="s">
        <v>1897</v>
      </c>
    </row>
    <row r="179" spans="1:24" x14ac:dyDescent="0.25">
      <c r="A179" s="87" t="s">
        <v>1127</v>
      </c>
      <c r="B179" s="88" t="s">
        <v>1128</v>
      </c>
      <c r="C179" s="87" t="s">
        <v>808</v>
      </c>
      <c r="D179" s="87" t="s">
        <v>2382</v>
      </c>
      <c r="E179" s="87" t="s">
        <v>2383</v>
      </c>
      <c r="F179" s="87" t="s">
        <v>1894</v>
      </c>
      <c r="G179" s="89">
        <v>2</v>
      </c>
      <c r="H179" s="90" t="s">
        <v>2384</v>
      </c>
      <c r="I179" s="89">
        <v>1.9578</v>
      </c>
      <c r="J179" s="103" t="s">
        <v>850</v>
      </c>
      <c r="K179" s="87" t="s">
        <v>1643</v>
      </c>
      <c r="L179" s="87" t="s">
        <v>1889</v>
      </c>
      <c r="M179" s="103"/>
      <c r="N179" s="103"/>
      <c r="O179" s="103"/>
      <c r="P179" s="103"/>
      <c r="Q179" s="103"/>
      <c r="R179" s="103"/>
      <c r="S179" s="103"/>
      <c r="T179" s="103"/>
      <c r="U179" s="103"/>
      <c r="V179" s="103"/>
      <c r="W179" s="103"/>
      <c r="X179" s="103"/>
    </row>
    <row r="180" spans="1:24" x14ac:dyDescent="0.25">
      <c r="A180" s="87" t="s">
        <v>1135</v>
      </c>
      <c r="B180" s="88" t="s">
        <v>1136</v>
      </c>
      <c r="C180" s="87" t="s">
        <v>808</v>
      </c>
      <c r="D180" s="87" t="s">
        <v>1919</v>
      </c>
      <c r="E180" s="87" t="s">
        <v>2394</v>
      </c>
      <c r="F180" s="87" t="s">
        <v>1894</v>
      </c>
      <c r="G180" s="89">
        <v>1.5</v>
      </c>
      <c r="H180" s="90" t="s">
        <v>2395</v>
      </c>
      <c r="I180" s="89">
        <v>1.3643000000000001</v>
      </c>
      <c r="J180" s="90" t="s">
        <v>1888</v>
      </c>
      <c r="K180" s="87" t="s">
        <v>1643</v>
      </c>
      <c r="L180" s="87" t="s">
        <v>1897</v>
      </c>
      <c r="M180" s="103"/>
      <c r="N180" s="103"/>
      <c r="O180" s="103"/>
      <c r="P180" s="103"/>
      <c r="Q180" s="103"/>
      <c r="R180" s="103"/>
      <c r="S180" s="103"/>
      <c r="T180" s="103"/>
      <c r="U180" s="103"/>
      <c r="V180" s="103"/>
      <c r="W180" s="103"/>
      <c r="X180" s="103"/>
    </row>
    <row r="181" spans="1:24" x14ac:dyDescent="0.25">
      <c r="A181" s="87" t="s">
        <v>1143</v>
      </c>
      <c r="B181" s="88" t="s">
        <v>1144</v>
      </c>
      <c r="C181" s="87" t="s">
        <v>808</v>
      </c>
      <c r="D181" s="87" t="s">
        <v>2076</v>
      </c>
      <c r="E181" s="87" t="s">
        <v>2405</v>
      </c>
      <c r="F181" s="87" t="s">
        <v>88</v>
      </c>
      <c r="G181" s="89">
        <v>1</v>
      </c>
      <c r="H181" s="90" t="s">
        <v>2406</v>
      </c>
      <c r="I181" s="89">
        <v>0.99470000000000003</v>
      </c>
      <c r="J181" s="103" t="s">
        <v>850</v>
      </c>
      <c r="K181" s="87" t="s">
        <v>1643</v>
      </c>
      <c r="L181" s="87" t="s">
        <v>1889</v>
      </c>
      <c r="M181" s="103"/>
      <c r="N181" s="103"/>
      <c r="O181" s="103"/>
      <c r="P181" s="103"/>
      <c r="Q181" s="103"/>
      <c r="R181" s="103"/>
      <c r="S181" s="160"/>
      <c r="T181" s="103"/>
      <c r="U181" s="160"/>
      <c r="V181" s="103"/>
      <c r="W181" s="103"/>
      <c r="X181" s="103"/>
    </row>
    <row r="182" spans="1:24" x14ac:dyDescent="0.25">
      <c r="A182" s="87" t="s">
        <v>1163</v>
      </c>
      <c r="B182" s="88" t="s">
        <v>1164</v>
      </c>
      <c r="C182" s="87" t="s">
        <v>808</v>
      </c>
      <c r="D182" s="87" t="s">
        <v>1885</v>
      </c>
      <c r="E182" s="87" t="s">
        <v>2426</v>
      </c>
      <c r="F182" s="87" t="s">
        <v>88</v>
      </c>
      <c r="G182" s="103" t="s">
        <v>850</v>
      </c>
      <c r="H182" s="103"/>
      <c r="I182" s="103"/>
      <c r="J182" s="103"/>
      <c r="K182" s="103"/>
      <c r="L182" s="103"/>
      <c r="M182" s="103"/>
      <c r="N182" s="103"/>
      <c r="O182" s="103"/>
      <c r="P182" s="103"/>
      <c r="Q182" s="103"/>
      <c r="R182" s="103" t="s">
        <v>850</v>
      </c>
      <c r="S182" s="103"/>
      <c r="T182" s="103"/>
      <c r="U182" s="103"/>
      <c r="V182" s="103"/>
      <c r="W182" s="103"/>
      <c r="X182" s="103"/>
    </row>
    <row r="183" spans="1:24" x14ac:dyDescent="0.25">
      <c r="A183" s="87" t="s">
        <v>1193</v>
      </c>
      <c r="B183" s="88" t="s">
        <v>1194</v>
      </c>
      <c r="C183" s="87" t="s">
        <v>808</v>
      </c>
      <c r="D183" s="87" t="s">
        <v>2157</v>
      </c>
      <c r="E183" s="87" t="s">
        <v>2458</v>
      </c>
      <c r="F183" s="87" t="s">
        <v>88</v>
      </c>
      <c r="G183" s="160"/>
      <c r="H183" s="103"/>
      <c r="I183" s="160"/>
      <c r="J183" s="103"/>
      <c r="K183" s="103"/>
      <c r="L183" s="103"/>
      <c r="M183" s="160"/>
      <c r="N183" s="103"/>
      <c r="O183" s="160"/>
      <c r="P183" s="103"/>
      <c r="Q183" s="103"/>
      <c r="R183" s="103" t="s">
        <v>850</v>
      </c>
      <c r="S183" s="160"/>
      <c r="T183" s="103"/>
      <c r="U183" s="160"/>
      <c r="V183" s="103"/>
      <c r="W183" s="103"/>
      <c r="X183" s="103"/>
    </row>
    <row r="184" spans="1:24" x14ac:dyDescent="0.25">
      <c r="A184" s="87" t="s">
        <v>1199</v>
      </c>
      <c r="B184" s="88" t="s">
        <v>1200</v>
      </c>
      <c r="C184" s="87" t="s">
        <v>808</v>
      </c>
      <c r="D184" s="87" t="s">
        <v>2456</v>
      </c>
      <c r="E184" s="87" t="s">
        <v>2457</v>
      </c>
      <c r="F184" s="87" t="s">
        <v>2075</v>
      </c>
      <c r="G184" s="103" t="s">
        <v>850</v>
      </c>
      <c r="H184" s="103"/>
      <c r="I184" s="103"/>
      <c r="J184" s="103"/>
      <c r="K184" s="103"/>
      <c r="L184" s="103"/>
      <c r="M184" s="160"/>
      <c r="N184" s="103"/>
      <c r="O184" s="160"/>
      <c r="P184" s="103"/>
      <c r="Q184" s="103"/>
      <c r="R184" s="103" t="s">
        <v>850</v>
      </c>
      <c r="S184" s="160"/>
      <c r="T184" s="103"/>
      <c r="U184" s="160"/>
      <c r="V184" s="103"/>
      <c r="W184" s="103"/>
      <c r="X184" s="103"/>
    </row>
    <row r="185" spans="1:24" x14ac:dyDescent="0.25">
      <c r="A185" s="87" t="s">
        <v>1217</v>
      </c>
      <c r="B185" s="88" t="s">
        <v>1218</v>
      </c>
      <c r="C185" s="87" t="s">
        <v>808</v>
      </c>
      <c r="D185" s="87" t="s">
        <v>1952</v>
      </c>
      <c r="E185" s="87" t="s">
        <v>2478</v>
      </c>
      <c r="F185" s="87" t="s">
        <v>1864</v>
      </c>
      <c r="G185" s="89">
        <v>1</v>
      </c>
      <c r="H185" s="90" t="s">
        <v>2479</v>
      </c>
      <c r="I185" s="89">
        <v>1</v>
      </c>
      <c r="J185" s="90" t="s">
        <v>1661</v>
      </c>
      <c r="K185" s="87" t="s">
        <v>1643</v>
      </c>
      <c r="L185" s="87" t="s">
        <v>1889</v>
      </c>
      <c r="M185" s="89">
        <v>0.28999999999999998</v>
      </c>
      <c r="N185" s="90" t="s">
        <v>2480</v>
      </c>
      <c r="O185" s="89">
        <v>0.28999999999999998</v>
      </c>
      <c r="P185" s="90" t="s">
        <v>1661</v>
      </c>
      <c r="Q185" s="87" t="s">
        <v>1643</v>
      </c>
      <c r="R185" s="87" t="s">
        <v>1889</v>
      </c>
      <c r="S185" s="160"/>
      <c r="T185" s="103"/>
      <c r="U185" s="160"/>
      <c r="V185" s="103"/>
      <c r="W185" s="103"/>
      <c r="X185" s="103"/>
    </row>
    <row r="186" spans="1:24" x14ac:dyDescent="0.25">
      <c r="A186" s="87" t="s">
        <v>1229</v>
      </c>
      <c r="B186" s="88" t="s">
        <v>1230</v>
      </c>
      <c r="C186" s="87" t="s">
        <v>808</v>
      </c>
      <c r="D186" s="87" t="s">
        <v>1952</v>
      </c>
      <c r="E186" s="87" t="s">
        <v>1951</v>
      </c>
      <c r="F186" s="87" t="s">
        <v>88</v>
      </c>
      <c r="G186" s="160"/>
      <c r="H186" s="103"/>
      <c r="I186" s="160"/>
      <c r="J186" s="103"/>
      <c r="K186" s="103"/>
      <c r="L186" s="103"/>
      <c r="M186" s="160"/>
      <c r="N186" s="103"/>
      <c r="O186" s="160"/>
      <c r="P186" s="103"/>
      <c r="Q186" s="103"/>
      <c r="R186" s="103" t="s">
        <v>850</v>
      </c>
      <c r="S186" s="160"/>
      <c r="T186" s="103"/>
      <c r="U186" s="160"/>
      <c r="V186" s="103"/>
      <c r="W186" s="103"/>
      <c r="X186" s="103"/>
    </row>
    <row r="187" spans="1:24" x14ac:dyDescent="0.25">
      <c r="A187" s="87" t="s">
        <v>1251</v>
      </c>
      <c r="B187" s="88" t="s">
        <v>1252</v>
      </c>
      <c r="C187" s="87" t="s">
        <v>808</v>
      </c>
      <c r="D187" s="87" t="s">
        <v>1948</v>
      </c>
      <c r="E187" s="87" t="s">
        <v>2515</v>
      </c>
      <c r="F187" s="87" t="s">
        <v>1894</v>
      </c>
      <c r="G187" s="89">
        <v>1.0451999999999999</v>
      </c>
      <c r="H187" s="90" t="s">
        <v>2358</v>
      </c>
      <c r="I187" s="103" t="s">
        <v>850</v>
      </c>
      <c r="J187" s="90" t="s">
        <v>2516</v>
      </c>
      <c r="K187" s="87" t="s">
        <v>1644</v>
      </c>
      <c r="L187" s="87" t="s">
        <v>1897</v>
      </c>
      <c r="M187" s="89">
        <v>1.0451999999999999</v>
      </c>
      <c r="N187" s="103" t="s">
        <v>850</v>
      </c>
      <c r="O187" s="103" t="s">
        <v>850</v>
      </c>
      <c r="P187" s="103" t="s">
        <v>850</v>
      </c>
      <c r="Q187" s="87" t="s">
        <v>1644</v>
      </c>
      <c r="R187" s="103" t="s">
        <v>850</v>
      </c>
      <c r="S187" s="103"/>
      <c r="T187" s="103"/>
      <c r="U187" s="103"/>
      <c r="V187" s="103"/>
      <c r="W187" s="103"/>
      <c r="X187" s="103"/>
    </row>
    <row r="188" spans="1:24" x14ac:dyDescent="0.25">
      <c r="A188" s="87" t="s">
        <v>1257</v>
      </c>
      <c r="B188" s="88" t="s">
        <v>1258</v>
      </c>
      <c r="C188" s="87" t="s">
        <v>808</v>
      </c>
      <c r="D188" s="87" t="s">
        <v>2519</v>
      </c>
      <c r="E188" s="87" t="s">
        <v>2520</v>
      </c>
      <c r="F188" s="87" t="s">
        <v>2075</v>
      </c>
      <c r="G188" s="160"/>
      <c r="H188" s="103"/>
      <c r="I188" s="160"/>
      <c r="J188" s="103"/>
      <c r="K188" s="103"/>
      <c r="L188" s="103"/>
      <c r="M188" s="160"/>
      <c r="N188" s="103"/>
      <c r="O188" s="160"/>
      <c r="P188" s="103"/>
      <c r="Q188" s="103"/>
      <c r="R188" s="103" t="s">
        <v>850</v>
      </c>
      <c r="S188" s="160"/>
      <c r="T188" s="103"/>
      <c r="U188" s="160"/>
      <c r="V188" s="103"/>
      <c r="W188" s="103"/>
      <c r="X188" s="103"/>
    </row>
    <row r="189" spans="1:24" x14ac:dyDescent="0.25">
      <c r="A189" s="87" t="s">
        <v>1277</v>
      </c>
      <c r="B189" s="88" t="s">
        <v>1278</v>
      </c>
      <c r="C189" s="87" t="s">
        <v>808</v>
      </c>
      <c r="D189" s="87" t="s">
        <v>1925</v>
      </c>
      <c r="E189" s="103" t="s">
        <v>850</v>
      </c>
      <c r="F189" s="87" t="s">
        <v>88</v>
      </c>
      <c r="G189" s="89">
        <v>0.97009999999999996</v>
      </c>
      <c r="H189" s="103" t="s">
        <v>850</v>
      </c>
      <c r="I189" s="89">
        <v>0.97009999999999996</v>
      </c>
      <c r="J189" s="103" t="s">
        <v>850</v>
      </c>
      <c r="K189" s="87" t="s">
        <v>1643</v>
      </c>
      <c r="L189" s="87" t="s">
        <v>1897</v>
      </c>
      <c r="M189" s="103" t="s">
        <v>850</v>
      </c>
      <c r="N189" s="103" t="s">
        <v>850</v>
      </c>
      <c r="O189" s="103" t="s">
        <v>850</v>
      </c>
      <c r="P189" s="103" t="s">
        <v>850</v>
      </c>
      <c r="Q189" s="103" t="s">
        <v>850</v>
      </c>
      <c r="R189" s="103"/>
      <c r="S189" s="103"/>
      <c r="T189" s="103"/>
      <c r="U189" s="103"/>
      <c r="V189" s="103"/>
      <c r="W189" s="103"/>
      <c r="X189" s="103"/>
    </row>
    <row r="190" spans="1:24" x14ac:dyDescent="0.25">
      <c r="A190" s="87" t="s">
        <v>1289</v>
      </c>
      <c r="B190" s="88" t="s">
        <v>1290</v>
      </c>
      <c r="C190" s="87" t="s">
        <v>808</v>
      </c>
      <c r="D190" s="87" t="s">
        <v>2064</v>
      </c>
      <c r="E190" s="87" t="s">
        <v>2551</v>
      </c>
      <c r="F190" s="87" t="s">
        <v>1894</v>
      </c>
      <c r="G190" s="89">
        <v>1</v>
      </c>
      <c r="H190" s="90" t="s">
        <v>2552</v>
      </c>
      <c r="I190" s="89">
        <v>0.98480000000000001</v>
      </c>
      <c r="J190" s="90" t="s">
        <v>2553</v>
      </c>
      <c r="K190" s="87" t="s">
        <v>1644</v>
      </c>
      <c r="L190" s="87" t="s">
        <v>1897</v>
      </c>
      <c r="M190" s="103"/>
      <c r="N190" s="103"/>
      <c r="O190" s="103"/>
      <c r="P190" s="103"/>
      <c r="Q190" s="103"/>
      <c r="R190" s="103" t="s">
        <v>850</v>
      </c>
      <c r="S190" s="103"/>
      <c r="T190" s="103"/>
      <c r="U190" s="103"/>
      <c r="V190" s="103"/>
      <c r="W190" s="103"/>
      <c r="X190" s="103"/>
    </row>
    <row r="191" spans="1:24" x14ac:dyDescent="0.25">
      <c r="A191" s="87" t="s">
        <v>1295</v>
      </c>
      <c r="B191" s="88" t="s">
        <v>1296</v>
      </c>
      <c r="C191" s="87" t="s">
        <v>808</v>
      </c>
      <c r="D191" s="87" t="s">
        <v>2556</v>
      </c>
      <c r="E191" s="87" t="s">
        <v>2557</v>
      </c>
      <c r="F191" s="87" t="s">
        <v>92</v>
      </c>
      <c r="G191" s="89">
        <v>0.6</v>
      </c>
      <c r="H191" s="90" t="s">
        <v>2558</v>
      </c>
      <c r="I191" s="89">
        <v>0.6</v>
      </c>
      <c r="J191" s="90" t="s">
        <v>2559</v>
      </c>
      <c r="K191" s="87" t="s">
        <v>1644</v>
      </c>
      <c r="L191" s="87" t="s">
        <v>1897</v>
      </c>
      <c r="M191" s="103"/>
      <c r="N191" s="103"/>
      <c r="O191" s="103"/>
      <c r="P191" s="103"/>
      <c r="Q191" s="103"/>
      <c r="R191" s="103" t="s">
        <v>850</v>
      </c>
      <c r="S191" s="103"/>
      <c r="T191" s="103"/>
      <c r="U191" s="103"/>
      <c r="V191" s="103"/>
      <c r="W191" s="103"/>
      <c r="X191" s="103"/>
    </row>
    <row r="192" spans="1:24" x14ac:dyDescent="0.25">
      <c r="A192" s="87" t="s">
        <v>1305</v>
      </c>
      <c r="B192" s="88" t="s">
        <v>1306</v>
      </c>
      <c r="C192" s="87" t="s">
        <v>808</v>
      </c>
      <c r="D192" s="87" t="s">
        <v>2572</v>
      </c>
      <c r="E192" s="87" t="s">
        <v>2573</v>
      </c>
      <c r="F192" s="87" t="s">
        <v>2075</v>
      </c>
      <c r="G192" s="103" t="s">
        <v>850</v>
      </c>
      <c r="H192" s="103"/>
      <c r="I192" s="103"/>
      <c r="J192" s="103"/>
      <c r="K192" s="103"/>
      <c r="L192" s="103"/>
      <c r="M192" s="103"/>
      <c r="N192" s="103"/>
      <c r="O192" s="103"/>
      <c r="P192" s="103"/>
      <c r="Q192" s="103"/>
      <c r="R192" s="103" t="s">
        <v>850</v>
      </c>
      <c r="S192" s="103"/>
      <c r="T192" s="103"/>
      <c r="U192" s="103"/>
      <c r="V192" s="103"/>
      <c r="W192" s="103"/>
      <c r="X192" s="103"/>
    </row>
    <row r="193" spans="1:24" x14ac:dyDescent="0.25">
      <c r="A193" s="87" t="s">
        <v>1309</v>
      </c>
      <c r="B193" s="88" t="s">
        <v>1310</v>
      </c>
      <c r="C193" s="87" t="s">
        <v>808</v>
      </c>
      <c r="D193" s="87" t="s">
        <v>2292</v>
      </c>
      <c r="E193" s="87" t="s">
        <v>2575</v>
      </c>
      <c r="F193" s="87" t="s">
        <v>88</v>
      </c>
      <c r="G193" s="160"/>
      <c r="H193" s="161"/>
      <c r="I193" s="160"/>
      <c r="J193" s="161"/>
      <c r="K193" s="103"/>
      <c r="L193" s="103"/>
      <c r="M193" s="160"/>
      <c r="N193" s="161"/>
      <c r="O193" s="160"/>
      <c r="P193" s="161"/>
      <c r="Q193" s="103"/>
      <c r="R193" s="103" t="s">
        <v>850</v>
      </c>
      <c r="S193" s="160"/>
      <c r="T193" s="161"/>
      <c r="U193" s="160"/>
      <c r="V193" s="161"/>
      <c r="W193" s="103"/>
      <c r="X193" s="103"/>
    </row>
    <row r="194" spans="1:24" x14ac:dyDescent="0.25">
      <c r="A194" s="87" t="s">
        <v>1321</v>
      </c>
      <c r="B194" s="88" t="s">
        <v>1322</v>
      </c>
      <c r="C194" s="87" t="s">
        <v>808</v>
      </c>
      <c r="D194" s="87" t="s">
        <v>1948</v>
      </c>
      <c r="E194" s="87" t="s">
        <v>2592</v>
      </c>
      <c r="F194" s="87" t="s">
        <v>1864</v>
      </c>
      <c r="G194" s="89">
        <v>1</v>
      </c>
      <c r="H194" s="90" t="s">
        <v>2593</v>
      </c>
      <c r="I194" s="89">
        <v>0.82220000000000004</v>
      </c>
      <c r="J194" s="103" t="s">
        <v>850</v>
      </c>
      <c r="K194" s="87" t="s">
        <v>1643</v>
      </c>
      <c r="L194" s="87" t="s">
        <v>1897</v>
      </c>
      <c r="M194" s="89">
        <v>0.5</v>
      </c>
      <c r="N194" s="90" t="s">
        <v>2594</v>
      </c>
      <c r="O194" s="89">
        <v>0.4133</v>
      </c>
      <c r="P194" s="90" t="s">
        <v>1661</v>
      </c>
      <c r="Q194" s="87" t="s">
        <v>1643</v>
      </c>
      <c r="R194" s="87" t="s">
        <v>1889</v>
      </c>
      <c r="S194" s="103"/>
      <c r="T194" s="103"/>
      <c r="U194" s="103"/>
      <c r="V194" s="103"/>
      <c r="W194" s="103"/>
      <c r="X194" s="103"/>
    </row>
    <row r="195" spans="1:24" x14ac:dyDescent="0.25">
      <c r="A195" s="87" t="s">
        <v>1339</v>
      </c>
      <c r="B195" s="88" t="s">
        <v>1340</v>
      </c>
      <c r="C195" s="87" t="s">
        <v>808</v>
      </c>
      <c r="D195" s="87" t="s">
        <v>2613</v>
      </c>
      <c r="E195" s="87" t="s">
        <v>2614</v>
      </c>
      <c r="F195" s="87" t="s">
        <v>92</v>
      </c>
      <c r="G195" s="89">
        <v>0.5</v>
      </c>
      <c r="H195" s="90" t="s">
        <v>1946</v>
      </c>
      <c r="I195" s="89">
        <v>0.5</v>
      </c>
      <c r="J195" s="90" t="s">
        <v>2615</v>
      </c>
      <c r="K195" s="87" t="s">
        <v>1644</v>
      </c>
      <c r="L195" s="87" t="s">
        <v>1889</v>
      </c>
      <c r="M195" s="103" t="s">
        <v>850</v>
      </c>
      <c r="N195" s="103" t="s">
        <v>850</v>
      </c>
      <c r="O195" s="103" t="s">
        <v>850</v>
      </c>
      <c r="P195" s="103" t="s">
        <v>850</v>
      </c>
      <c r="Q195" s="103"/>
      <c r="R195" s="103" t="s">
        <v>850</v>
      </c>
      <c r="S195" s="103"/>
      <c r="T195" s="103"/>
      <c r="U195" s="103"/>
      <c r="V195" s="103"/>
      <c r="W195" s="103"/>
      <c r="X195" s="103"/>
    </row>
    <row r="196" spans="1:24" x14ac:dyDescent="0.25">
      <c r="A196" s="87" t="s">
        <v>1349</v>
      </c>
      <c r="B196" s="88" t="s">
        <v>1350</v>
      </c>
      <c r="C196" s="87" t="s">
        <v>808</v>
      </c>
      <c r="D196" s="87" t="s">
        <v>1964</v>
      </c>
      <c r="E196" s="87" t="s">
        <v>2626</v>
      </c>
      <c r="F196" s="87" t="s">
        <v>1894</v>
      </c>
      <c r="G196" s="89">
        <v>2</v>
      </c>
      <c r="H196" s="90" t="s">
        <v>2087</v>
      </c>
      <c r="I196" s="89">
        <v>1.9907999999999999</v>
      </c>
      <c r="J196" s="90" t="s">
        <v>2627</v>
      </c>
      <c r="K196" s="87" t="s">
        <v>1643</v>
      </c>
      <c r="L196" s="87" t="s">
        <v>1897</v>
      </c>
      <c r="M196" s="103"/>
      <c r="N196" s="161"/>
      <c r="O196" s="103"/>
      <c r="P196" s="161"/>
      <c r="Q196" s="103"/>
      <c r="R196" s="103"/>
      <c r="S196" s="103"/>
      <c r="T196" s="103"/>
      <c r="U196" s="103"/>
      <c r="V196" s="103"/>
      <c r="W196" s="103"/>
      <c r="X196" s="103"/>
    </row>
    <row r="197" spans="1:24" x14ac:dyDescent="0.25">
      <c r="A197" s="87" t="s">
        <v>1353</v>
      </c>
      <c r="B197" s="88" t="s">
        <v>1354</v>
      </c>
      <c r="C197" s="87" t="s">
        <v>808</v>
      </c>
      <c r="D197" s="87" t="s">
        <v>1926</v>
      </c>
      <c r="E197" s="87" t="s">
        <v>2632</v>
      </c>
      <c r="F197" s="87" t="s">
        <v>1864</v>
      </c>
      <c r="G197" s="89">
        <v>0.5</v>
      </c>
      <c r="H197" s="90" t="s">
        <v>2633</v>
      </c>
      <c r="I197" s="89">
        <v>0.45910000000000001</v>
      </c>
      <c r="J197" s="90" t="s">
        <v>2004</v>
      </c>
      <c r="K197" s="87" t="s">
        <v>1644</v>
      </c>
      <c r="L197" s="87" t="s">
        <v>1897</v>
      </c>
      <c r="M197" s="89">
        <v>0</v>
      </c>
      <c r="N197" s="90" t="s">
        <v>2138</v>
      </c>
      <c r="O197" s="89">
        <v>0</v>
      </c>
      <c r="P197" s="90" t="s">
        <v>2009</v>
      </c>
      <c r="Q197" s="87" t="s">
        <v>1644</v>
      </c>
      <c r="R197" s="87" t="s">
        <v>1897</v>
      </c>
      <c r="S197" s="160"/>
      <c r="T197" s="103"/>
      <c r="U197" s="160"/>
      <c r="V197" s="103"/>
      <c r="W197" s="103"/>
      <c r="X197" s="103"/>
    </row>
    <row r="198" spans="1:24" x14ac:dyDescent="0.25">
      <c r="A198" s="87" t="s">
        <v>1361</v>
      </c>
      <c r="B198" s="88" t="s">
        <v>1362</v>
      </c>
      <c r="C198" s="87" t="s">
        <v>808</v>
      </c>
      <c r="D198" s="87" t="s">
        <v>2376</v>
      </c>
      <c r="E198" s="87" t="s">
        <v>2642</v>
      </c>
      <c r="F198" s="87" t="s">
        <v>1894</v>
      </c>
      <c r="G198" s="89">
        <v>1</v>
      </c>
      <c r="H198" s="90" t="s">
        <v>2643</v>
      </c>
      <c r="I198" s="89">
        <v>0.99309999999999998</v>
      </c>
      <c r="J198" s="90" t="s">
        <v>2262</v>
      </c>
      <c r="K198" s="87" t="s">
        <v>1643</v>
      </c>
      <c r="L198" s="87" t="s">
        <v>1889</v>
      </c>
      <c r="M198" s="160"/>
      <c r="N198" s="103"/>
      <c r="O198" s="103"/>
      <c r="P198" s="103"/>
      <c r="Q198" s="103"/>
      <c r="R198" s="103"/>
      <c r="S198" s="103"/>
      <c r="T198" s="103"/>
      <c r="U198" s="103"/>
      <c r="V198" s="103"/>
      <c r="W198" s="103"/>
      <c r="X198" s="103"/>
    </row>
    <row r="199" spans="1:24" x14ac:dyDescent="0.25">
      <c r="A199" s="87" t="s">
        <v>1369</v>
      </c>
      <c r="B199" s="88" t="s">
        <v>1370</v>
      </c>
      <c r="C199" s="87" t="s">
        <v>808</v>
      </c>
      <c r="D199" s="87" t="s">
        <v>2052</v>
      </c>
      <c r="E199" s="87" t="s">
        <v>2655</v>
      </c>
      <c r="F199" s="87" t="s">
        <v>1894</v>
      </c>
      <c r="G199" s="89">
        <v>1.4219999999999999</v>
      </c>
      <c r="H199" s="90" t="s">
        <v>2210</v>
      </c>
      <c r="I199" s="89">
        <v>1.4219999999999999</v>
      </c>
      <c r="J199" s="90" t="s">
        <v>2413</v>
      </c>
      <c r="K199" s="87" t="s">
        <v>1644</v>
      </c>
      <c r="L199" s="87" t="s">
        <v>1897</v>
      </c>
      <c r="M199" s="89">
        <v>0.5857</v>
      </c>
      <c r="N199" s="90" t="s">
        <v>2656</v>
      </c>
      <c r="O199" s="89">
        <v>0.5857</v>
      </c>
      <c r="P199" s="90" t="s">
        <v>2657</v>
      </c>
      <c r="Q199" s="87" t="s">
        <v>1644</v>
      </c>
      <c r="R199" s="87" t="s">
        <v>2658</v>
      </c>
      <c r="S199" s="103"/>
      <c r="T199" s="103"/>
      <c r="U199" s="103"/>
      <c r="V199" s="103"/>
      <c r="W199" s="103"/>
      <c r="X199" s="103"/>
    </row>
    <row r="200" spans="1:24" x14ac:dyDescent="0.25">
      <c r="A200" s="87" t="s">
        <v>1395</v>
      </c>
      <c r="B200" s="88" t="s">
        <v>1396</v>
      </c>
      <c r="C200" s="87" t="s">
        <v>808</v>
      </c>
      <c r="D200" s="87" t="s">
        <v>2064</v>
      </c>
      <c r="E200" s="87" t="s">
        <v>2695</v>
      </c>
      <c r="F200" s="87" t="s">
        <v>1894</v>
      </c>
      <c r="G200" s="89">
        <v>0.75</v>
      </c>
      <c r="H200" s="90" t="s">
        <v>2696</v>
      </c>
      <c r="I200" s="89">
        <v>0.75</v>
      </c>
      <c r="J200" s="90" t="s">
        <v>2220</v>
      </c>
      <c r="K200" s="87" t="s">
        <v>1644</v>
      </c>
      <c r="L200" s="87" t="s">
        <v>1897</v>
      </c>
      <c r="M200" s="89">
        <v>0.35</v>
      </c>
      <c r="N200" s="90" t="s">
        <v>2681</v>
      </c>
      <c r="O200" s="89">
        <v>0.35</v>
      </c>
      <c r="P200" s="90" t="s">
        <v>2147</v>
      </c>
      <c r="Q200" s="87" t="s">
        <v>1644</v>
      </c>
      <c r="R200" s="87" t="s">
        <v>1897</v>
      </c>
      <c r="S200" s="103"/>
      <c r="T200" s="103"/>
      <c r="U200" s="103"/>
      <c r="V200" s="103"/>
      <c r="W200" s="103"/>
      <c r="X200" s="103"/>
    </row>
    <row r="201" spans="1:24" x14ac:dyDescent="0.25">
      <c r="A201" s="87" t="s">
        <v>1403</v>
      </c>
      <c r="B201" s="88" t="s">
        <v>1404</v>
      </c>
      <c r="C201" s="87" t="s">
        <v>808</v>
      </c>
      <c r="D201" s="87" t="s">
        <v>2259</v>
      </c>
      <c r="E201" s="87" t="s">
        <v>2704</v>
      </c>
      <c r="F201" s="87" t="s">
        <v>1894</v>
      </c>
      <c r="G201" s="89">
        <v>0.95</v>
      </c>
      <c r="H201" s="90" t="s">
        <v>2705</v>
      </c>
      <c r="I201" s="89">
        <v>0.95</v>
      </c>
      <c r="J201" s="90" t="s">
        <v>2611</v>
      </c>
      <c r="K201" s="87" t="s">
        <v>1644</v>
      </c>
      <c r="L201" s="87" t="s">
        <v>1897</v>
      </c>
      <c r="M201" s="160"/>
      <c r="N201" s="161"/>
      <c r="O201" s="160"/>
      <c r="P201" s="161"/>
      <c r="Q201" s="103"/>
      <c r="R201" s="103"/>
      <c r="S201" s="160"/>
      <c r="T201" s="161"/>
      <c r="U201" s="160"/>
      <c r="V201" s="161"/>
      <c r="W201" s="103"/>
      <c r="X201" s="103"/>
    </row>
    <row r="202" spans="1:24" x14ac:dyDescent="0.25">
      <c r="A202" s="87" t="s">
        <v>1411</v>
      </c>
      <c r="B202" s="88" t="s">
        <v>1412</v>
      </c>
      <c r="C202" s="87" t="s">
        <v>808</v>
      </c>
      <c r="D202" s="87" t="s">
        <v>1964</v>
      </c>
      <c r="E202" s="87" t="s">
        <v>2693</v>
      </c>
      <c r="F202" s="87" t="s">
        <v>1894</v>
      </c>
      <c r="G202" s="89">
        <v>1</v>
      </c>
      <c r="H202" s="90" t="s">
        <v>2711</v>
      </c>
      <c r="I202" s="89">
        <v>0.8</v>
      </c>
      <c r="J202" s="90" t="s">
        <v>1660</v>
      </c>
      <c r="K202" s="87" t="s">
        <v>1643</v>
      </c>
      <c r="L202" s="87" t="s">
        <v>1897</v>
      </c>
      <c r="M202" s="89">
        <v>0.81720000000000004</v>
      </c>
      <c r="N202" s="90" t="s">
        <v>2712</v>
      </c>
      <c r="O202" s="89">
        <v>0.17</v>
      </c>
      <c r="P202" s="90" t="s">
        <v>2713</v>
      </c>
      <c r="Q202" s="87" t="s">
        <v>1644</v>
      </c>
      <c r="R202" s="87" t="s">
        <v>1998</v>
      </c>
      <c r="S202" s="160"/>
      <c r="T202" s="161"/>
      <c r="U202" s="160"/>
      <c r="V202" s="161"/>
      <c r="W202" s="103"/>
      <c r="X202" s="103"/>
    </row>
    <row r="203" spans="1:24" x14ac:dyDescent="0.25">
      <c r="A203" s="87" t="s">
        <v>1419</v>
      </c>
      <c r="B203" s="88" t="s">
        <v>1420</v>
      </c>
      <c r="C203" s="87" t="s">
        <v>808</v>
      </c>
      <c r="D203" s="87" t="s">
        <v>1925</v>
      </c>
      <c r="E203" s="103" t="s">
        <v>850</v>
      </c>
      <c r="F203" s="87" t="s">
        <v>88</v>
      </c>
      <c r="G203" s="89">
        <v>0.8</v>
      </c>
      <c r="H203" s="90" t="s">
        <v>2719</v>
      </c>
      <c r="I203" s="89">
        <v>0.8</v>
      </c>
      <c r="J203" s="103" t="s">
        <v>850</v>
      </c>
      <c r="K203" s="87" t="s">
        <v>1643</v>
      </c>
      <c r="L203" s="103" t="s">
        <v>850</v>
      </c>
      <c r="M203" s="103" t="s">
        <v>850</v>
      </c>
      <c r="N203" s="103" t="s">
        <v>850</v>
      </c>
      <c r="O203" s="103" t="s">
        <v>850</v>
      </c>
      <c r="P203" s="103" t="s">
        <v>850</v>
      </c>
      <c r="Q203" s="103" t="s">
        <v>850</v>
      </c>
      <c r="R203" s="103" t="s">
        <v>850</v>
      </c>
      <c r="S203" s="103"/>
      <c r="T203" s="103"/>
      <c r="U203" s="103"/>
      <c r="V203" s="103"/>
      <c r="W203" s="103"/>
      <c r="X203" s="103"/>
    </row>
    <row r="204" spans="1:24" x14ac:dyDescent="0.25">
      <c r="A204" s="87" t="s">
        <v>1435</v>
      </c>
      <c r="B204" s="88" t="s">
        <v>1436</v>
      </c>
      <c r="C204" s="87" t="s">
        <v>808</v>
      </c>
      <c r="D204" s="87" t="s">
        <v>1936</v>
      </c>
      <c r="E204" s="87" t="s">
        <v>2734</v>
      </c>
      <c r="F204" s="87" t="s">
        <v>1894</v>
      </c>
      <c r="G204" s="89">
        <v>0.99580000000000002</v>
      </c>
      <c r="H204" s="90" t="s">
        <v>2735</v>
      </c>
      <c r="I204" s="89">
        <v>1</v>
      </c>
      <c r="J204" s="90" t="s">
        <v>2736</v>
      </c>
      <c r="K204" s="87" t="s">
        <v>1644</v>
      </c>
      <c r="L204" s="87" t="s">
        <v>1897</v>
      </c>
      <c r="M204" s="160"/>
      <c r="N204" s="161"/>
      <c r="O204" s="160"/>
      <c r="P204" s="161"/>
      <c r="Q204" s="103"/>
      <c r="R204" s="103"/>
      <c r="S204" s="160"/>
      <c r="T204" s="161"/>
      <c r="U204" s="160"/>
      <c r="V204" s="161"/>
      <c r="W204" s="103"/>
      <c r="X204" s="103"/>
    </row>
    <row r="205" spans="1:24" x14ac:dyDescent="0.25">
      <c r="A205" s="87" t="s">
        <v>1437</v>
      </c>
      <c r="B205" s="88" t="s">
        <v>1438</v>
      </c>
      <c r="C205" s="87" t="s">
        <v>808</v>
      </c>
      <c r="D205" s="87" t="s">
        <v>2043</v>
      </c>
      <c r="E205" s="87" t="s">
        <v>2737</v>
      </c>
      <c r="F205" s="87" t="s">
        <v>1894</v>
      </c>
      <c r="G205" s="89">
        <v>0.8</v>
      </c>
      <c r="H205" s="90" t="s">
        <v>2738</v>
      </c>
      <c r="I205" s="89">
        <v>0.72719999999999996</v>
      </c>
      <c r="J205" s="90" t="s">
        <v>2739</v>
      </c>
      <c r="K205" s="87" t="s">
        <v>1643</v>
      </c>
      <c r="L205" s="87" t="s">
        <v>1897</v>
      </c>
      <c r="M205" s="89">
        <v>7.5700000000000003E-2</v>
      </c>
      <c r="N205" s="90" t="s">
        <v>2229</v>
      </c>
      <c r="O205" s="89">
        <v>7.5700000000000003E-2</v>
      </c>
      <c r="P205" s="103" t="s">
        <v>850</v>
      </c>
      <c r="Q205" s="87" t="s">
        <v>1643</v>
      </c>
      <c r="R205" s="87" t="s">
        <v>1897</v>
      </c>
      <c r="S205" s="103"/>
      <c r="T205" s="103"/>
      <c r="U205" s="103"/>
      <c r="V205" s="103"/>
      <c r="W205" s="103"/>
      <c r="X205" s="103"/>
    </row>
    <row r="206" spans="1:24" x14ac:dyDescent="0.25">
      <c r="A206" s="87" t="s">
        <v>1445</v>
      </c>
      <c r="B206" s="88" t="s">
        <v>1446</v>
      </c>
      <c r="C206" s="87" t="s">
        <v>808</v>
      </c>
      <c r="D206" s="87" t="s">
        <v>1919</v>
      </c>
      <c r="E206" s="87" t="s">
        <v>2750</v>
      </c>
      <c r="F206" s="87" t="s">
        <v>1864</v>
      </c>
      <c r="G206" s="89">
        <v>0.4</v>
      </c>
      <c r="H206" s="90" t="s">
        <v>2042</v>
      </c>
      <c r="I206" s="89">
        <v>0.4</v>
      </c>
      <c r="J206" s="103" t="s">
        <v>850</v>
      </c>
      <c r="K206" s="87" t="s">
        <v>1643</v>
      </c>
      <c r="L206" s="87" t="s">
        <v>1889</v>
      </c>
      <c r="M206" s="160"/>
      <c r="N206" s="103"/>
      <c r="O206" s="160"/>
      <c r="P206" s="103"/>
      <c r="Q206" s="103"/>
      <c r="R206" s="103"/>
      <c r="S206" s="160"/>
      <c r="T206" s="103"/>
      <c r="U206" s="160"/>
      <c r="V206" s="103"/>
      <c r="W206" s="103"/>
      <c r="X206" s="103"/>
    </row>
    <row r="207" spans="1:24" x14ac:dyDescent="0.25">
      <c r="A207" s="87" t="s">
        <v>1451</v>
      </c>
      <c r="B207" s="88" t="s">
        <v>1452</v>
      </c>
      <c r="C207" s="87" t="s">
        <v>808</v>
      </c>
      <c r="D207" s="87" t="s">
        <v>1898</v>
      </c>
      <c r="E207" s="87" t="s">
        <v>2758</v>
      </c>
      <c r="F207" s="87" t="s">
        <v>1894</v>
      </c>
      <c r="G207" s="89">
        <v>1</v>
      </c>
      <c r="H207" s="90" t="s">
        <v>2759</v>
      </c>
      <c r="I207" s="89">
        <v>0.97009999999999996</v>
      </c>
      <c r="J207" s="90" t="s">
        <v>1987</v>
      </c>
      <c r="K207" s="87" t="s">
        <v>1643</v>
      </c>
      <c r="L207" s="87" t="s">
        <v>1897</v>
      </c>
      <c r="M207" s="89">
        <v>0.2</v>
      </c>
      <c r="N207" s="90" t="s">
        <v>2760</v>
      </c>
      <c r="O207" s="89">
        <v>0.2</v>
      </c>
      <c r="P207" s="90" t="s">
        <v>2760</v>
      </c>
      <c r="Q207" s="87" t="s">
        <v>1644</v>
      </c>
      <c r="R207" s="87" t="s">
        <v>1897</v>
      </c>
      <c r="S207" s="103"/>
      <c r="T207" s="103"/>
      <c r="U207" s="103"/>
      <c r="V207" s="103"/>
      <c r="W207" s="103"/>
      <c r="X207" s="103"/>
    </row>
    <row r="208" spans="1:24" x14ac:dyDescent="0.25">
      <c r="A208" s="87" t="s">
        <v>1455</v>
      </c>
      <c r="B208" s="88" t="s">
        <v>1456</v>
      </c>
      <c r="C208" s="87" t="s">
        <v>808</v>
      </c>
      <c r="D208" s="87" t="s">
        <v>1944</v>
      </c>
      <c r="E208" s="87" t="s">
        <v>2761</v>
      </c>
      <c r="F208" s="87" t="s">
        <v>2011</v>
      </c>
      <c r="G208" s="89">
        <v>1.0058</v>
      </c>
      <c r="H208" s="90" t="s">
        <v>2762</v>
      </c>
      <c r="I208" s="89">
        <v>1.0058</v>
      </c>
      <c r="J208" s="90" t="s">
        <v>2763</v>
      </c>
      <c r="K208" s="87" t="s">
        <v>1644</v>
      </c>
      <c r="L208" s="87" t="s">
        <v>1889</v>
      </c>
      <c r="M208" s="89">
        <v>1.0058</v>
      </c>
      <c r="N208" s="90" t="s">
        <v>2012</v>
      </c>
      <c r="O208" s="89">
        <v>1.0058</v>
      </c>
      <c r="P208" s="90" t="s">
        <v>2764</v>
      </c>
      <c r="Q208" s="87" t="s">
        <v>1644</v>
      </c>
      <c r="R208" s="87" t="s">
        <v>1897</v>
      </c>
      <c r="S208" s="160"/>
      <c r="T208" s="161"/>
      <c r="U208" s="160"/>
      <c r="V208" s="103"/>
      <c r="W208" s="103"/>
      <c r="X208" s="103"/>
    </row>
    <row r="209" spans="1:24" x14ac:dyDescent="0.25">
      <c r="A209" s="87" t="s">
        <v>1461</v>
      </c>
      <c r="B209" s="88" t="s">
        <v>1462</v>
      </c>
      <c r="C209" s="87" t="s">
        <v>808</v>
      </c>
      <c r="D209" s="87" t="s">
        <v>1892</v>
      </c>
      <c r="E209" s="87" t="s">
        <v>2769</v>
      </c>
      <c r="F209" s="87" t="s">
        <v>2011</v>
      </c>
      <c r="G209" s="160"/>
      <c r="H209" s="103"/>
      <c r="I209" s="160"/>
      <c r="J209" s="103"/>
      <c r="K209" s="103"/>
      <c r="L209" s="103"/>
      <c r="M209" s="160"/>
      <c r="N209" s="103"/>
      <c r="O209" s="160"/>
      <c r="P209" s="103"/>
      <c r="Q209" s="103"/>
      <c r="R209" s="103"/>
      <c r="S209" s="160"/>
      <c r="T209" s="103"/>
      <c r="U209" s="160"/>
      <c r="V209" s="103"/>
      <c r="W209" s="103"/>
      <c r="X209" s="103"/>
    </row>
    <row r="210" spans="1:24" x14ac:dyDescent="0.25">
      <c r="A210" s="87" t="s">
        <v>1467</v>
      </c>
      <c r="B210" s="88" t="s">
        <v>1468</v>
      </c>
      <c r="C210" s="87" t="s">
        <v>808</v>
      </c>
      <c r="D210" s="87" t="s">
        <v>2382</v>
      </c>
      <c r="E210" s="87" t="s">
        <v>2776</v>
      </c>
      <c r="F210" s="87" t="s">
        <v>1894</v>
      </c>
      <c r="G210" s="89">
        <v>1.5</v>
      </c>
      <c r="H210" s="90" t="s">
        <v>2777</v>
      </c>
      <c r="I210" s="89">
        <v>1.4419999999999999</v>
      </c>
      <c r="J210" s="103" t="s">
        <v>850</v>
      </c>
      <c r="K210" s="87" t="s">
        <v>1643</v>
      </c>
      <c r="L210" s="87" t="s">
        <v>1897</v>
      </c>
      <c r="M210" s="103" t="s">
        <v>850</v>
      </c>
      <c r="N210" s="103" t="s">
        <v>850</v>
      </c>
      <c r="O210" s="103" t="s">
        <v>850</v>
      </c>
      <c r="P210" s="103" t="s">
        <v>850</v>
      </c>
      <c r="Q210" s="103"/>
      <c r="R210" s="103" t="s">
        <v>850</v>
      </c>
      <c r="S210" s="103"/>
      <c r="T210" s="103"/>
      <c r="U210" s="103"/>
      <c r="V210" s="103"/>
      <c r="W210" s="103"/>
      <c r="X210" s="103"/>
    </row>
    <row r="211" spans="1:24" x14ac:dyDescent="0.25">
      <c r="A211" s="87" t="s">
        <v>1480</v>
      </c>
      <c r="B211" s="88" t="s">
        <v>1481</v>
      </c>
      <c r="C211" s="87" t="s">
        <v>808</v>
      </c>
      <c r="D211" s="87" t="s">
        <v>2385</v>
      </c>
      <c r="E211" s="87" t="s">
        <v>2787</v>
      </c>
      <c r="F211" s="87" t="s">
        <v>88</v>
      </c>
      <c r="G211" s="89">
        <v>0.99</v>
      </c>
      <c r="H211" s="90" t="s">
        <v>2788</v>
      </c>
      <c r="I211" s="89">
        <v>0.59</v>
      </c>
      <c r="J211" s="103" t="s">
        <v>850</v>
      </c>
      <c r="K211" s="87" t="s">
        <v>1643</v>
      </c>
      <c r="L211" s="87" t="s">
        <v>1897</v>
      </c>
      <c r="M211" s="89">
        <v>0.25</v>
      </c>
      <c r="N211" s="90" t="s">
        <v>2789</v>
      </c>
      <c r="O211" s="89">
        <v>0.25</v>
      </c>
      <c r="P211" s="90" t="s">
        <v>2790</v>
      </c>
      <c r="Q211" s="87" t="s">
        <v>1644</v>
      </c>
      <c r="R211" s="87" t="s">
        <v>2791</v>
      </c>
      <c r="S211" s="103"/>
      <c r="T211" s="103"/>
      <c r="U211" s="103"/>
      <c r="V211" s="103"/>
      <c r="W211" s="103"/>
      <c r="X211" s="103"/>
    </row>
    <row r="212" spans="1:24" x14ac:dyDescent="0.25">
      <c r="A212" s="87" t="s">
        <v>1486</v>
      </c>
      <c r="B212" s="88" t="s">
        <v>1487</v>
      </c>
      <c r="C212" s="87" t="s">
        <v>808</v>
      </c>
      <c r="D212" s="87" t="s">
        <v>2098</v>
      </c>
      <c r="E212" s="87" t="s">
        <v>2796</v>
      </c>
      <c r="F212" s="87" t="s">
        <v>1864</v>
      </c>
      <c r="G212" s="89">
        <v>0.25</v>
      </c>
      <c r="H212" s="90" t="s">
        <v>1907</v>
      </c>
      <c r="I212" s="89">
        <v>0.25</v>
      </c>
      <c r="J212" s="90" t="s">
        <v>2797</v>
      </c>
      <c r="K212" s="87" t="s">
        <v>1644</v>
      </c>
      <c r="L212" s="87" t="s">
        <v>1897</v>
      </c>
      <c r="M212" s="160"/>
      <c r="N212" s="103"/>
      <c r="O212" s="160"/>
      <c r="P212" s="103"/>
      <c r="Q212" s="103"/>
      <c r="R212" s="103"/>
      <c r="S212" s="160"/>
      <c r="T212" s="103"/>
      <c r="U212" s="160"/>
      <c r="V212" s="103"/>
      <c r="W212" s="103"/>
      <c r="X212" s="103"/>
    </row>
    <row r="213" spans="1:24" x14ac:dyDescent="0.25">
      <c r="A213" s="87" t="s">
        <v>1488</v>
      </c>
      <c r="B213" s="88" t="s">
        <v>1489</v>
      </c>
      <c r="C213" s="87" t="s">
        <v>808</v>
      </c>
      <c r="D213" s="87" t="s">
        <v>2540</v>
      </c>
      <c r="E213" s="87" t="s">
        <v>2540</v>
      </c>
      <c r="F213" s="87" t="s">
        <v>88</v>
      </c>
      <c r="G213" s="89">
        <v>0.99480000000000002</v>
      </c>
      <c r="H213" s="90" t="s">
        <v>2086</v>
      </c>
      <c r="I213" s="89">
        <v>0.99480000000000002</v>
      </c>
      <c r="J213" s="90" t="s">
        <v>2798</v>
      </c>
      <c r="K213" s="87" t="s">
        <v>1644</v>
      </c>
      <c r="L213" s="87" t="s">
        <v>1897</v>
      </c>
      <c r="M213" s="160"/>
      <c r="N213" s="103"/>
      <c r="O213" s="160"/>
      <c r="P213" s="103"/>
      <c r="Q213" s="103"/>
      <c r="R213" s="103"/>
      <c r="S213" s="160"/>
      <c r="T213" s="103"/>
      <c r="U213" s="160"/>
      <c r="V213" s="103"/>
      <c r="W213" s="103"/>
      <c r="X213" s="103"/>
    </row>
    <row r="214" spans="1:24" x14ac:dyDescent="0.25">
      <c r="A214" s="87" t="s">
        <v>1504</v>
      </c>
      <c r="B214" s="88" t="s">
        <v>1505</v>
      </c>
      <c r="C214" s="87" t="s">
        <v>808</v>
      </c>
      <c r="D214" s="87" t="s">
        <v>2376</v>
      </c>
      <c r="E214" s="87" t="s">
        <v>2816</v>
      </c>
      <c r="F214" s="87" t="s">
        <v>1864</v>
      </c>
      <c r="G214" s="89">
        <v>1.7</v>
      </c>
      <c r="H214" s="90" t="s">
        <v>2817</v>
      </c>
      <c r="I214" s="89">
        <v>1.6398999999999999</v>
      </c>
      <c r="J214" s="103" t="s">
        <v>850</v>
      </c>
      <c r="K214" s="87" t="s">
        <v>1643</v>
      </c>
      <c r="L214" s="87" t="s">
        <v>1897</v>
      </c>
      <c r="M214" s="103"/>
      <c r="N214" s="161"/>
      <c r="O214" s="103"/>
      <c r="P214" s="103"/>
      <c r="Q214" s="103"/>
      <c r="R214" s="103"/>
      <c r="S214" s="103"/>
      <c r="T214" s="103"/>
      <c r="U214" s="103"/>
      <c r="V214" s="103"/>
      <c r="W214" s="103"/>
      <c r="X214" s="103"/>
    </row>
    <row r="215" spans="1:24" x14ac:dyDescent="0.25">
      <c r="A215" s="87" t="s">
        <v>1508</v>
      </c>
      <c r="B215" s="88" t="s">
        <v>1509</v>
      </c>
      <c r="C215" s="87" t="s">
        <v>808</v>
      </c>
      <c r="D215" s="87" t="s">
        <v>2820</v>
      </c>
      <c r="E215" s="87" t="s">
        <v>2536</v>
      </c>
      <c r="F215" s="87" t="s">
        <v>2075</v>
      </c>
      <c r="G215" s="89">
        <v>0.5</v>
      </c>
      <c r="H215" s="90" t="s">
        <v>2821</v>
      </c>
      <c r="I215" s="89">
        <v>0.5</v>
      </c>
      <c r="J215" s="90" t="s">
        <v>1986</v>
      </c>
      <c r="K215" s="87" t="s">
        <v>1644</v>
      </c>
      <c r="L215" s="87" t="s">
        <v>1897</v>
      </c>
      <c r="M215" s="103"/>
      <c r="N215" s="103"/>
      <c r="O215" s="103"/>
      <c r="P215" s="103"/>
      <c r="Q215" s="103"/>
      <c r="R215" s="103"/>
      <c r="S215" s="103"/>
      <c r="T215" s="103"/>
      <c r="U215" s="103"/>
      <c r="V215" s="103"/>
      <c r="W215" s="103"/>
      <c r="X215" s="103"/>
    </row>
    <row r="216" spans="1:24" x14ac:dyDescent="0.25">
      <c r="A216" s="87" t="s">
        <v>1510</v>
      </c>
      <c r="B216" s="88" t="s">
        <v>1511</v>
      </c>
      <c r="C216" s="87" t="s">
        <v>808</v>
      </c>
      <c r="D216" s="87" t="s">
        <v>2091</v>
      </c>
      <c r="E216" s="87" t="s">
        <v>2822</v>
      </c>
      <c r="F216" s="87" t="s">
        <v>1894</v>
      </c>
      <c r="G216" s="89">
        <v>0.5</v>
      </c>
      <c r="H216" s="90" t="s">
        <v>2823</v>
      </c>
      <c r="I216" s="89">
        <v>0.5</v>
      </c>
      <c r="J216" s="90" t="s">
        <v>2339</v>
      </c>
      <c r="K216" s="87" t="s">
        <v>1644</v>
      </c>
      <c r="L216" s="87" t="s">
        <v>1897</v>
      </c>
      <c r="M216" s="89">
        <v>0.4</v>
      </c>
      <c r="N216" s="90" t="s">
        <v>2824</v>
      </c>
      <c r="O216" s="89">
        <v>0.38740000000000002</v>
      </c>
      <c r="P216" s="90" t="s">
        <v>1935</v>
      </c>
      <c r="Q216" s="87" t="s">
        <v>1643</v>
      </c>
      <c r="R216" s="87" t="s">
        <v>1897</v>
      </c>
      <c r="S216" s="89">
        <v>0.42</v>
      </c>
      <c r="T216" s="90" t="s">
        <v>2824</v>
      </c>
      <c r="U216" s="89">
        <v>0.42</v>
      </c>
      <c r="V216" s="90" t="s">
        <v>2825</v>
      </c>
      <c r="W216" s="87" t="s">
        <v>1644</v>
      </c>
      <c r="X216" s="87" t="s">
        <v>1998</v>
      </c>
    </row>
    <row r="217" spans="1:24" x14ac:dyDescent="0.25">
      <c r="A217" s="87" t="s">
        <v>1520</v>
      </c>
      <c r="B217" s="88" t="s">
        <v>1521</v>
      </c>
      <c r="C217" s="87" t="s">
        <v>808</v>
      </c>
      <c r="D217" s="87" t="s">
        <v>1930</v>
      </c>
      <c r="E217" s="87" t="s">
        <v>2834</v>
      </c>
      <c r="F217" s="87" t="s">
        <v>88</v>
      </c>
      <c r="G217" s="89">
        <v>0.5</v>
      </c>
      <c r="H217" s="90" t="s">
        <v>2213</v>
      </c>
      <c r="I217" s="89">
        <v>0.49940000000000001</v>
      </c>
      <c r="J217" s="90" t="s">
        <v>2835</v>
      </c>
      <c r="K217" s="87" t="s">
        <v>1644</v>
      </c>
      <c r="L217" s="87" t="s">
        <v>1897</v>
      </c>
      <c r="M217" s="103" t="s">
        <v>850</v>
      </c>
      <c r="N217" s="103" t="s">
        <v>850</v>
      </c>
      <c r="O217" s="103" t="s">
        <v>850</v>
      </c>
      <c r="P217" s="103" t="s">
        <v>850</v>
      </c>
      <c r="Q217" s="87" t="s">
        <v>1644</v>
      </c>
      <c r="R217" s="87" t="s">
        <v>1897</v>
      </c>
      <c r="S217" s="103"/>
      <c r="T217" s="103"/>
      <c r="U217" s="103"/>
      <c r="V217" s="103"/>
      <c r="W217" s="103"/>
      <c r="X217" s="103"/>
    </row>
    <row r="218" spans="1:24" x14ac:dyDescent="0.25">
      <c r="A218" s="87" t="s">
        <v>1524</v>
      </c>
      <c r="B218" s="88" t="s">
        <v>1525</v>
      </c>
      <c r="C218" s="87" t="s">
        <v>808</v>
      </c>
      <c r="D218" s="87" t="s">
        <v>2043</v>
      </c>
      <c r="E218" s="87" t="s">
        <v>2837</v>
      </c>
      <c r="F218" s="87" t="s">
        <v>1864</v>
      </c>
      <c r="G218" s="89">
        <v>0.4</v>
      </c>
      <c r="H218" s="90" t="s">
        <v>2838</v>
      </c>
      <c r="I218" s="89">
        <v>0.02</v>
      </c>
      <c r="J218" s="90" t="s">
        <v>2839</v>
      </c>
      <c r="K218" s="87" t="s">
        <v>1644</v>
      </c>
      <c r="L218" s="87" t="s">
        <v>1897</v>
      </c>
      <c r="M218" s="89">
        <v>0.4</v>
      </c>
      <c r="N218" s="90" t="s">
        <v>2840</v>
      </c>
      <c r="O218" s="89">
        <v>0.3</v>
      </c>
      <c r="P218" s="90" t="s">
        <v>2841</v>
      </c>
      <c r="Q218" s="87" t="s">
        <v>1644</v>
      </c>
      <c r="R218" s="87" t="s">
        <v>1897</v>
      </c>
      <c r="S218" s="103"/>
      <c r="T218" s="103"/>
      <c r="U218" s="103"/>
      <c r="V218" s="103"/>
      <c r="W218" s="103"/>
      <c r="X218" s="103"/>
    </row>
    <row r="219" spans="1:24" x14ac:dyDescent="0.25">
      <c r="A219" s="87" t="s">
        <v>1526</v>
      </c>
      <c r="B219" s="88" t="s">
        <v>1527</v>
      </c>
      <c r="C219" s="87" t="s">
        <v>808</v>
      </c>
      <c r="D219" s="87" t="s">
        <v>1930</v>
      </c>
      <c r="E219" s="87" t="s">
        <v>2842</v>
      </c>
      <c r="F219" s="87" t="s">
        <v>88</v>
      </c>
      <c r="G219" s="89">
        <v>0.5</v>
      </c>
      <c r="H219" s="90" t="s">
        <v>2210</v>
      </c>
      <c r="I219" s="89">
        <v>0.5</v>
      </c>
      <c r="J219" s="90" t="s">
        <v>2144</v>
      </c>
      <c r="K219" s="87" t="s">
        <v>1644</v>
      </c>
      <c r="L219" s="87" t="s">
        <v>1897</v>
      </c>
      <c r="M219" s="103" t="s">
        <v>850</v>
      </c>
      <c r="N219" s="103" t="s">
        <v>850</v>
      </c>
      <c r="O219" s="103" t="s">
        <v>850</v>
      </c>
      <c r="P219" s="103" t="s">
        <v>850</v>
      </c>
      <c r="Q219" s="103"/>
      <c r="R219" s="103" t="s">
        <v>850</v>
      </c>
      <c r="S219" s="103"/>
      <c r="T219" s="103"/>
      <c r="U219" s="103"/>
      <c r="V219" s="103"/>
      <c r="W219" s="103"/>
      <c r="X219" s="103"/>
    </row>
    <row r="220" spans="1:24" x14ac:dyDescent="0.25">
      <c r="A220" s="87" t="s">
        <v>1534</v>
      </c>
      <c r="B220" s="88" t="s">
        <v>1535</v>
      </c>
      <c r="C220" s="87" t="s">
        <v>808</v>
      </c>
      <c r="D220" s="87" t="s">
        <v>2091</v>
      </c>
      <c r="E220" s="87" t="s">
        <v>2849</v>
      </c>
      <c r="F220" s="87" t="s">
        <v>1864</v>
      </c>
      <c r="G220" s="89">
        <v>1</v>
      </c>
      <c r="H220" s="90" t="s">
        <v>2850</v>
      </c>
      <c r="I220" s="89">
        <v>0.83509999999999995</v>
      </c>
      <c r="J220" s="103" t="s">
        <v>850</v>
      </c>
      <c r="K220" s="87" t="s">
        <v>1643</v>
      </c>
      <c r="L220" s="87" t="s">
        <v>1897</v>
      </c>
      <c r="M220" s="89">
        <v>0.5</v>
      </c>
      <c r="N220" s="90" t="s">
        <v>1911</v>
      </c>
      <c r="O220" s="89">
        <v>0.5</v>
      </c>
      <c r="P220" s="90" t="s">
        <v>2851</v>
      </c>
      <c r="Q220" s="87" t="s">
        <v>1644</v>
      </c>
      <c r="R220" s="87" t="s">
        <v>1897</v>
      </c>
      <c r="S220" s="103"/>
      <c r="T220" s="103"/>
      <c r="U220" s="103"/>
      <c r="V220" s="103"/>
      <c r="W220" s="103"/>
      <c r="X220" s="103"/>
    </row>
    <row r="221" spans="1:24" x14ac:dyDescent="0.25">
      <c r="A221" s="87" t="s">
        <v>1562</v>
      </c>
      <c r="B221" s="88" t="s">
        <v>1563</v>
      </c>
      <c r="C221" s="87" t="s">
        <v>808</v>
      </c>
      <c r="D221" s="87" t="s">
        <v>1976</v>
      </c>
      <c r="E221" s="87" t="s">
        <v>2877</v>
      </c>
      <c r="F221" s="87" t="s">
        <v>2075</v>
      </c>
      <c r="G221" s="160"/>
      <c r="H221" s="161"/>
      <c r="I221" s="160"/>
      <c r="J221" s="161"/>
      <c r="K221" s="103"/>
      <c r="L221" s="103"/>
      <c r="M221" s="103" t="s">
        <v>850</v>
      </c>
      <c r="N221" s="103" t="s">
        <v>850</v>
      </c>
      <c r="O221" s="103" t="s">
        <v>850</v>
      </c>
      <c r="P221" s="103" t="s">
        <v>850</v>
      </c>
      <c r="Q221" s="103"/>
      <c r="R221" s="103" t="s">
        <v>850</v>
      </c>
      <c r="S221" s="103"/>
      <c r="T221" s="103"/>
      <c r="U221" s="103"/>
      <c r="V221" s="103"/>
      <c r="W221" s="103"/>
      <c r="X221" s="103"/>
    </row>
    <row r="222" spans="1:24" x14ac:dyDescent="0.25">
      <c r="A222" s="87" t="s">
        <v>1576</v>
      </c>
      <c r="B222" s="88" t="s">
        <v>1577</v>
      </c>
      <c r="C222" s="87" t="s">
        <v>808</v>
      </c>
      <c r="D222" s="87" t="s">
        <v>2607</v>
      </c>
      <c r="E222" s="87" t="s">
        <v>2892</v>
      </c>
      <c r="F222" s="87" t="s">
        <v>1894</v>
      </c>
      <c r="G222" s="89">
        <v>0.4</v>
      </c>
      <c r="H222" s="90" t="s">
        <v>2020</v>
      </c>
      <c r="I222" s="89">
        <v>0.4</v>
      </c>
      <c r="J222" s="90" t="s">
        <v>2893</v>
      </c>
      <c r="K222" s="87" t="s">
        <v>1644</v>
      </c>
      <c r="L222" s="87" t="s">
        <v>1897</v>
      </c>
      <c r="M222" s="160"/>
      <c r="N222" s="103"/>
      <c r="O222" s="160"/>
      <c r="P222" s="103"/>
      <c r="Q222" s="103"/>
      <c r="R222" s="103" t="s">
        <v>850</v>
      </c>
      <c r="S222" s="160"/>
      <c r="T222" s="103"/>
      <c r="U222" s="160"/>
      <c r="V222" s="103"/>
      <c r="W222" s="103"/>
      <c r="X222" s="103"/>
    </row>
    <row r="223" spans="1:24" x14ac:dyDescent="0.25">
      <c r="A223" s="87" t="s">
        <v>1578</v>
      </c>
      <c r="B223" s="88" t="s">
        <v>1579</v>
      </c>
      <c r="C223" s="87" t="s">
        <v>808</v>
      </c>
      <c r="D223" s="87" t="s">
        <v>2184</v>
      </c>
      <c r="E223" s="87" t="s">
        <v>2894</v>
      </c>
      <c r="F223" s="87" t="s">
        <v>1894</v>
      </c>
      <c r="G223" s="89">
        <v>1.75</v>
      </c>
      <c r="H223" s="90" t="s">
        <v>2895</v>
      </c>
      <c r="I223" s="89">
        <v>1.75</v>
      </c>
      <c r="J223" s="90" t="s">
        <v>2896</v>
      </c>
      <c r="K223" s="87" t="s">
        <v>1644</v>
      </c>
      <c r="L223" s="87" t="s">
        <v>1897</v>
      </c>
      <c r="M223" s="103"/>
      <c r="N223" s="103"/>
      <c r="O223" s="103"/>
      <c r="P223" s="103"/>
      <c r="Q223" s="103"/>
      <c r="R223" s="103" t="s">
        <v>850</v>
      </c>
      <c r="S223" s="103"/>
      <c r="T223" s="103"/>
      <c r="U223" s="103"/>
      <c r="V223" s="103"/>
      <c r="W223" s="103"/>
      <c r="X223" s="103"/>
    </row>
    <row r="224" spans="1:24" x14ac:dyDescent="0.25">
      <c r="A224" s="87" t="s">
        <v>1582</v>
      </c>
      <c r="B224" s="88" t="s">
        <v>1583</v>
      </c>
      <c r="C224" s="87" t="s">
        <v>808</v>
      </c>
      <c r="D224" s="87" t="s">
        <v>2180</v>
      </c>
      <c r="E224" s="103" t="s">
        <v>850</v>
      </c>
      <c r="F224" s="87" t="s">
        <v>1894</v>
      </c>
      <c r="G224" s="89">
        <v>1.2768999999999999</v>
      </c>
      <c r="H224" s="90" t="s">
        <v>2901</v>
      </c>
      <c r="I224" s="89">
        <v>1.2768999999999999</v>
      </c>
      <c r="J224" s="103" t="s">
        <v>850</v>
      </c>
      <c r="K224" s="87" t="s">
        <v>1643</v>
      </c>
      <c r="L224" s="87" t="s">
        <v>1897</v>
      </c>
      <c r="M224" s="160"/>
      <c r="N224" s="161"/>
      <c r="O224" s="160"/>
      <c r="P224" s="103"/>
      <c r="Q224" s="103"/>
      <c r="R224" s="103"/>
      <c r="S224" s="103"/>
      <c r="T224" s="103"/>
      <c r="U224" s="103"/>
      <c r="V224" s="103"/>
      <c r="W224" s="103"/>
      <c r="X224" s="103"/>
    </row>
    <row r="225" spans="1:24" x14ac:dyDescent="0.25">
      <c r="A225" s="87" t="s">
        <v>1584</v>
      </c>
      <c r="B225" s="88" t="s">
        <v>1585</v>
      </c>
      <c r="C225" s="87" t="s">
        <v>808</v>
      </c>
      <c r="D225" s="87" t="s">
        <v>2309</v>
      </c>
      <c r="E225" s="87" t="s">
        <v>2902</v>
      </c>
      <c r="F225" s="87" t="s">
        <v>1894</v>
      </c>
      <c r="G225" s="89">
        <v>0.7</v>
      </c>
      <c r="H225" s="90" t="s">
        <v>2903</v>
      </c>
      <c r="I225" s="89">
        <v>0.67969999999999997</v>
      </c>
      <c r="J225" s="90" t="s">
        <v>1951</v>
      </c>
      <c r="K225" s="87" t="s">
        <v>1643</v>
      </c>
      <c r="L225" s="87" t="s">
        <v>1897</v>
      </c>
      <c r="M225" s="160"/>
      <c r="N225" s="161"/>
      <c r="O225" s="160"/>
      <c r="P225" s="161"/>
      <c r="Q225" s="103"/>
      <c r="R225" s="103"/>
      <c r="S225" s="103"/>
      <c r="T225" s="103"/>
      <c r="U225" s="103"/>
      <c r="V225" s="103"/>
      <c r="W225" s="103"/>
      <c r="X225" s="103"/>
    </row>
    <row r="226" spans="1:24" x14ac:dyDescent="0.25">
      <c r="A226" s="87" t="s">
        <v>1590</v>
      </c>
      <c r="B226" s="88" t="s">
        <v>1591</v>
      </c>
      <c r="C226" s="87" t="s">
        <v>808</v>
      </c>
      <c r="D226" s="87" t="s">
        <v>2091</v>
      </c>
      <c r="E226" s="87" t="s">
        <v>2910</v>
      </c>
      <c r="F226" s="87" t="s">
        <v>1894</v>
      </c>
      <c r="G226" s="89">
        <v>0.5</v>
      </c>
      <c r="H226" s="90" t="s">
        <v>2911</v>
      </c>
      <c r="I226" s="89">
        <v>0.5</v>
      </c>
      <c r="J226" s="90" t="s">
        <v>2912</v>
      </c>
      <c r="K226" s="87" t="s">
        <v>1644</v>
      </c>
      <c r="L226" s="87" t="s">
        <v>1897</v>
      </c>
      <c r="M226" s="160"/>
      <c r="N226" s="103"/>
      <c r="O226" s="160"/>
      <c r="P226" s="103"/>
      <c r="Q226" s="103"/>
      <c r="R226" s="103" t="s">
        <v>850</v>
      </c>
      <c r="S226" s="160"/>
      <c r="T226" s="103"/>
      <c r="U226" s="103"/>
      <c r="V226" s="103"/>
      <c r="W226" s="103"/>
      <c r="X226" s="103"/>
    </row>
    <row r="227" spans="1:24" x14ac:dyDescent="0.25">
      <c r="A227" s="91" t="s">
        <v>801</v>
      </c>
      <c r="B227" s="92" t="s">
        <v>802</v>
      </c>
      <c r="C227" s="91" t="s">
        <v>803</v>
      </c>
      <c r="D227" s="91" t="s">
        <v>1892</v>
      </c>
      <c r="E227" s="91" t="s">
        <v>1893</v>
      </c>
      <c r="F227" s="91" t="s">
        <v>1894</v>
      </c>
      <c r="G227" s="93">
        <v>2.5</v>
      </c>
      <c r="H227" s="94" t="s">
        <v>1895</v>
      </c>
      <c r="I227" s="93">
        <v>2.5</v>
      </c>
      <c r="J227" s="94" t="s">
        <v>1896</v>
      </c>
      <c r="K227" s="91" t="s">
        <v>1644</v>
      </c>
      <c r="L227" s="91" t="s">
        <v>1897</v>
      </c>
      <c r="M227" s="103" t="s">
        <v>850</v>
      </c>
      <c r="N227" s="103" t="s">
        <v>850</v>
      </c>
      <c r="O227" s="103" t="s">
        <v>850</v>
      </c>
      <c r="P227" s="103" t="s">
        <v>850</v>
      </c>
      <c r="Q227" s="103"/>
      <c r="R227" s="103" t="s">
        <v>850</v>
      </c>
      <c r="S227" s="103"/>
      <c r="T227" s="103"/>
      <c r="U227" s="103"/>
      <c r="V227" s="103"/>
      <c r="W227" s="103"/>
      <c r="X227" s="103"/>
    </row>
    <row r="228" spans="1:24" x14ac:dyDescent="0.25">
      <c r="A228" s="91" t="s">
        <v>818</v>
      </c>
      <c r="B228" s="92" t="s">
        <v>819</v>
      </c>
      <c r="C228" s="91" t="s">
        <v>803</v>
      </c>
      <c r="D228" s="91" t="s">
        <v>1919</v>
      </c>
      <c r="E228" s="91" t="s">
        <v>1920</v>
      </c>
      <c r="F228" s="91" t="s">
        <v>1894</v>
      </c>
      <c r="G228" s="93">
        <v>0.8488</v>
      </c>
      <c r="H228" s="94" t="s">
        <v>1921</v>
      </c>
      <c r="I228" s="93">
        <v>0.8488</v>
      </c>
      <c r="J228" s="94" t="s">
        <v>1922</v>
      </c>
      <c r="K228" s="91" t="s">
        <v>1644</v>
      </c>
      <c r="L228" s="91" t="s">
        <v>1897</v>
      </c>
      <c r="M228" s="93">
        <v>0.94869999999999999</v>
      </c>
      <c r="N228" s="94" t="s">
        <v>1923</v>
      </c>
      <c r="O228" s="93">
        <v>0.94869999999999999</v>
      </c>
      <c r="P228" s="94" t="s">
        <v>1924</v>
      </c>
      <c r="Q228" s="91" t="s">
        <v>1644</v>
      </c>
      <c r="R228" s="91" t="s">
        <v>1889</v>
      </c>
      <c r="S228" s="103"/>
      <c r="T228" s="103"/>
      <c r="U228" s="103"/>
      <c r="V228" s="103"/>
      <c r="W228" s="103"/>
      <c r="X228" s="103"/>
    </row>
    <row r="229" spans="1:24" x14ac:dyDescent="0.25">
      <c r="A229" s="91" t="s">
        <v>846</v>
      </c>
      <c r="B229" s="92" t="s">
        <v>847</v>
      </c>
      <c r="C229" s="91" t="s">
        <v>803</v>
      </c>
      <c r="D229" s="91" t="s">
        <v>1885</v>
      </c>
      <c r="E229" s="91" t="s">
        <v>1962</v>
      </c>
      <c r="F229" s="91" t="s">
        <v>88</v>
      </c>
      <c r="G229" s="93">
        <v>1</v>
      </c>
      <c r="H229" s="94" t="s">
        <v>1963</v>
      </c>
      <c r="I229" s="93">
        <v>0.70409999999999995</v>
      </c>
      <c r="J229" s="103" t="s">
        <v>850</v>
      </c>
      <c r="K229" s="91" t="s">
        <v>1643</v>
      </c>
      <c r="L229" s="91" t="s">
        <v>1897</v>
      </c>
      <c r="M229" s="103" t="s">
        <v>850</v>
      </c>
      <c r="N229" s="103" t="s">
        <v>850</v>
      </c>
      <c r="O229" s="103" t="s">
        <v>850</v>
      </c>
      <c r="P229" s="103" t="s">
        <v>850</v>
      </c>
      <c r="Q229" s="91" t="s">
        <v>1644</v>
      </c>
      <c r="R229" s="103" t="s">
        <v>850</v>
      </c>
      <c r="S229" s="103"/>
      <c r="T229" s="103"/>
      <c r="U229" s="103"/>
      <c r="V229" s="103"/>
      <c r="W229" s="103"/>
      <c r="X229" s="103"/>
    </row>
    <row r="230" spans="1:24" x14ac:dyDescent="0.25">
      <c r="A230" s="91" t="s">
        <v>851</v>
      </c>
      <c r="B230" s="92" t="s">
        <v>852</v>
      </c>
      <c r="C230" s="91" t="s">
        <v>803</v>
      </c>
      <c r="D230" s="91" t="s">
        <v>1925</v>
      </c>
      <c r="E230" s="91" t="s">
        <v>1968</v>
      </c>
      <c r="F230" s="91" t="s">
        <v>1894</v>
      </c>
      <c r="G230" s="93">
        <v>1.6</v>
      </c>
      <c r="H230" s="94" t="s">
        <v>1969</v>
      </c>
      <c r="I230" s="93">
        <v>1.5362</v>
      </c>
      <c r="J230" s="103" t="s">
        <v>850</v>
      </c>
      <c r="K230" s="91" t="s">
        <v>1643</v>
      </c>
      <c r="L230" s="91" t="s">
        <v>1897</v>
      </c>
      <c r="M230" s="103" t="s">
        <v>850</v>
      </c>
      <c r="N230" s="103" t="s">
        <v>850</v>
      </c>
      <c r="O230" s="103" t="s">
        <v>850</v>
      </c>
      <c r="P230" s="103" t="s">
        <v>850</v>
      </c>
      <c r="Q230" s="91" t="s">
        <v>1644</v>
      </c>
      <c r="R230" s="103" t="s">
        <v>850</v>
      </c>
      <c r="S230" s="103"/>
      <c r="T230" s="103"/>
      <c r="U230" s="103"/>
      <c r="V230" s="103"/>
      <c r="W230" s="103"/>
      <c r="X230" s="103"/>
    </row>
    <row r="231" spans="1:24" x14ac:dyDescent="0.25">
      <c r="A231" s="91" t="s">
        <v>871</v>
      </c>
      <c r="B231" s="92" t="s">
        <v>872</v>
      </c>
      <c r="C231" s="91" t="s">
        <v>803</v>
      </c>
      <c r="D231" s="91" t="s">
        <v>2001</v>
      </c>
      <c r="E231" s="91" t="s">
        <v>2002</v>
      </c>
      <c r="F231" s="91" t="s">
        <v>88</v>
      </c>
      <c r="G231" s="93">
        <v>2</v>
      </c>
      <c r="H231" s="94" t="s">
        <v>2003</v>
      </c>
      <c r="I231" s="93">
        <v>2</v>
      </c>
      <c r="J231" s="94" t="s">
        <v>2004</v>
      </c>
      <c r="K231" s="91" t="s">
        <v>1644</v>
      </c>
      <c r="L231" s="91" t="s">
        <v>1897</v>
      </c>
      <c r="M231" s="93">
        <v>1</v>
      </c>
      <c r="N231" s="94" t="s">
        <v>2005</v>
      </c>
      <c r="O231" s="93">
        <v>0</v>
      </c>
      <c r="P231" s="103" t="s">
        <v>850</v>
      </c>
      <c r="Q231" s="91" t="s">
        <v>1643</v>
      </c>
      <c r="R231" s="91" t="s">
        <v>1897</v>
      </c>
      <c r="S231" s="160"/>
      <c r="T231" s="103"/>
      <c r="U231" s="160"/>
      <c r="V231" s="103"/>
      <c r="W231" s="103"/>
      <c r="X231" s="103"/>
    </row>
    <row r="232" spans="1:24" x14ac:dyDescent="0.25">
      <c r="A232" s="91" t="s">
        <v>877</v>
      </c>
      <c r="B232" s="92" t="s">
        <v>878</v>
      </c>
      <c r="C232" s="91" t="s">
        <v>803</v>
      </c>
      <c r="D232" s="91" t="s">
        <v>1885</v>
      </c>
      <c r="E232" s="91" t="s">
        <v>2014</v>
      </c>
      <c r="F232" s="91" t="s">
        <v>88</v>
      </c>
      <c r="G232" s="160"/>
      <c r="H232" s="103"/>
      <c r="I232" s="160"/>
      <c r="J232" s="103"/>
      <c r="K232" s="103"/>
      <c r="L232" s="103"/>
      <c r="M232" s="160"/>
      <c r="N232" s="103"/>
      <c r="O232" s="160"/>
      <c r="P232" s="103"/>
      <c r="Q232" s="103"/>
      <c r="R232" s="103"/>
      <c r="S232" s="160"/>
      <c r="T232" s="103"/>
      <c r="U232" s="160"/>
      <c r="V232" s="103"/>
      <c r="W232" s="103"/>
      <c r="X232" s="103"/>
    </row>
    <row r="233" spans="1:24" x14ac:dyDescent="0.25">
      <c r="A233" s="91" t="s">
        <v>887</v>
      </c>
      <c r="B233" s="92" t="s">
        <v>888</v>
      </c>
      <c r="C233" s="91" t="s">
        <v>803</v>
      </c>
      <c r="D233" s="91" t="s">
        <v>1976</v>
      </c>
      <c r="E233" s="103" t="s">
        <v>850</v>
      </c>
      <c r="F233" s="91" t="s">
        <v>88</v>
      </c>
      <c r="G233" s="160"/>
      <c r="H233" s="161"/>
      <c r="I233" s="160"/>
      <c r="J233" s="161"/>
      <c r="K233" s="103"/>
      <c r="L233" s="103"/>
      <c r="M233" s="160"/>
      <c r="N233" s="161"/>
      <c r="O233" s="160"/>
      <c r="P233" s="161"/>
      <c r="Q233" s="103"/>
      <c r="R233" s="103"/>
      <c r="S233" s="160"/>
      <c r="T233" s="161"/>
      <c r="U233" s="160"/>
      <c r="V233" s="161"/>
      <c r="W233" s="103"/>
      <c r="X233" s="103"/>
    </row>
    <row r="234" spans="1:24" x14ac:dyDescent="0.25">
      <c r="A234" s="91" t="s">
        <v>899</v>
      </c>
      <c r="B234" s="92" t="s">
        <v>900</v>
      </c>
      <c r="C234" s="91" t="s">
        <v>803</v>
      </c>
      <c r="D234" s="91" t="s">
        <v>1885</v>
      </c>
      <c r="E234" s="91" t="s">
        <v>2039</v>
      </c>
      <c r="F234" s="91" t="s">
        <v>1864</v>
      </c>
      <c r="G234" s="93">
        <v>1</v>
      </c>
      <c r="H234" s="94" t="s">
        <v>2040</v>
      </c>
      <c r="I234" s="93">
        <v>0.70779999999999998</v>
      </c>
      <c r="J234" s="103" t="s">
        <v>850</v>
      </c>
      <c r="K234" s="91" t="s">
        <v>1643</v>
      </c>
      <c r="L234" s="91" t="s">
        <v>1897</v>
      </c>
      <c r="M234" s="93">
        <v>1</v>
      </c>
      <c r="N234" s="94" t="s">
        <v>2041</v>
      </c>
      <c r="O234" s="93">
        <v>0.15040000000000001</v>
      </c>
      <c r="P234" s="103" t="s">
        <v>850</v>
      </c>
      <c r="Q234" s="91" t="s">
        <v>1643</v>
      </c>
      <c r="R234" s="91" t="s">
        <v>1897</v>
      </c>
      <c r="S234" s="93">
        <v>1</v>
      </c>
      <c r="T234" s="94" t="s">
        <v>2042</v>
      </c>
      <c r="U234" s="93">
        <v>0.88719999999999999</v>
      </c>
      <c r="V234" s="103" t="s">
        <v>850</v>
      </c>
      <c r="W234" s="91" t="s">
        <v>1643</v>
      </c>
      <c r="X234" s="91" t="s">
        <v>1897</v>
      </c>
    </row>
    <row r="235" spans="1:24" x14ac:dyDescent="0.25">
      <c r="A235" s="91" t="s">
        <v>901</v>
      </c>
      <c r="B235" s="92" t="s">
        <v>902</v>
      </c>
      <c r="C235" s="91" t="s">
        <v>803</v>
      </c>
      <c r="D235" s="91" t="s">
        <v>2043</v>
      </c>
      <c r="E235" s="91" t="s">
        <v>2044</v>
      </c>
      <c r="F235" s="91" t="s">
        <v>1864</v>
      </c>
      <c r="G235" s="93">
        <v>1.5</v>
      </c>
      <c r="H235" s="94" t="s">
        <v>2045</v>
      </c>
      <c r="I235" s="93">
        <v>1.5</v>
      </c>
      <c r="J235" s="94" t="s">
        <v>2046</v>
      </c>
      <c r="K235" s="91" t="s">
        <v>1644</v>
      </c>
      <c r="L235" s="91" t="s">
        <v>1897</v>
      </c>
      <c r="M235" s="103"/>
      <c r="N235" s="103"/>
      <c r="O235" s="103"/>
      <c r="P235" s="103"/>
      <c r="Q235" s="103"/>
      <c r="R235" s="103"/>
      <c r="S235" s="103" t="s">
        <v>850</v>
      </c>
      <c r="T235" s="103" t="s">
        <v>850</v>
      </c>
      <c r="U235" s="103" t="s">
        <v>850</v>
      </c>
      <c r="V235" s="103" t="s">
        <v>850</v>
      </c>
      <c r="W235" s="103"/>
      <c r="X235" s="103" t="s">
        <v>850</v>
      </c>
    </row>
    <row r="236" spans="1:24" x14ac:dyDescent="0.25">
      <c r="A236" s="91" t="s">
        <v>905</v>
      </c>
      <c r="B236" s="92" t="s">
        <v>906</v>
      </c>
      <c r="C236" s="91" t="s">
        <v>803</v>
      </c>
      <c r="D236" s="91" t="s">
        <v>1980</v>
      </c>
      <c r="E236" s="91" t="s">
        <v>2049</v>
      </c>
      <c r="F236" s="91" t="s">
        <v>1894</v>
      </c>
      <c r="G236" s="93">
        <v>0.75</v>
      </c>
      <c r="H236" s="94" t="s">
        <v>2050</v>
      </c>
      <c r="I236" s="93">
        <v>0.75</v>
      </c>
      <c r="J236" s="94" t="s">
        <v>2051</v>
      </c>
      <c r="K236" s="91" t="s">
        <v>1644</v>
      </c>
      <c r="L236" s="91" t="s">
        <v>1897</v>
      </c>
      <c r="M236" s="103"/>
      <c r="N236" s="103"/>
      <c r="O236" s="103"/>
      <c r="P236" s="103"/>
      <c r="Q236" s="103"/>
      <c r="R236" s="103"/>
      <c r="S236" s="103" t="s">
        <v>850</v>
      </c>
      <c r="T236" s="103" t="s">
        <v>850</v>
      </c>
      <c r="U236" s="103" t="s">
        <v>850</v>
      </c>
      <c r="V236" s="103" t="s">
        <v>850</v>
      </c>
      <c r="W236" s="103"/>
      <c r="X236" s="103" t="s">
        <v>850</v>
      </c>
    </row>
    <row r="237" spans="1:24" x14ac:dyDescent="0.25">
      <c r="A237" s="91" t="s">
        <v>941</v>
      </c>
      <c r="B237" s="92" t="s">
        <v>942</v>
      </c>
      <c r="C237" s="91" t="s">
        <v>803</v>
      </c>
      <c r="D237" s="91" t="s">
        <v>1919</v>
      </c>
      <c r="E237" s="91" t="s">
        <v>2105</v>
      </c>
      <c r="F237" s="91" t="s">
        <v>1894</v>
      </c>
      <c r="G237" s="93">
        <v>1</v>
      </c>
      <c r="H237" s="94" t="s">
        <v>2106</v>
      </c>
      <c r="I237" s="93">
        <v>0.91590000000000005</v>
      </c>
      <c r="J237" s="94" t="s">
        <v>2106</v>
      </c>
      <c r="K237" s="91" t="s">
        <v>1643</v>
      </c>
      <c r="L237" s="91" t="s">
        <v>1897</v>
      </c>
      <c r="M237" s="93">
        <v>0.6</v>
      </c>
      <c r="N237" s="94" t="s">
        <v>2037</v>
      </c>
      <c r="O237" s="93">
        <v>0.59889999999999999</v>
      </c>
      <c r="P237" s="94" t="s">
        <v>2107</v>
      </c>
      <c r="Q237" s="91" t="s">
        <v>1644</v>
      </c>
      <c r="R237" s="91" t="s">
        <v>1897</v>
      </c>
      <c r="S237" s="93">
        <v>0.85</v>
      </c>
      <c r="T237" s="94" t="s">
        <v>2108</v>
      </c>
      <c r="U237" s="93">
        <v>0.85</v>
      </c>
      <c r="V237" s="94" t="s">
        <v>2109</v>
      </c>
      <c r="W237" s="91" t="s">
        <v>1644</v>
      </c>
      <c r="X237" s="91" t="s">
        <v>1998</v>
      </c>
    </row>
    <row r="238" spans="1:24" x14ac:dyDescent="0.25">
      <c r="A238" s="91" t="s">
        <v>945</v>
      </c>
      <c r="B238" s="92" t="s">
        <v>946</v>
      </c>
      <c r="C238" s="91" t="s">
        <v>803</v>
      </c>
      <c r="D238" s="91" t="s">
        <v>1999</v>
      </c>
      <c r="E238" s="91" t="s">
        <v>2115</v>
      </c>
      <c r="F238" s="91" t="s">
        <v>1894</v>
      </c>
      <c r="G238" s="93">
        <v>1.4</v>
      </c>
      <c r="H238" s="94" t="s">
        <v>2116</v>
      </c>
      <c r="I238" s="93">
        <v>1.4</v>
      </c>
      <c r="J238" s="94" t="s">
        <v>2117</v>
      </c>
      <c r="K238" s="91" t="s">
        <v>1644</v>
      </c>
      <c r="L238" s="91" t="s">
        <v>1897</v>
      </c>
      <c r="M238" s="103" t="s">
        <v>850</v>
      </c>
      <c r="N238" s="103" t="s">
        <v>850</v>
      </c>
      <c r="O238" s="103" t="s">
        <v>850</v>
      </c>
      <c r="P238" s="103" t="s">
        <v>850</v>
      </c>
      <c r="Q238" s="103" t="s">
        <v>850</v>
      </c>
      <c r="R238" s="103" t="s">
        <v>850</v>
      </c>
      <c r="S238" s="103" t="s">
        <v>850</v>
      </c>
      <c r="T238" s="103" t="s">
        <v>850</v>
      </c>
      <c r="U238" s="103" t="s">
        <v>850</v>
      </c>
      <c r="V238" s="103" t="s">
        <v>850</v>
      </c>
      <c r="W238" s="103" t="s">
        <v>850</v>
      </c>
      <c r="X238" s="103" t="s">
        <v>850</v>
      </c>
    </row>
    <row r="239" spans="1:24" x14ac:dyDescent="0.25">
      <c r="A239" s="91" t="s">
        <v>949</v>
      </c>
      <c r="B239" s="92" t="s">
        <v>950</v>
      </c>
      <c r="C239" s="91" t="s">
        <v>803</v>
      </c>
      <c r="D239" s="91" t="s">
        <v>2120</v>
      </c>
      <c r="E239" s="91" t="s">
        <v>2121</v>
      </c>
      <c r="F239" s="91" t="s">
        <v>1894</v>
      </c>
      <c r="G239" s="93">
        <v>0.75</v>
      </c>
      <c r="H239" s="94" t="s">
        <v>2122</v>
      </c>
      <c r="I239" s="93">
        <v>0.64400000000000002</v>
      </c>
      <c r="J239" s="103" t="s">
        <v>850</v>
      </c>
      <c r="K239" s="91" t="s">
        <v>1643</v>
      </c>
      <c r="L239" s="91" t="s">
        <v>1897</v>
      </c>
      <c r="M239" s="103" t="s">
        <v>850</v>
      </c>
      <c r="N239" s="94" t="s">
        <v>2123</v>
      </c>
      <c r="O239" s="93">
        <v>0.439</v>
      </c>
      <c r="P239" s="94" t="s">
        <v>2124</v>
      </c>
      <c r="Q239" s="91" t="s">
        <v>1644</v>
      </c>
      <c r="R239" s="91" t="s">
        <v>1998</v>
      </c>
      <c r="S239" s="93">
        <v>0.10249999999999999</v>
      </c>
      <c r="T239" s="94" t="s">
        <v>2125</v>
      </c>
      <c r="U239" s="93">
        <v>0.1019</v>
      </c>
      <c r="V239" s="103" t="s">
        <v>850</v>
      </c>
      <c r="W239" s="91" t="s">
        <v>1643</v>
      </c>
      <c r="X239" s="91" t="s">
        <v>1897</v>
      </c>
    </row>
    <row r="240" spans="1:24" x14ac:dyDescent="0.25">
      <c r="A240" s="91" t="s">
        <v>951</v>
      </c>
      <c r="B240" s="92" t="s">
        <v>952</v>
      </c>
      <c r="C240" s="91" t="s">
        <v>803</v>
      </c>
      <c r="D240" s="91" t="s">
        <v>1948</v>
      </c>
      <c r="E240" s="103" t="s">
        <v>850</v>
      </c>
      <c r="F240" s="91" t="s">
        <v>1894</v>
      </c>
      <c r="G240" s="93">
        <v>1.75</v>
      </c>
      <c r="H240" s="94" t="s">
        <v>2126</v>
      </c>
      <c r="I240" s="93">
        <v>1.6168</v>
      </c>
      <c r="J240" s="94" t="s">
        <v>1986</v>
      </c>
      <c r="K240" s="91" t="s">
        <v>1644</v>
      </c>
      <c r="L240" s="91" t="s">
        <v>1897</v>
      </c>
      <c r="M240" s="93">
        <v>0.7</v>
      </c>
      <c r="N240" s="94" t="s">
        <v>2127</v>
      </c>
      <c r="O240" s="93">
        <v>0.7</v>
      </c>
      <c r="P240" s="94" t="s">
        <v>2128</v>
      </c>
      <c r="Q240" s="91" t="s">
        <v>1644</v>
      </c>
      <c r="R240" s="91" t="s">
        <v>1998</v>
      </c>
      <c r="S240" s="93">
        <v>0.32</v>
      </c>
      <c r="T240" s="94" t="s">
        <v>2129</v>
      </c>
      <c r="U240" s="93">
        <v>0.317</v>
      </c>
      <c r="V240" s="94" t="s">
        <v>1986</v>
      </c>
      <c r="W240" s="91" t="s">
        <v>1644</v>
      </c>
      <c r="X240" s="91" t="s">
        <v>1897</v>
      </c>
    </row>
    <row r="241" spans="1:24" x14ac:dyDescent="0.25">
      <c r="A241" s="91" t="s">
        <v>965</v>
      </c>
      <c r="B241" s="92" t="s">
        <v>966</v>
      </c>
      <c r="C241" s="91" t="s">
        <v>803</v>
      </c>
      <c r="D241" s="91" t="s">
        <v>2001</v>
      </c>
      <c r="E241" s="91" t="s">
        <v>2142</v>
      </c>
      <c r="F241" s="91" t="s">
        <v>1894</v>
      </c>
      <c r="G241" s="93">
        <v>1.45</v>
      </c>
      <c r="H241" s="94" t="s">
        <v>2143</v>
      </c>
      <c r="I241" s="93">
        <v>0.92</v>
      </c>
      <c r="J241" s="94" t="s">
        <v>2144</v>
      </c>
      <c r="K241" s="91" t="s">
        <v>1644</v>
      </c>
      <c r="L241" s="91" t="s">
        <v>1998</v>
      </c>
      <c r="M241" s="93">
        <v>1</v>
      </c>
      <c r="N241" s="94" t="s">
        <v>2143</v>
      </c>
      <c r="O241" s="93">
        <v>0.89659999999999995</v>
      </c>
      <c r="P241" s="94" t="s">
        <v>2144</v>
      </c>
      <c r="Q241" s="91" t="s">
        <v>1644</v>
      </c>
      <c r="R241" s="91" t="s">
        <v>1897</v>
      </c>
      <c r="S241" s="103"/>
      <c r="T241" s="103"/>
      <c r="U241" s="103"/>
      <c r="V241" s="103"/>
      <c r="W241" s="103"/>
      <c r="X241" s="103"/>
    </row>
    <row r="242" spans="1:24" x14ac:dyDescent="0.25">
      <c r="A242" s="91" t="s">
        <v>975</v>
      </c>
      <c r="B242" s="92" t="s">
        <v>976</v>
      </c>
      <c r="C242" s="91" t="s">
        <v>803</v>
      </c>
      <c r="D242" s="91" t="s">
        <v>1964</v>
      </c>
      <c r="E242" s="91" t="s">
        <v>2161</v>
      </c>
      <c r="F242" s="91" t="s">
        <v>1864</v>
      </c>
      <c r="G242" s="93">
        <v>1.4854000000000001</v>
      </c>
      <c r="H242" s="94" t="s">
        <v>2162</v>
      </c>
      <c r="I242" s="93">
        <v>1.4854000000000001</v>
      </c>
      <c r="J242" s="103" t="s">
        <v>850</v>
      </c>
      <c r="K242" s="91" t="s">
        <v>1643</v>
      </c>
      <c r="L242" s="103" t="s">
        <v>850</v>
      </c>
      <c r="M242" s="160"/>
      <c r="N242" s="103"/>
      <c r="O242" s="160"/>
      <c r="P242" s="103"/>
      <c r="Q242" s="103"/>
      <c r="R242" s="103"/>
      <c r="S242" s="160"/>
      <c r="T242" s="103"/>
      <c r="U242" s="103"/>
      <c r="V242" s="103"/>
      <c r="W242" s="103"/>
      <c r="X242" s="103"/>
    </row>
    <row r="243" spans="1:24" x14ac:dyDescent="0.25">
      <c r="A243" s="91" t="s">
        <v>981</v>
      </c>
      <c r="B243" s="92" t="s">
        <v>982</v>
      </c>
      <c r="C243" s="91" t="s">
        <v>803</v>
      </c>
      <c r="D243" s="91" t="s">
        <v>2172</v>
      </c>
      <c r="E243" s="91" t="s">
        <v>2173</v>
      </c>
      <c r="F243" s="91" t="s">
        <v>92</v>
      </c>
      <c r="G243" s="93">
        <v>0.48380000000000001</v>
      </c>
      <c r="H243" s="94" t="s">
        <v>2174</v>
      </c>
      <c r="I243" s="93">
        <v>0.48380000000000001</v>
      </c>
      <c r="J243" s="94" t="s">
        <v>2175</v>
      </c>
      <c r="K243" s="91" t="s">
        <v>1644</v>
      </c>
      <c r="L243" s="91" t="s">
        <v>1998</v>
      </c>
      <c r="M243" s="93">
        <v>0.44579999999999997</v>
      </c>
      <c r="N243" s="94" t="s">
        <v>2176</v>
      </c>
      <c r="O243" s="93">
        <v>0.44579999999999997</v>
      </c>
      <c r="P243" s="94" t="s">
        <v>2177</v>
      </c>
      <c r="Q243" s="91" t="s">
        <v>1644</v>
      </c>
      <c r="R243" s="91" t="s">
        <v>1897</v>
      </c>
      <c r="S243" s="160"/>
      <c r="T243" s="103"/>
      <c r="U243" s="160"/>
      <c r="V243" s="103"/>
      <c r="W243" s="103"/>
      <c r="X243" s="103"/>
    </row>
    <row r="244" spans="1:24" x14ac:dyDescent="0.25">
      <c r="A244" s="91" t="s">
        <v>1007</v>
      </c>
      <c r="B244" s="92" t="s">
        <v>1008</v>
      </c>
      <c r="C244" s="91" t="s">
        <v>803</v>
      </c>
      <c r="D244" s="91" t="s">
        <v>1980</v>
      </c>
      <c r="E244" s="91" t="s">
        <v>2212</v>
      </c>
      <c r="F244" s="91" t="s">
        <v>1894</v>
      </c>
      <c r="G244" s="93">
        <v>0.99980000000000002</v>
      </c>
      <c r="H244" s="94" t="s">
        <v>2213</v>
      </c>
      <c r="I244" s="93">
        <v>0.99139999999999995</v>
      </c>
      <c r="J244" s="94" t="s">
        <v>2214</v>
      </c>
      <c r="K244" s="91" t="s">
        <v>1644</v>
      </c>
      <c r="L244" s="91" t="s">
        <v>1897</v>
      </c>
      <c r="M244" s="160"/>
      <c r="N244" s="103"/>
      <c r="O244" s="160"/>
      <c r="P244" s="103"/>
      <c r="Q244" s="103"/>
      <c r="R244" s="103"/>
      <c r="S244" s="103"/>
      <c r="T244" s="103"/>
      <c r="U244" s="160"/>
      <c r="V244" s="103"/>
      <c r="W244" s="103"/>
      <c r="X244" s="103"/>
    </row>
    <row r="245" spans="1:24" x14ac:dyDescent="0.25">
      <c r="A245" s="91" t="s">
        <v>1009</v>
      </c>
      <c r="B245" s="92" t="s">
        <v>1010</v>
      </c>
      <c r="C245" s="91" t="s">
        <v>803</v>
      </c>
      <c r="D245" s="91" t="s">
        <v>1948</v>
      </c>
      <c r="E245" s="91" t="s">
        <v>2215</v>
      </c>
      <c r="F245" s="91" t="s">
        <v>1894</v>
      </c>
      <c r="G245" s="93">
        <v>0.5</v>
      </c>
      <c r="H245" s="94" t="s">
        <v>2216</v>
      </c>
      <c r="I245" s="93">
        <v>0.4264</v>
      </c>
      <c r="J245" s="94" t="s">
        <v>1951</v>
      </c>
      <c r="K245" s="91" t="s">
        <v>1643</v>
      </c>
      <c r="L245" s="91" t="s">
        <v>1897</v>
      </c>
      <c r="M245" s="93">
        <v>0.7</v>
      </c>
      <c r="N245" s="94" t="s">
        <v>2217</v>
      </c>
      <c r="O245" s="93">
        <v>0.67730000000000001</v>
      </c>
      <c r="P245" s="94" t="s">
        <v>2218</v>
      </c>
      <c r="Q245" s="91" t="s">
        <v>1644</v>
      </c>
      <c r="R245" s="91" t="s">
        <v>1897</v>
      </c>
      <c r="S245" s="93">
        <v>0</v>
      </c>
      <c r="T245" s="94" t="s">
        <v>2219</v>
      </c>
      <c r="U245" s="93">
        <v>0.41</v>
      </c>
      <c r="V245" s="94" t="s">
        <v>2220</v>
      </c>
      <c r="W245" s="91" t="s">
        <v>1644</v>
      </c>
      <c r="X245" s="91" t="s">
        <v>1998</v>
      </c>
    </row>
    <row r="246" spans="1:24" x14ac:dyDescent="0.25">
      <c r="A246" s="91" t="s">
        <v>1017</v>
      </c>
      <c r="B246" s="92" t="s">
        <v>1018</v>
      </c>
      <c r="C246" s="91" t="s">
        <v>803</v>
      </c>
      <c r="D246" s="91" t="s">
        <v>2095</v>
      </c>
      <c r="E246" s="91" t="s">
        <v>2227</v>
      </c>
      <c r="F246" s="91" t="s">
        <v>1894</v>
      </c>
      <c r="G246" s="93">
        <v>0.75</v>
      </c>
      <c r="H246" s="94" t="s">
        <v>2228</v>
      </c>
      <c r="I246" s="93">
        <v>0.70689999999999997</v>
      </c>
      <c r="J246" s="103" t="s">
        <v>850</v>
      </c>
      <c r="K246" s="91" t="s">
        <v>1643</v>
      </c>
      <c r="L246" s="91" t="s">
        <v>1897</v>
      </c>
      <c r="M246" s="93">
        <v>1</v>
      </c>
      <c r="N246" s="94" t="s">
        <v>2229</v>
      </c>
      <c r="O246" s="93">
        <v>1</v>
      </c>
      <c r="P246" s="94" t="s">
        <v>2230</v>
      </c>
      <c r="Q246" s="91" t="s">
        <v>1644</v>
      </c>
      <c r="R246" s="91" t="s">
        <v>1889</v>
      </c>
      <c r="S246" s="160"/>
      <c r="T246" s="103"/>
      <c r="U246" s="160"/>
      <c r="V246" s="103"/>
      <c r="W246" s="103"/>
      <c r="X246" s="103"/>
    </row>
    <row r="247" spans="1:24" x14ac:dyDescent="0.25">
      <c r="A247" s="91" t="s">
        <v>1027</v>
      </c>
      <c r="B247" s="92" t="s">
        <v>1028</v>
      </c>
      <c r="C247" s="91" t="s">
        <v>803</v>
      </c>
      <c r="D247" s="91" t="s">
        <v>1999</v>
      </c>
      <c r="E247" s="91" t="s">
        <v>2246</v>
      </c>
      <c r="F247" s="91" t="s">
        <v>1894</v>
      </c>
      <c r="G247" s="93">
        <v>1</v>
      </c>
      <c r="H247" s="94" t="s">
        <v>2247</v>
      </c>
      <c r="I247" s="93">
        <v>1</v>
      </c>
      <c r="J247" s="94" t="s">
        <v>2248</v>
      </c>
      <c r="K247" s="91" t="s">
        <v>1644</v>
      </c>
      <c r="L247" s="91" t="s">
        <v>1897</v>
      </c>
      <c r="M247" s="160"/>
      <c r="N247" s="161"/>
      <c r="O247" s="160"/>
      <c r="P247" s="161"/>
      <c r="Q247" s="103"/>
      <c r="R247" s="103"/>
      <c r="S247" s="160"/>
      <c r="T247" s="161"/>
      <c r="U247" s="160"/>
      <c r="V247" s="161"/>
      <c r="W247" s="103"/>
      <c r="X247" s="103"/>
    </row>
    <row r="248" spans="1:24" x14ac:dyDescent="0.25">
      <c r="A248" s="91" t="s">
        <v>1043</v>
      </c>
      <c r="B248" s="92" t="s">
        <v>1044</v>
      </c>
      <c r="C248" s="91" t="s">
        <v>803</v>
      </c>
      <c r="D248" s="91" t="s">
        <v>2203</v>
      </c>
      <c r="E248" s="91" t="s">
        <v>2258</v>
      </c>
      <c r="F248" s="91" t="s">
        <v>88</v>
      </c>
      <c r="G248" s="160"/>
      <c r="H248" s="103"/>
      <c r="I248" s="160"/>
      <c r="J248" s="103"/>
      <c r="K248" s="103"/>
      <c r="L248" s="103"/>
      <c r="M248" s="160"/>
      <c r="N248" s="103"/>
      <c r="O248" s="160"/>
      <c r="P248" s="103"/>
      <c r="Q248" s="103"/>
      <c r="R248" s="103"/>
      <c r="S248" s="160"/>
      <c r="T248" s="103"/>
      <c r="U248" s="160"/>
      <c r="V248" s="103"/>
      <c r="W248" s="103"/>
      <c r="X248" s="103"/>
    </row>
    <row r="249" spans="1:24" x14ac:dyDescent="0.25">
      <c r="A249" s="91" t="s">
        <v>1053</v>
      </c>
      <c r="B249" s="92" t="s">
        <v>1054</v>
      </c>
      <c r="C249" s="91" t="s">
        <v>803</v>
      </c>
      <c r="D249" s="91" t="s">
        <v>1919</v>
      </c>
      <c r="E249" s="91" t="s">
        <v>2272</v>
      </c>
      <c r="F249" s="91" t="s">
        <v>1894</v>
      </c>
      <c r="G249" s="93">
        <v>0.6</v>
      </c>
      <c r="H249" s="94" t="s">
        <v>2273</v>
      </c>
      <c r="I249" s="93">
        <v>0.6</v>
      </c>
      <c r="J249" s="94" t="s">
        <v>2274</v>
      </c>
      <c r="K249" s="91" t="s">
        <v>1644</v>
      </c>
      <c r="L249" s="91" t="s">
        <v>1897</v>
      </c>
      <c r="M249" s="103"/>
      <c r="N249" s="103"/>
      <c r="O249" s="103"/>
      <c r="P249" s="103"/>
      <c r="Q249" s="103"/>
      <c r="R249" s="103"/>
      <c r="S249" s="103"/>
      <c r="T249" s="103"/>
      <c r="U249" s="103"/>
      <c r="V249" s="103"/>
      <c r="W249" s="103"/>
      <c r="X249" s="103"/>
    </row>
    <row r="250" spans="1:24" x14ac:dyDescent="0.25">
      <c r="A250" s="91" t="s">
        <v>1055</v>
      </c>
      <c r="B250" s="92" t="s">
        <v>1056</v>
      </c>
      <c r="C250" s="91" t="s">
        <v>803</v>
      </c>
      <c r="D250" s="91" t="s">
        <v>1885</v>
      </c>
      <c r="E250" s="91" t="s">
        <v>2275</v>
      </c>
      <c r="F250" s="91" t="s">
        <v>1894</v>
      </c>
      <c r="G250" s="93">
        <v>3.5</v>
      </c>
      <c r="H250" s="94" t="s">
        <v>1946</v>
      </c>
      <c r="I250" s="93">
        <v>3.2</v>
      </c>
      <c r="J250" s="94" t="s">
        <v>2276</v>
      </c>
      <c r="K250" s="91" t="s">
        <v>1644</v>
      </c>
      <c r="L250" s="91" t="s">
        <v>1897</v>
      </c>
      <c r="M250" s="103" t="s">
        <v>850</v>
      </c>
      <c r="N250" s="103" t="s">
        <v>850</v>
      </c>
      <c r="O250" s="103" t="s">
        <v>850</v>
      </c>
      <c r="P250" s="103" t="s">
        <v>850</v>
      </c>
      <c r="Q250" s="103" t="s">
        <v>850</v>
      </c>
      <c r="R250" s="103" t="s">
        <v>850</v>
      </c>
      <c r="S250" s="103"/>
      <c r="T250" s="103"/>
      <c r="U250" s="103"/>
      <c r="V250" s="103"/>
      <c r="W250" s="103"/>
      <c r="X250" s="103"/>
    </row>
    <row r="251" spans="1:24" x14ac:dyDescent="0.25">
      <c r="A251" s="91" t="s">
        <v>1059</v>
      </c>
      <c r="B251" s="92" t="s">
        <v>1060</v>
      </c>
      <c r="C251" s="91" t="s">
        <v>803</v>
      </c>
      <c r="D251" s="91" t="s">
        <v>2091</v>
      </c>
      <c r="E251" s="103" t="s">
        <v>850</v>
      </c>
      <c r="F251" s="91" t="s">
        <v>1894</v>
      </c>
      <c r="G251" s="93">
        <v>0.75</v>
      </c>
      <c r="H251" s="94" t="s">
        <v>2279</v>
      </c>
      <c r="I251" s="93">
        <v>0.72540000000000004</v>
      </c>
      <c r="J251" s="94" t="s">
        <v>2280</v>
      </c>
      <c r="K251" s="91" t="s">
        <v>1643</v>
      </c>
      <c r="L251" s="91" t="s">
        <v>1897</v>
      </c>
      <c r="M251" s="93">
        <v>0.5</v>
      </c>
      <c r="N251" s="94" t="s">
        <v>2281</v>
      </c>
      <c r="O251" s="93">
        <v>0.5</v>
      </c>
      <c r="P251" s="94" t="s">
        <v>2046</v>
      </c>
      <c r="Q251" s="91" t="s">
        <v>1644</v>
      </c>
      <c r="R251" s="91" t="s">
        <v>1897</v>
      </c>
      <c r="S251" s="103"/>
      <c r="T251" s="103"/>
      <c r="U251" s="103"/>
      <c r="V251" s="103"/>
      <c r="W251" s="103"/>
      <c r="X251" s="103"/>
    </row>
    <row r="252" spans="1:24" x14ac:dyDescent="0.25">
      <c r="A252" s="91" t="s">
        <v>1061</v>
      </c>
      <c r="B252" s="92" t="s">
        <v>1062</v>
      </c>
      <c r="C252" s="91" t="s">
        <v>803</v>
      </c>
      <c r="D252" s="91" t="s">
        <v>1925</v>
      </c>
      <c r="E252" s="91" t="s">
        <v>2282</v>
      </c>
      <c r="F252" s="91" t="s">
        <v>88</v>
      </c>
      <c r="G252" s="93">
        <v>1</v>
      </c>
      <c r="H252" s="94" t="s">
        <v>2283</v>
      </c>
      <c r="I252" s="93">
        <v>1</v>
      </c>
      <c r="J252" s="103" t="s">
        <v>850</v>
      </c>
      <c r="K252" s="91" t="s">
        <v>1643</v>
      </c>
      <c r="L252" s="91" t="s">
        <v>1897</v>
      </c>
      <c r="M252" s="93">
        <v>0.5</v>
      </c>
      <c r="N252" s="94" t="s">
        <v>2284</v>
      </c>
      <c r="O252" s="93">
        <v>0</v>
      </c>
      <c r="P252" s="94" t="s">
        <v>2285</v>
      </c>
      <c r="Q252" s="91" t="s">
        <v>1644</v>
      </c>
      <c r="R252" s="91" t="s">
        <v>1897</v>
      </c>
      <c r="S252" s="160"/>
      <c r="T252" s="103"/>
      <c r="U252" s="160"/>
      <c r="V252" s="103"/>
      <c r="W252" s="103"/>
      <c r="X252" s="103"/>
    </row>
    <row r="253" spans="1:24" x14ac:dyDescent="0.25">
      <c r="A253" s="91" t="s">
        <v>1067</v>
      </c>
      <c r="B253" s="92" t="s">
        <v>1068</v>
      </c>
      <c r="C253" s="91" t="s">
        <v>803</v>
      </c>
      <c r="D253" s="91" t="s">
        <v>2052</v>
      </c>
      <c r="E253" s="91" t="s">
        <v>2295</v>
      </c>
      <c r="F253" s="91" t="s">
        <v>1894</v>
      </c>
      <c r="G253" s="93">
        <v>1</v>
      </c>
      <c r="H253" s="94" t="s">
        <v>2296</v>
      </c>
      <c r="I253" s="93">
        <v>1</v>
      </c>
      <c r="J253" s="94" t="s">
        <v>2297</v>
      </c>
      <c r="K253" s="91" t="s">
        <v>1644</v>
      </c>
      <c r="L253" s="91" t="s">
        <v>1889</v>
      </c>
      <c r="M253" s="93">
        <v>0.5</v>
      </c>
      <c r="N253" s="94" t="s">
        <v>2298</v>
      </c>
      <c r="O253" s="93">
        <v>0.5</v>
      </c>
      <c r="P253" s="94"/>
      <c r="Q253" s="91" t="s">
        <v>1643</v>
      </c>
      <c r="R253" s="91" t="s">
        <v>1889</v>
      </c>
      <c r="S253" s="103"/>
      <c r="T253" s="103"/>
      <c r="U253" s="103"/>
      <c r="V253" s="103"/>
      <c r="W253" s="103"/>
      <c r="X253" s="103"/>
    </row>
    <row r="254" spans="1:24" x14ac:dyDescent="0.25">
      <c r="A254" s="91" t="s">
        <v>1073</v>
      </c>
      <c r="B254" s="92" t="s">
        <v>1074</v>
      </c>
      <c r="C254" s="91" t="s">
        <v>803</v>
      </c>
      <c r="D254" s="91" t="s">
        <v>1952</v>
      </c>
      <c r="E254" s="91" t="s">
        <v>2304</v>
      </c>
      <c r="F254" s="91" t="s">
        <v>88</v>
      </c>
      <c r="G254" s="93">
        <v>1</v>
      </c>
      <c r="H254" s="94" t="s">
        <v>2305</v>
      </c>
      <c r="I254" s="93">
        <v>1</v>
      </c>
      <c r="J254" s="103" t="s">
        <v>850</v>
      </c>
      <c r="K254" s="91" t="s">
        <v>1643</v>
      </c>
      <c r="L254" s="91" t="s">
        <v>1897</v>
      </c>
      <c r="M254" s="160"/>
      <c r="N254" s="103"/>
      <c r="O254" s="160"/>
      <c r="P254" s="103"/>
      <c r="Q254" s="103"/>
      <c r="R254" s="103"/>
      <c r="S254" s="160"/>
      <c r="T254" s="103"/>
      <c r="U254" s="160"/>
      <c r="V254" s="103"/>
      <c r="W254" s="103"/>
      <c r="X254" s="103"/>
    </row>
    <row r="255" spans="1:24" x14ac:dyDescent="0.25">
      <c r="A255" s="91" t="s">
        <v>1077</v>
      </c>
      <c r="B255" s="92" t="s">
        <v>1078</v>
      </c>
      <c r="C255" s="91" t="s">
        <v>803</v>
      </c>
      <c r="D255" s="91" t="s">
        <v>2180</v>
      </c>
      <c r="E255" s="91" t="s">
        <v>2307</v>
      </c>
      <c r="F255" s="91" t="s">
        <v>1894</v>
      </c>
      <c r="G255" s="93">
        <v>1.5</v>
      </c>
      <c r="H255" s="94" t="s">
        <v>2308</v>
      </c>
      <c r="I255" s="93">
        <v>1.4497</v>
      </c>
      <c r="J255" s="103" t="s">
        <v>850</v>
      </c>
      <c r="K255" s="91" t="s">
        <v>1643</v>
      </c>
      <c r="L255" s="91" t="s">
        <v>1897</v>
      </c>
      <c r="M255" s="103" t="s">
        <v>850</v>
      </c>
      <c r="N255" s="103" t="s">
        <v>850</v>
      </c>
      <c r="O255" s="103" t="s">
        <v>850</v>
      </c>
      <c r="P255" s="103" t="s">
        <v>850</v>
      </c>
      <c r="Q255" s="103"/>
      <c r="R255" s="103" t="s">
        <v>850</v>
      </c>
      <c r="S255" s="103"/>
      <c r="T255" s="103"/>
      <c r="U255" s="103"/>
      <c r="V255" s="103"/>
      <c r="W255" s="103"/>
      <c r="X255" s="103"/>
    </row>
    <row r="256" spans="1:24" x14ac:dyDescent="0.25">
      <c r="A256" s="91" t="s">
        <v>1079</v>
      </c>
      <c r="B256" s="92" t="s">
        <v>1080</v>
      </c>
      <c r="C256" s="91" t="s">
        <v>803</v>
      </c>
      <c r="D256" s="91" t="s">
        <v>2309</v>
      </c>
      <c r="E256" s="91" t="s">
        <v>2310</v>
      </c>
      <c r="F256" s="91" t="s">
        <v>1894</v>
      </c>
      <c r="G256" s="93">
        <v>0.75</v>
      </c>
      <c r="H256" s="94" t="s">
        <v>2247</v>
      </c>
      <c r="I256" s="93">
        <v>0.75</v>
      </c>
      <c r="J256" s="94" t="s">
        <v>2311</v>
      </c>
      <c r="K256" s="91" t="s">
        <v>1644</v>
      </c>
      <c r="L256" s="91" t="s">
        <v>1897</v>
      </c>
      <c r="M256" s="160"/>
      <c r="N256" s="103"/>
      <c r="O256" s="160"/>
      <c r="P256" s="103"/>
      <c r="Q256" s="103"/>
      <c r="R256" s="103" t="s">
        <v>850</v>
      </c>
      <c r="S256" s="160"/>
      <c r="T256" s="103"/>
      <c r="U256" s="160"/>
      <c r="V256" s="103"/>
      <c r="W256" s="103"/>
      <c r="X256" s="103"/>
    </row>
    <row r="257" spans="1:24" x14ac:dyDescent="0.25">
      <c r="A257" s="91" t="s">
        <v>1097</v>
      </c>
      <c r="B257" s="92" t="s">
        <v>1098</v>
      </c>
      <c r="C257" s="91" t="s">
        <v>803</v>
      </c>
      <c r="D257" s="91" t="s">
        <v>2332</v>
      </c>
      <c r="E257" s="91" t="s">
        <v>2332</v>
      </c>
      <c r="F257" s="91" t="s">
        <v>1894</v>
      </c>
      <c r="G257" s="93">
        <v>0.5</v>
      </c>
      <c r="H257" s="94" t="s">
        <v>2333</v>
      </c>
      <c r="I257" s="93">
        <v>0.4965</v>
      </c>
      <c r="J257" s="94" t="s">
        <v>1896</v>
      </c>
      <c r="K257" s="91" t="s">
        <v>1644</v>
      </c>
      <c r="L257" s="91" t="s">
        <v>1897</v>
      </c>
      <c r="M257" s="103"/>
      <c r="N257" s="161"/>
      <c r="O257" s="103"/>
      <c r="P257" s="161"/>
      <c r="Q257" s="103"/>
      <c r="R257" s="103" t="s">
        <v>850</v>
      </c>
      <c r="S257" s="103"/>
      <c r="T257" s="103"/>
      <c r="U257" s="103"/>
      <c r="V257" s="103"/>
      <c r="W257" s="103"/>
      <c r="X257" s="103"/>
    </row>
    <row r="258" spans="1:24" x14ac:dyDescent="0.25">
      <c r="A258" s="91" t="s">
        <v>1105</v>
      </c>
      <c r="B258" s="92" t="s">
        <v>1106</v>
      </c>
      <c r="C258" s="91" t="s">
        <v>803</v>
      </c>
      <c r="D258" s="91" t="s">
        <v>1999</v>
      </c>
      <c r="E258" s="91" t="s">
        <v>2340</v>
      </c>
      <c r="F258" s="91" t="s">
        <v>1894</v>
      </c>
      <c r="G258" s="93">
        <v>1.2</v>
      </c>
      <c r="H258" s="94" t="s">
        <v>2341</v>
      </c>
      <c r="I258" s="93">
        <v>1.1505000000000001</v>
      </c>
      <c r="J258" s="94" t="s">
        <v>2083</v>
      </c>
      <c r="K258" s="91" t="s">
        <v>1644</v>
      </c>
      <c r="L258" s="91" t="s">
        <v>1897</v>
      </c>
      <c r="M258" s="103"/>
      <c r="N258" s="103"/>
      <c r="O258" s="103"/>
      <c r="P258" s="161"/>
      <c r="Q258" s="103"/>
      <c r="R258" s="103" t="s">
        <v>850</v>
      </c>
      <c r="S258" s="103"/>
      <c r="T258" s="103"/>
      <c r="U258" s="103"/>
      <c r="V258" s="103"/>
      <c r="W258" s="103"/>
      <c r="X258" s="103"/>
    </row>
    <row r="259" spans="1:24" x14ac:dyDescent="0.25">
      <c r="A259" s="91" t="s">
        <v>1115</v>
      </c>
      <c r="B259" s="92" t="s">
        <v>1116</v>
      </c>
      <c r="C259" s="91" t="s">
        <v>803</v>
      </c>
      <c r="D259" s="91" t="s">
        <v>2052</v>
      </c>
      <c r="E259" s="91" t="s">
        <v>2360</v>
      </c>
      <c r="F259" s="91" t="s">
        <v>1864</v>
      </c>
      <c r="G259" s="93">
        <v>0.8</v>
      </c>
      <c r="H259" s="94" t="s">
        <v>2210</v>
      </c>
      <c r="I259" s="93">
        <v>0.78659999999999997</v>
      </c>
      <c r="J259" s="94" t="s">
        <v>2361</v>
      </c>
      <c r="K259" s="91" t="s">
        <v>1644</v>
      </c>
      <c r="L259" s="91" t="s">
        <v>1897</v>
      </c>
      <c r="M259" s="103"/>
      <c r="N259" s="161"/>
      <c r="O259" s="103"/>
      <c r="P259" s="161"/>
      <c r="Q259" s="103"/>
      <c r="R259" s="103" t="s">
        <v>850</v>
      </c>
      <c r="S259" s="103"/>
      <c r="T259" s="103"/>
      <c r="U259" s="103"/>
      <c r="V259" s="103"/>
      <c r="W259" s="103"/>
      <c r="X259" s="103"/>
    </row>
    <row r="260" spans="1:24" x14ac:dyDescent="0.25">
      <c r="A260" s="91" t="s">
        <v>1117</v>
      </c>
      <c r="B260" s="92" t="s">
        <v>1118</v>
      </c>
      <c r="C260" s="91" t="s">
        <v>803</v>
      </c>
      <c r="D260" s="91" t="s">
        <v>1925</v>
      </c>
      <c r="E260" s="91" t="s">
        <v>2363</v>
      </c>
      <c r="F260" s="91" t="s">
        <v>88</v>
      </c>
      <c r="G260" s="93">
        <v>0.8</v>
      </c>
      <c r="H260" s="94" t="s">
        <v>2364</v>
      </c>
      <c r="I260" s="93">
        <v>1</v>
      </c>
      <c r="J260" s="94" t="s">
        <v>2365</v>
      </c>
      <c r="K260" s="91" t="s">
        <v>1643</v>
      </c>
      <c r="L260" s="91" t="s">
        <v>1889</v>
      </c>
      <c r="M260" s="93">
        <v>1</v>
      </c>
      <c r="N260" s="94" t="s">
        <v>2366</v>
      </c>
      <c r="O260" s="93">
        <v>1</v>
      </c>
      <c r="P260" s="94" t="s">
        <v>2365</v>
      </c>
      <c r="Q260" s="91" t="s">
        <v>1643</v>
      </c>
      <c r="R260" s="91" t="s">
        <v>1889</v>
      </c>
      <c r="S260" s="103"/>
      <c r="T260" s="103"/>
      <c r="U260" s="103"/>
      <c r="V260" s="103"/>
      <c r="W260" s="103"/>
      <c r="X260" s="103"/>
    </row>
    <row r="261" spans="1:24" x14ac:dyDescent="0.25">
      <c r="A261" s="91" t="s">
        <v>1121</v>
      </c>
      <c r="B261" s="92" t="s">
        <v>1122</v>
      </c>
      <c r="C261" s="91" t="s">
        <v>803</v>
      </c>
      <c r="D261" s="91" t="s">
        <v>1925</v>
      </c>
      <c r="E261" s="91" t="s">
        <v>2370</v>
      </c>
      <c r="F261" s="91" t="s">
        <v>88</v>
      </c>
      <c r="G261" s="93">
        <v>1</v>
      </c>
      <c r="H261" s="94" t="s">
        <v>2371</v>
      </c>
      <c r="I261" s="93">
        <v>0.91</v>
      </c>
      <c r="J261" s="94" t="s">
        <v>1951</v>
      </c>
      <c r="K261" s="91" t="s">
        <v>1643</v>
      </c>
      <c r="L261" s="91" t="s">
        <v>1897</v>
      </c>
      <c r="M261" s="93">
        <v>0.5</v>
      </c>
      <c r="N261" s="94" t="s">
        <v>2372</v>
      </c>
      <c r="O261" s="93">
        <v>0.5</v>
      </c>
      <c r="P261" s="94" t="s">
        <v>2373</v>
      </c>
      <c r="Q261" s="91" t="s">
        <v>1644</v>
      </c>
      <c r="R261" s="91" t="s">
        <v>1998</v>
      </c>
      <c r="S261" s="93">
        <v>1</v>
      </c>
      <c r="T261" s="94" t="s">
        <v>2374</v>
      </c>
      <c r="U261" s="93">
        <v>1</v>
      </c>
      <c r="V261" s="94" t="s">
        <v>2375</v>
      </c>
      <c r="W261" s="91" t="s">
        <v>1644</v>
      </c>
      <c r="X261" s="91" t="s">
        <v>1897</v>
      </c>
    </row>
    <row r="262" spans="1:24" x14ac:dyDescent="0.25">
      <c r="A262" s="91" t="s">
        <v>1123</v>
      </c>
      <c r="B262" s="92" t="s">
        <v>1124</v>
      </c>
      <c r="C262" s="91" t="s">
        <v>803</v>
      </c>
      <c r="D262" s="91" t="s">
        <v>2376</v>
      </c>
      <c r="E262" s="91" t="s">
        <v>2377</v>
      </c>
      <c r="F262" s="91" t="s">
        <v>1894</v>
      </c>
      <c r="G262" s="93">
        <v>0.95</v>
      </c>
      <c r="H262" s="94" t="s">
        <v>2093</v>
      </c>
      <c r="I262" s="93">
        <v>0.95</v>
      </c>
      <c r="J262" s="94" t="s">
        <v>2378</v>
      </c>
      <c r="K262" s="91" t="s">
        <v>1644</v>
      </c>
      <c r="L262" s="103" t="s">
        <v>850</v>
      </c>
      <c r="M262" s="103"/>
      <c r="N262" s="103"/>
      <c r="O262" s="103"/>
      <c r="P262" s="103"/>
      <c r="Q262" s="103"/>
      <c r="R262" s="103" t="s">
        <v>850</v>
      </c>
      <c r="S262" s="103" t="s">
        <v>850</v>
      </c>
      <c r="T262" s="103" t="s">
        <v>850</v>
      </c>
      <c r="U262" s="103" t="s">
        <v>850</v>
      </c>
      <c r="V262" s="103" t="s">
        <v>850</v>
      </c>
      <c r="W262" s="103"/>
      <c r="X262" s="103" t="s">
        <v>850</v>
      </c>
    </row>
    <row r="263" spans="1:24" x14ac:dyDescent="0.25">
      <c r="A263" s="91" t="s">
        <v>1125</v>
      </c>
      <c r="B263" s="92" t="s">
        <v>1126</v>
      </c>
      <c r="C263" s="91" t="s">
        <v>803</v>
      </c>
      <c r="D263" s="91" t="s">
        <v>1952</v>
      </c>
      <c r="E263" s="91" t="s">
        <v>2379</v>
      </c>
      <c r="F263" s="91" t="s">
        <v>1864</v>
      </c>
      <c r="G263" s="93">
        <v>0.5</v>
      </c>
      <c r="H263" s="94" t="s">
        <v>2380</v>
      </c>
      <c r="I263" s="93">
        <v>0.48580000000000001</v>
      </c>
      <c r="J263" s="94" t="s">
        <v>2381</v>
      </c>
      <c r="K263" s="91" t="s">
        <v>1644</v>
      </c>
      <c r="L263" s="91" t="s">
        <v>1897</v>
      </c>
      <c r="M263" s="103"/>
      <c r="N263" s="103"/>
      <c r="O263" s="103"/>
      <c r="P263" s="103"/>
      <c r="Q263" s="103"/>
      <c r="R263" s="103" t="s">
        <v>850</v>
      </c>
      <c r="S263" s="103" t="s">
        <v>850</v>
      </c>
      <c r="T263" s="103" t="s">
        <v>850</v>
      </c>
      <c r="U263" s="103" t="s">
        <v>850</v>
      </c>
      <c r="V263" s="103" t="s">
        <v>850</v>
      </c>
      <c r="W263" s="103"/>
      <c r="X263" s="103" t="s">
        <v>850</v>
      </c>
    </row>
    <row r="264" spans="1:24" x14ac:dyDescent="0.25">
      <c r="A264" s="91" t="s">
        <v>1131</v>
      </c>
      <c r="B264" s="92" t="s">
        <v>1132</v>
      </c>
      <c r="C264" s="91" t="s">
        <v>803</v>
      </c>
      <c r="D264" s="91" t="s">
        <v>2205</v>
      </c>
      <c r="E264" s="91" t="s">
        <v>2389</v>
      </c>
      <c r="F264" s="91" t="s">
        <v>88</v>
      </c>
      <c r="G264" s="93">
        <v>1.6</v>
      </c>
      <c r="H264" s="94" t="s">
        <v>1966</v>
      </c>
      <c r="I264" s="93">
        <v>1.6</v>
      </c>
      <c r="J264" s="94" t="s">
        <v>2390</v>
      </c>
      <c r="K264" s="91" t="s">
        <v>1644</v>
      </c>
      <c r="L264" s="91" t="s">
        <v>1897</v>
      </c>
      <c r="M264" s="93">
        <v>1.6</v>
      </c>
      <c r="N264" s="94" t="s">
        <v>2391</v>
      </c>
      <c r="O264" s="93">
        <v>1.6</v>
      </c>
      <c r="P264" s="94" t="s">
        <v>2390</v>
      </c>
      <c r="Q264" s="91" t="s">
        <v>1644</v>
      </c>
      <c r="R264" s="91" t="s">
        <v>1897</v>
      </c>
      <c r="S264" s="103" t="s">
        <v>850</v>
      </c>
      <c r="T264" s="103" t="s">
        <v>850</v>
      </c>
      <c r="U264" s="103" t="s">
        <v>850</v>
      </c>
      <c r="V264" s="103" t="s">
        <v>850</v>
      </c>
      <c r="W264" s="103"/>
      <c r="X264" s="103" t="s">
        <v>850</v>
      </c>
    </row>
    <row r="265" spans="1:24" x14ac:dyDescent="0.25">
      <c r="A265" s="91" t="s">
        <v>1133</v>
      </c>
      <c r="B265" s="92" t="s">
        <v>1134</v>
      </c>
      <c r="C265" s="91" t="s">
        <v>803</v>
      </c>
      <c r="D265" s="91" t="s">
        <v>1885</v>
      </c>
      <c r="E265" s="91" t="s">
        <v>2392</v>
      </c>
      <c r="F265" s="91" t="s">
        <v>1894</v>
      </c>
      <c r="G265" s="93">
        <v>1.8</v>
      </c>
      <c r="H265" s="94" t="s">
        <v>2393</v>
      </c>
      <c r="I265" s="93">
        <v>1.51</v>
      </c>
      <c r="J265" s="103" t="s">
        <v>850</v>
      </c>
      <c r="K265" s="91" t="s">
        <v>1643</v>
      </c>
      <c r="L265" s="91" t="s">
        <v>1897</v>
      </c>
      <c r="M265" s="93">
        <v>0.48</v>
      </c>
      <c r="N265" s="94" t="s">
        <v>2003</v>
      </c>
      <c r="O265" s="93">
        <v>0.48</v>
      </c>
      <c r="P265" s="103" t="s">
        <v>850</v>
      </c>
      <c r="Q265" s="91" t="s">
        <v>1643</v>
      </c>
      <c r="R265" s="91" t="s">
        <v>1897</v>
      </c>
      <c r="S265" s="93">
        <v>0.5</v>
      </c>
      <c r="T265" s="94" t="s">
        <v>1900</v>
      </c>
      <c r="U265" s="93">
        <v>0.5</v>
      </c>
      <c r="V265" s="94" t="s">
        <v>1938</v>
      </c>
      <c r="W265" s="91" t="s">
        <v>1644</v>
      </c>
      <c r="X265" s="91" t="s">
        <v>1897</v>
      </c>
    </row>
    <row r="266" spans="1:24" x14ac:dyDescent="0.25">
      <c r="A266" s="91" t="s">
        <v>1141</v>
      </c>
      <c r="B266" s="92" t="s">
        <v>1142</v>
      </c>
      <c r="C266" s="91" t="s">
        <v>803</v>
      </c>
      <c r="D266" s="91" t="s">
        <v>1885</v>
      </c>
      <c r="E266" s="91" t="s">
        <v>2401</v>
      </c>
      <c r="F266" s="91" t="s">
        <v>1864</v>
      </c>
      <c r="G266" s="93">
        <v>1</v>
      </c>
      <c r="H266" s="94" t="s">
        <v>2402</v>
      </c>
      <c r="I266" s="93">
        <v>0.67979999999999996</v>
      </c>
      <c r="J266" s="103" t="s">
        <v>850</v>
      </c>
      <c r="K266" s="91" t="s">
        <v>1643</v>
      </c>
      <c r="L266" s="91" t="s">
        <v>1897</v>
      </c>
      <c r="M266" s="93">
        <v>0.25</v>
      </c>
      <c r="N266" s="94" t="s">
        <v>2403</v>
      </c>
      <c r="O266" s="93">
        <v>0.21709999999999999</v>
      </c>
      <c r="P266" s="103" t="s">
        <v>850</v>
      </c>
      <c r="Q266" s="91" t="s">
        <v>1643</v>
      </c>
      <c r="R266" s="91" t="s">
        <v>1897</v>
      </c>
      <c r="S266" s="93">
        <v>0.7127</v>
      </c>
      <c r="T266" s="94" t="s">
        <v>2020</v>
      </c>
      <c r="U266" s="93">
        <v>0.70550000000000002</v>
      </c>
      <c r="V266" s="94" t="s">
        <v>2404</v>
      </c>
      <c r="W266" s="91" t="s">
        <v>1644</v>
      </c>
      <c r="X266" s="91" t="s">
        <v>1897</v>
      </c>
    </row>
    <row r="267" spans="1:24" x14ac:dyDescent="0.25">
      <c r="A267" s="91" t="s">
        <v>1145</v>
      </c>
      <c r="B267" s="92" t="s">
        <v>1146</v>
      </c>
      <c r="C267" s="91" t="s">
        <v>803</v>
      </c>
      <c r="D267" s="91" t="s">
        <v>1885</v>
      </c>
      <c r="E267" s="91" t="s">
        <v>2407</v>
      </c>
      <c r="F267" s="91" t="s">
        <v>1864</v>
      </c>
      <c r="G267" s="93">
        <v>1</v>
      </c>
      <c r="H267" s="94" t="s">
        <v>2408</v>
      </c>
      <c r="I267" s="93">
        <v>0.9829</v>
      </c>
      <c r="J267" s="94" t="s">
        <v>2409</v>
      </c>
      <c r="K267" s="91" t="s">
        <v>1644</v>
      </c>
      <c r="L267" s="91" t="s">
        <v>1897</v>
      </c>
      <c r="M267" s="160"/>
      <c r="N267" s="161"/>
      <c r="O267" s="160"/>
      <c r="P267" s="161"/>
      <c r="Q267" s="103"/>
      <c r="R267" s="103"/>
      <c r="S267" s="160"/>
      <c r="T267" s="161"/>
      <c r="U267" s="160"/>
      <c r="V267" s="161"/>
      <c r="W267" s="103"/>
      <c r="X267" s="103"/>
    </row>
    <row r="268" spans="1:24" x14ac:dyDescent="0.25">
      <c r="A268" s="91" t="s">
        <v>1153</v>
      </c>
      <c r="B268" s="92" t="s">
        <v>1154</v>
      </c>
      <c r="C268" s="91" t="s">
        <v>803</v>
      </c>
      <c r="D268" s="91" t="s">
        <v>2415</v>
      </c>
      <c r="E268" s="91" t="s">
        <v>2416</v>
      </c>
      <c r="F268" s="91" t="s">
        <v>1894</v>
      </c>
      <c r="G268" s="93">
        <v>1</v>
      </c>
      <c r="H268" s="94" t="s">
        <v>2042</v>
      </c>
      <c r="I268" s="93">
        <v>0.7</v>
      </c>
      <c r="J268" s="103" t="s">
        <v>850</v>
      </c>
      <c r="K268" s="91" t="s">
        <v>1643</v>
      </c>
      <c r="L268" s="103" t="s">
        <v>850</v>
      </c>
      <c r="M268" s="103" t="s">
        <v>850</v>
      </c>
      <c r="N268" s="103" t="s">
        <v>850</v>
      </c>
      <c r="O268" s="103" t="s">
        <v>850</v>
      </c>
      <c r="P268" s="103" t="s">
        <v>850</v>
      </c>
      <c r="Q268" s="91" t="s">
        <v>1644</v>
      </c>
      <c r="R268" s="103" t="s">
        <v>850</v>
      </c>
      <c r="S268" s="103"/>
      <c r="T268" s="103"/>
      <c r="U268" s="103"/>
      <c r="V268" s="103"/>
      <c r="W268" s="103"/>
      <c r="X268" s="103"/>
    </row>
    <row r="269" spans="1:24" x14ac:dyDescent="0.25">
      <c r="A269" s="91" t="s">
        <v>1155</v>
      </c>
      <c r="B269" s="92" t="s">
        <v>1156</v>
      </c>
      <c r="C269" s="91" t="s">
        <v>803</v>
      </c>
      <c r="D269" s="91" t="s">
        <v>1926</v>
      </c>
      <c r="E269" s="91" t="s">
        <v>2417</v>
      </c>
      <c r="F269" s="91" t="s">
        <v>88</v>
      </c>
      <c r="G269" s="160"/>
      <c r="H269" s="161"/>
      <c r="I269" s="160"/>
      <c r="J269" s="161"/>
      <c r="K269" s="103"/>
      <c r="L269" s="103"/>
      <c r="M269" s="103"/>
      <c r="N269" s="103"/>
      <c r="O269" s="103"/>
      <c r="P269" s="103"/>
      <c r="Q269" s="103"/>
      <c r="R269" s="103"/>
      <c r="S269" s="103"/>
      <c r="T269" s="103"/>
      <c r="U269" s="103"/>
      <c r="V269" s="103"/>
      <c r="W269" s="103"/>
      <c r="X269" s="103"/>
    </row>
    <row r="270" spans="1:24" x14ac:dyDescent="0.25">
      <c r="A270" s="91" t="s">
        <v>1169</v>
      </c>
      <c r="B270" s="92" t="s">
        <v>1170</v>
      </c>
      <c r="C270" s="91" t="s">
        <v>803</v>
      </c>
      <c r="D270" s="91" t="s">
        <v>1944</v>
      </c>
      <c r="E270" s="91" t="s">
        <v>2430</v>
      </c>
      <c r="F270" s="91" t="s">
        <v>1894</v>
      </c>
      <c r="G270" s="93">
        <v>1.2339</v>
      </c>
      <c r="H270" s="94" t="s">
        <v>1900</v>
      </c>
      <c r="I270" s="93">
        <v>1.2322</v>
      </c>
      <c r="J270" s="94" t="s">
        <v>2431</v>
      </c>
      <c r="K270" s="91" t="s">
        <v>1644</v>
      </c>
      <c r="L270" s="91" t="s">
        <v>1897</v>
      </c>
      <c r="M270" s="103"/>
      <c r="N270" s="103"/>
      <c r="O270" s="103"/>
      <c r="P270" s="103"/>
      <c r="Q270" s="103"/>
      <c r="R270" s="103"/>
      <c r="S270" s="103"/>
      <c r="T270" s="103"/>
      <c r="U270" s="103"/>
      <c r="V270" s="103"/>
      <c r="W270" s="103"/>
      <c r="X270" s="103"/>
    </row>
    <row r="271" spans="1:24" x14ac:dyDescent="0.25">
      <c r="A271" s="91" t="s">
        <v>1175</v>
      </c>
      <c r="B271" s="92" t="s">
        <v>1176</v>
      </c>
      <c r="C271" s="91" t="s">
        <v>803</v>
      </c>
      <c r="D271" s="91" t="s">
        <v>2292</v>
      </c>
      <c r="E271" s="91" t="s">
        <v>2437</v>
      </c>
      <c r="F271" s="91" t="s">
        <v>88</v>
      </c>
      <c r="G271" s="103" t="s">
        <v>850</v>
      </c>
      <c r="H271" s="103" t="s">
        <v>850</v>
      </c>
      <c r="I271" s="103" t="s">
        <v>850</v>
      </c>
      <c r="J271" s="103" t="s">
        <v>850</v>
      </c>
      <c r="K271" s="103" t="s">
        <v>850</v>
      </c>
      <c r="L271" s="103" t="s">
        <v>850</v>
      </c>
      <c r="M271" s="103" t="s">
        <v>850</v>
      </c>
      <c r="N271" s="103" t="s">
        <v>850</v>
      </c>
      <c r="O271" s="103" t="s">
        <v>850</v>
      </c>
      <c r="P271" s="103" t="s">
        <v>850</v>
      </c>
      <c r="Q271" s="103" t="s">
        <v>850</v>
      </c>
      <c r="R271" s="103" t="s">
        <v>850</v>
      </c>
      <c r="S271" s="103"/>
      <c r="T271" s="103"/>
      <c r="U271" s="103"/>
      <c r="V271" s="103"/>
      <c r="W271" s="103"/>
      <c r="X271" s="103"/>
    </row>
    <row r="272" spans="1:24" x14ac:dyDescent="0.25">
      <c r="A272" s="91" t="s">
        <v>1189</v>
      </c>
      <c r="B272" s="92" t="s">
        <v>1190</v>
      </c>
      <c r="C272" s="91" t="s">
        <v>803</v>
      </c>
      <c r="D272" s="91" t="s">
        <v>2451</v>
      </c>
      <c r="E272" s="91" t="s">
        <v>2451</v>
      </c>
      <c r="F272" s="91" t="s">
        <v>92</v>
      </c>
      <c r="G272" s="93">
        <v>0.25</v>
      </c>
      <c r="H272" s="94" t="s">
        <v>2452</v>
      </c>
      <c r="I272" s="93">
        <v>0.25</v>
      </c>
      <c r="J272" s="94" t="s">
        <v>2046</v>
      </c>
      <c r="K272" s="91" t="s">
        <v>1644</v>
      </c>
      <c r="L272" s="91" t="s">
        <v>1897</v>
      </c>
      <c r="M272" s="160"/>
      <c r="N272" s="161"/>
      <c r="O272" s="160"/>
      <c r="P272" s="161"/>
      <c r="Q272" s="103"/>
      <c r="R272" s="103"/>
      <c r="S272" s="160"/>
      <c r="T272" s="161"/>
      <c r="U272" s="160"/>
      <c r="V272" s="161"/>
      <c r="W272" s="103"/>
      <c r="X272" s="103"/>
    </row>
    <row r="273" spans="1:24" x14ac:dyDescent="0.25">
      <c r="A273" s="91" t="s">
        <v>1207</v>
      </c>
      <c r="B273" s="92" t="s">
        <v>1208</v>
      </c>
      <c r="C273" s="91" t="s">
        <v>803</v>
      </c>
      <c r="D273" s="91" t="s">
        <v>1925</v>
      </c>
      <c r="E273" s="91" t="s">
        <v>2470</v>
      </c>
      <c r="F273" s="91" t="s">
        <v>88</v>
      </c>
      <c r="G273" s="93">
        <v>2</v>
      </c>
      <c r="H273" s="103" t="s">
        <v>850</v>
      </c>
      <c r="I273" s="93">
        <v>2</v>
      </c>
      <c r="J273" s="94" t="s">
        <v>2471</v>
      </c>
      <c r="K273" s="91" t="s">
        <v>1644</v>
      </c>
      <c r="L273" s="91" t="s">
        <v>1897</v>
      </c>
      <c r="M273" s="103"/>
      <c r="N273" s="103"/>
      <c r="O273" s="160"/>
      <c r="P273" s="103"/>
      <c r="Q273" s="103"/>
      <c r="R273" s="103"/>
      <c r="S273" s="160"/>
      <c r="T273" s="103"/>
      <c r="U273" s="160"/>
      <c r="V273" s="103"/>
      <c r="W273" s="103"/>
      <c r="X273" s="103"/>
    </row>
    <row r="274" spans="1:24" x14ac:dyDescent="0.25">
      <c r="A274" s="91" t="s">
        <v>1223</v>
      </c>
      <c r="B274" s="92" t="s">
        <v>1224</v>
      </c>
      <c r="C274" s="91" t="s">
        <v>803</v>
      </c>
      <c r="D274" s="91" t="s">
        <v>2001</v>
      </c>
      <c r="E274" s="91" t="s">
        <v>2484</v>
      </c>
      <c r="F274" s="91" t="s">
        <v>1864</v>
      </c>
      <c r="G274" s="93">
        <v>0.5</v>
      </c>
      <c r="H274" s="94" t="s">
        <v>2485</v>
      </c>
      <c r="I274" s="93">
        <v>0.39229999999999998</v>
      </c>
      <c r="J274" s="103" t="s">
        <v>850</v>
      </c>
      <c r="K274" s="91" t="s">
        <v>1643</v>
      </c>
      <c r="L274" s="91" t="s">
        <v>1897</v>
      </c>
      <c r="M274" s="93">
        <v>0.5</v>
      </c>
      <c r="N274" s="94" t="s">
        <v>2486</v>
      </c>
      <c r="O274" s="93">
        <v>0.43480000000000002</v>
      </c>
      <c r="P274" s="103" t="s">
        <v>850</v>
      </c>
      <c r="Q274" s="91" t="s">
        <v>1643</v>
      </c>
      <c r="R274" s="91" t="s">
        <v>1897</v>
      </c>
      <c r="S274" s="93">
        <v>0.3</v>
      </c>
      <c r="T274" s="94" t="s">
        <v>2487</v>
      </c>
      <c r="U274" s="93">
        <v>0.29949999999999999</v>
      </c>
      <c r="V274" s="94" t="s">
        <v>2248</v>
      </c>
      <c r="W274" s="91" t="s">
        <v>1644</v>
      </c>
      <c r="X274" s="91" t="s">
        <v>1897</v>
      </c>
    </row>
    <row r="275" spans="1:24" x14ac:dyDescent="0.25">
      <c r="A275" s="91" t="s">
        <v>1235</v>
      </c>
      <c r="B275" s="92" t="s">
        <v>1236</v>
      </c>
      <c r="C275" s="91" t="s">
        <v>803</v>
      </c>
      <c r="D275" s="91" t="s">
        <v>1885</v>
      </c>
      <c r="E275" s="91" t="s">
        <v>2499</v>
      </c>
      <c r="F275" s="91" t="s">
        <v>1864</v>
      </c>
      <c r="G275" s="93">
        <v>0.89</v>
      </c>
      <c r="H275" s="94" t="s">
        <v>2500</v>
      </c>
      <c r="I275" s="93">
        <v>0.87849999999999995</v>
      </c>
      <c r="J275" s="94" t="s">
        <v>2501</v>
      </c>
      <c r="K275" s="91" t="s">
        <v>1644</v>
      </c>
      <c r="L275" s="91" t="s">
        <v>1897</v>
      </c>
      <c r="M275" s="160"/>
      <c r="N275" s="103"/>
      <c r="O275" s="160"/>
      <c r="P275" s="103"/>
      <c r="Q275" s="103"/>
      <c r="R275" s="103"/>
      <c r="S275" s="160"/>
      <c r="T275" s="103"/>
      <c r="U275" s="160"/>
      <c r="V275" s="103"/>
      <c r="W275" s="103"/>
      <c r="X275" s="103"/>
    </row>
    <row r="276" spans="1:24" x14ac:dyDescent="0.25">
      <c r="A276" s="91" t="s">
        <v>1241</v>
      </c>
      <c r="B276" s="92" t="s">
        <v>1242</v>
      </c>
      <c r="C276" s="91" t="s">
        <v>803</v>
      </c>
      <c r="D276" s="91" t="s">
        <v>1952</v>
      </c>
      <c r="E276" s="91" t="s">
        <v>2505</v>
      </c>
      <c r="F276" s="91" t="s">
        <v>88</v>
      </c>
      <c r="G276" s="93">
        <v>2</v>
      </c>
      <c r="H276" s="94" t="s">
        <v>2506</v>
      </c>
      <c r="I276" s="103" t="s">
        <v>850</v>
      </c>
      <c r="J276" s="94" t="s">
        <v>1661</v>
      </c>
      <c r="K276" s="91" t="s">
        <v>1643</v>
      </c>
      <c r="L276" s="91" t="s">
        <v>1897</v>
      </c>
      <c r="M276" s="160"/>
      <c r="N276" s="161"/>
      <c r="O276" s="160"/>
      <c r="P276" s="161"/>
      <c r="Q276" s="103"/>
      <c r="R276" s="103"/>
      <c r="S276" s="160"/>
      <c r="T276" s="161"/>
      <c r="U276" s="160"/>
      <c r="V276" s="161"/>
      <c r="W276" s="103"/>
      <c r="X276" s="103"/>
    </row>
    <row r="277" spans="1:24" x14ac:dyDescent="0.25">
      <c r="A277" s="91" t="s">
        <v>1255</v>
      </c>
      <c r="B277" s="92" t="s">
        <v>1256</v>
      </c>
      <c r="C277" s="91" t="s">
        <v>803</v>
      </c>
      <c r="D277" s="91" t="s">
        <v>2517</v>
      </c>
      <c r="E277" s="91" t="s">
        <v>2518</v>
      </c>
      <c r="F277" s="91" t="s">
        <v>92</v>
      </c>
      <c r="G277" s="93">
        <v>1</v>
      </c>
      <c r="H277" s="94" t="s">
        <v>1966</v>
      </c>
      <c r="I277" s="93">
        <v>1</v>
      </c>
      <c r="J277" s="94" t="s">
        <v>2128</v>
      </c>
      <c r="K277" s="91" t="s">
        <v>1644</v>
      </c>
      <c r="L277" s="91" t="s">
        <v>1897</v>
      </c>
      <c r="M277" s="103" t="s">
        <v>850</v>
      </c>
      <c r="N277" s="161"/>
      <c r="O277" s="160"/>
      <c r="P277" s="161"/>
      <c r="Q277" s="103"/>
      <c r="R277" s="103" t="s">
        <v>850</v>
      </c>
      <c r="S277" s="103"/>
      <c r="T277" s="103"/>
      <c r="U277" s="103"/>
      <c r="V277" s="103"/>
      <c r="W277" s="103"/>
      <c r="X277" s="103"/>
    </row>
    <row r="278" spans="1:24" x14ac:dyDescent="0.25">
      <c r="A278" s="91" t="s">
        <v>1265</v>
      </c>
      <c r="B278" s="92" t="s">
        <v>1266</v>
      </c>
      <c r="C278" s="91" t="s">
        <v>803</v>
      </c>
      <c r="D278" s="91" t="s">
        <v>1905</v>
      </c>
      <c r="E278" s="91" t="s">
        <v>2527</v>
      </c>
      <c r="F278" s="91" t="s">
        <v>1894</v>
      </c>
      <c r="G278" s="93">
        <v>1</v>
      </c>
      <c r="H278" s="94" t="s">
        <v>2528</v>
      </c>
      <c r="I278" s="93">
        <v>0.97809999999999997</v>
      </c>
      <c r="J278" s="103" t="s">
        <v>850</v>
      </c>
      <c r="K278" s="91" t="s">
        <v>1643</v>
      </c>
      <c r="L278" s="91" t="s">
        <v>1897</v>
      </c>
      <c r="M278" s="93">
        <v>0.69299999999999995</v>
      </c>
      <c r="N278" s="94" t="s">
        <v>2023</v>
      </c>
      <c r="O278" s="93">
        <v>0.69299999999999995</v>
      </c>
      <c r="P278" s="94" t="s">
        <v>1986</v>
      </c>
      <c r="Q278" s="91" t="s">
        <v>1644</v>
      </c>
      <c r="R278" s="91" t="s">
        <v>1897</v>
      </c>
      <c r="S278" s="103"/>
      <c r="T278" s="103"/>
      <c r="U278" s="103"/>
      <c r="V278" s="103"/>
      <c r="W278" s="103"/>
      <c r="X278" s="103"/>
    </row>
    <row r="279" spans="1:24" x14ac:dyDescent="0.25">
      <c r="A279" s="91" t="s">
        <v>1269</v>
      </c>
      <c r="B279" s="92" t="s">
        <v>1270</v>
      </c>
      <c r="C279" s="91" t="s">
        <v>803</v>
      </c>
      <c r="D279" s="91" t="s">
        <v>2001</v>
      </c>
      <c r="E279" s="91" t="s">
        <v>2531</v>
      </c>
      <c r="F279" s="91" t="s">
        <v>88</v>
      </c>
      <c r="G279" s="93">
        <v>1</v>
      </c>
      <c r="H279" s="94" t="s">
        <v>2532</v>
      </c>
      <c r="I279" s="93">
        <v>0.72</v>
      </c>
      <c r="J279" s="103" t="s">
        <v>850</v>
      </c>
      <c r="K279" s="91" t="s">
        <v>1644</v>
      </c>
      <c r="L279" s="91" t="s">
        <v>1897</v>
      </c>
      <c r="M279" s="103"/>
      <c r="N279" s="103"/>
      <c r="O279" s="103"/>
      <c r="P279" s="103"/>
      <c r="Q279" s="103"/>
      <c r="R279" s="103"/>
      <c r="S279" s="103"/>
      <c r="T279" s="103"/>
      <c r="U279" s="103"/>
      <c r="V279" s="103"/>
      <c r="W279" s="103"/>
      <c r="X279" s="103"/>
    </row>
    <row r="280" spans="1:24" x14ac:dyDescent="0.25">
      <c r="A280" s="91" t="s">
        <v>1281</v>
      </c>
      <c r="B280" s="92" t="s">
        <v>1282</v>
      </c>
      <c r="C280" s="91" t="s">
        <v>803</v>
      </c>
      <c r="D280" s="91" t="s">
        <v>2540</v>
      </c>
      <c r="E280" s="91" t="s">
        <v>2540</v>
      </c>
      <c r="F280" s="91" t="s">
        <v>92</v>
      </c>
      <c r="G280" s="160"/>
      <c r="H280" s="103"/>
      <c r="I280" s="160"/>
      <c r="J280" s="103"/>
      <c r="K280" s="103"/>
      <c r="L280" s="103"/>
      <c r="M280" s="160"/>
      <c r="N280" s="103"/>
      <c r="O280" s="160"/>
      <c r="P280" s="103"/>
      <c r="Q280" s="103"/>
      <c r="R280" s="103"/>
      <c r="S280" s="160"/>
      <c r="T280" s="103"/>
      <c r="U280" s="160"/>
      <c r="V280" s="103"/>
      <c r="W280" s="103"/>
      <c r="X280" s="103"/>
    </row>
    <row r="281" spans="1:24" x14ac:dyDescent="0.25">
      <c r="A281" s="91" t="s">
        <v>1285</v>
      </c>
      <c r="B281" s="92" t="s">
        <v>1286</v>
      </c>
      <c r="C281" s="91" t="s">
        <v>803</v>
      </c>
      <c r="D281" s="91" t="s">
        <v>2544</v>
      </c>
      <c r="E281" s="91" t="s">
        <v>2545</v>
      </c>
      <c r="F281" s="91" t="s">
        <v>88</v>
      </c>
      <c r="G281" s="93">
        <v>1.4112</v>
      </c>
      <c r="H281" s="94" t="s">
        <v>2546</v>
      </c>
      <c r="I281" s="93">
        <v>0.91559999999999997</v>
      </c>
      <c r="J281" s="103" t="s">
        <v>850</v>
      </c>
      <c r="K281" s="91" t="s">
        <v>1643</v>
      </c>
      <c r="L281" s="91" t="s">
        <v>1897</v>
      </c>
      <c r="M281" s="93">
        <v>0.25</v>
      </c>
      <c r="N281" s="94" t="s">
        <v>2066</v>
      </c>
      <c r="O281" s="93">
        <v>0.25</v>
      </c>
      <c r="P281" s="94" t="s">
        <v>2547</v>
      </c>
      <c r="Q281" s="91" t="s">
        <v>1644</v>
      </c>
      <c r="R281" s="91" t="s">
        <v>1897</v>
      </c>
      <c r="S281" s="93">
        <v>0.25</v>
      </c>
      <c r="T281" s="94" t="s">
        <v>1978</v>
      </c>
      <c r="U281" s="93">
        <v>0.25</v>
      </c>
      <c r="V281" s="94" t="s">
        <v>2548</v>
      </c>
      <c r="W281" s="91" t="s">
        <v>1644</v>
      </c>
      <c r="X281" s="91" t="s">
        <v>1897</v>
      </c>
    </row>
    <row r="282" spans="1:24" x14ac:dyDescent="0.25">
      <c r="A282" s="91" t="s">
        <v>1287</v>
      </c>
      <c r="B282" s="92" t="s">
        <v>1288</v>
      </c>
      <c r="C282" s="91" t="s">
        <v>803</v>
      </c>
      <c r="D282" s="91" t="s">
        <v>1885</v>
      </c>
      <c r="E282" s="91" t="s">
        <v>2549</v>
      </c>
      <c r="F282" s="91" t="s">
        <v>1864</v>
      </c>
      <c r="G282" s="93">
        <v>1</v>
      </c>
      <c r="H282" s="94" t="s">
        <v>2550</v>
      </c>
      <c r="I282" s="93">
        <v>0.7399</v>
      </c>
      <c r="J282" s="103" t="s">
        <v>850</v>
      </c>
      <c r="K282" s="91" t="s">
        <v>1643</v>
      </c>
      <c r="L282" s="91" t="s">
        <v>1897</v>
      </c>
      <c r="M282" s="93">
        <v>0.38</v>
      </c>
      <c r="N282" s="94" t="s">
        <v>2341</v>
      </c>
      <c r="O282" s="93">
        <v>0.36940000000000001</v>
      </c>
      <c r="P282" s="94" t="s">
        <v>2046</v>
      </c>
      <c r="Q282" s="91" t="s">
        <v>1644</v>
      </c>
      <c r="R282" s="91" t="s">
        <v>1897</v>
      </c>
      <c r="S282" s="160"/>
      <c r="T282" s="161"/>
      <c r="U282" s="160"/>
      <c r="V282" s="161"/>
      <c r="W282" s="103"/>
      <c r="X282" s="103"/>
    </row>
    <row r="283" spans="1:24" x14ac:dyDescent="0.25">
      <c r="A283" s="91" t="s">
        <v>1291</v>
      </c>
      <c r="B283" s="92" t="s">
        <v>1292</v>
      </c>
      <c r="C283" s="91" t="s">
        <v>803</v>
      </c>
      <c r="D283" s="91" t="s">
        <v>2267</v>
      </c>
      <c r="E283" s="91" t="s">
        <v>2554</v>
      </c>
      <c r="F283" s="91" t="s">
        <v>1894</v>
      </c>
      <c r="G283" s="93">
        <v>0.25</v>
      </c>
      <c r="H283" s="94" t="s">
        <v>2555</v>
      </c>
      <c r="I283" s="93">
        <v>0.22939999999999999</v>
      </c>
      <c r="J283" s="103" t="s">
        <v>850</v>
      </c>
      <c r="K283" s="91" t="s">
        <v>1643</v>
      </c>
      <c r="L283" s="91" t="s">
        <v>1897</v>
      </c>
      <c r="M283" s="103" t="s">
        <v>850</v>
      </c>
      <c r="N283" s="103" t="s">
        <v>850</v>
      </c>
      <c r="O283" s="103" t="s">
        <v>850</v>
      </c>
      <c r="P283" s="103" t="s">
        <v>850</v>
      </c>
      <c r="Q283" s="91" t="s">
        <v>1644</v>
      </c>
      <c r="R283" s="103" t="s">
        <v>850</v>
      </c>
      <c r="S283" s="103"/>
      <c r="T283" s="103"/>
      <c r="U283" s="103"/>
      <c r="V283" s="103"/>
      <c r="W283" s="103"/>
      <c r="X283" s="103"/>
    </row>
    <row r="284" spans="1:24" x14ac:dyDescent="0.25">
      <c r="A284" s="91" t="s">
        <v>1301</v>
      </c>
      <c r="B284" s="92" t="s">
        <v>1302</v>
      </c>
      <c r="C284" s="91" t="s">
        <v>803</v>
      </c>
      <c r="D284" s="91" t="s">
        <v>1952</v>
      </c>
      <c r="E284" s="91" t="s">
        <v>2567</v>
      </c>
      <c r="F284" s="91" t="s">
        <v>1894</v>
      </c>
      <c r="G284" s="93">
        <v>2.75</v>
      </c>
      <c r="H284" s="94" t="s">
        <v>2209</v>
      </c>
      <c r="I284" s="93">
        <v>2.5731000000000002</v>
      </c>
      <c r="J284" s="103" t="s">
        <v>850</v>
      </c>
      <c r="K284" s="91" t="s">
        <v>1643</v>
      </c>
      <c r="L284" s="91" t="s">
        <v>1897</v>
      </c>
      <c r="M284" s="93">
        <v>0.104</v>
      </c>
      <c r="N284" s="94" t="s">
        <v>2568</v>
      </c>
      <c r="O284" s="93">
        <v>0.104</v>
      </c>
      <c r="P284" s="103" t="s">
        <v>850</v>
      </c>
      <c r="Q284" s="91" t="s">
        <v>1643</v>
      </c>
      <c r="R284" s="91" t="s">
        <v>1897</v>
      </c>
      <c r="S284" s="160"/>
      <c r="T284" s="161"/>
      <c r="U284" s="160"/>
      <c r="V284" s="161"/>
      <c r="W284" s="103"/>
      <c r="X284" s="103"/>
    </row>
    <row r="285" spans="1:24" x14ac:dyDescent="0.25">
      <c r="A285" s="91" t="s">
        <v>1315</v>
      </c>
      <c r="B285" s="92" t="s">
        <v>1316</v>
      </c>
      <c r="C285" s="91" t="s">
        <v>803</v>
      </c>
      <c r="D285" s="91" t="s">
        <v>2001</v>
      </c>
      <c r="E285" s="91" t="s">
        <v>2585</v>
      </c>
      <c r="F285" s="91" t="s">
        <v>1894</v>
      </c>
      <c r="G285" s="93">
        <v>1.5</v>
      </c>
      <c r="H285" s="94" t="s">
        <v>2586</v>
      </c>
      <c r="I285" s="93">
        <v>1.4842</v>
      </c>
      <c r="J285" s="94" t="s">
        <v>1661</v>
      </c>
      <c r="K285" s="91" t="s">
        <v>1643</v>
      </c>
      <c r="L285" s="91" t="s">
        <v>1897</v>
      </c>
      <c r="M285" s="93">
        <v>0.25</v>
      </c>
      <c r="N285" s="94" t="s">
        <v>2020</v>
      </c>
      <c r="O285" s="93">
        <v>0.25</v>
      </c>
      <c r="P285" s="94" t="s">
        <v>2553</v>
      </c>
      <c r="Q285" s="91" t="s">
        <v>1644</v>
      </c>
      <c r="R285" s="91" t="s">
        <v>2587</v>
      </c>
      <c r="S285" s="160"/>
      <c r="T285" s="161"/>
      <c r="U285" s="160"/>
      <c r="V285" s="161"/>
      <c r="W285" s="103"/>
      <c r="X285" s="103"/>
    </row>
    <row r="286" spans="1:24" x14ac:dyDescent="0.25">
      <c r="A286" s="91" t="s">
        <v>1331</v>
      </c>
      <c r="B286" s="92" t="s">
        <v>1332</v>
      </c>
      <c r="C286" s="91" t="s">
        <v>803</v>
      </c>
      <c r="D286" s="91" t="s">
        <v>2607</v>
      </c>
      <c r="E286" s="91" t="s">
        <v>2608</v>
      </c>
      <c r="F286" s="91" t="s">
        <v>1894</v>
      </c>
      <c r="G286" s="93">
        <v>0.03</v>
      </c>
      <c r="H286" s="94" t="s">
        <v>2029</v>
      </c>
      <c r="I286" s="93">
        <v>0.03</v>
      </c>
      <c r="J286" s="94" t="s">
        <v>2609</v>
      </c>
      <c r="K286" s="91" t="s">
        <v>1644</v>
      </c>
      <c r="L286" s="91" t="s">
        <v>1897</v>
      </c>
      <c r="M286" s="93">
        <v>0.02</v>
      </c>
      <c r="N286" s="94" t="s">
        <v>2029</v>
      </c>
      <c r="O286" s="93">
        <v>0.02</v>
      </c>
      <c r="P286" s="94" t="s">
        <v>2609</v>
      </c>
      <c r="Q286" s="91" t="s">
        <v>1644</v>
      </c>
      <c r="R286" s="91" t="s">
        <v>1897</v>
      </c>
      <c r="S286" s="103"/>
      <c r="T286" s="103"/>
      <c r="U286" s="103"/>
      <c r="V286" s="103"/>
      <c r="W286" s="103"/>
      <c r="X286" s="103"/>
    </row>
    <row r="287" spans="1:24" x14ac:dyDescent="0.25">
      <c r="A287" s="91" t="s">
        <v>1341</v>
      </c>
      <c r="B287" s="92" t="s">
        <v>1342</v>
      </c>
      <c r="C287" s="91" t="s">
        <v>803</v>
      </c>
      <c r="D287" s="91" t="s">
        <v>2616</v>
      </c>
      <c r="E287" s="91" t="s">
        <v>2617</v>
      </c>
      <c r="F287" s="91" t="s">
        <v>92</v>
      </c>
      <c r="G287" s="93">
        <v>0.4</v>
      </c>
      <c r="H287" s="94" t="s">
        <v>2129</v>
      </c>
      <c r="I287" s="93">
        <v>0.4</v>
      </c>
      <c r="J287" s="94" t="s">
        <v>2339</v>
      </c>
      <c r="K287" s="91" t="s">
        <v>1644</v>
      </c>
      <c r="L287" s="91" t="s">
        <v>1897</v>
      </c>
      <c r="M287" s="93">
        <v>0.375</v>
      </c>
      <c r="N287" s="94" t="s">
        <v>2244</v>
      </c>
      <c r="O287" s="93">
        <v>0.375</v>
      </c>
      <c r="P287" s="94" t="s">
        <v>2144</v>
      </c>
      <c r="Q287" s="91" t="s">
        <v>1644</v>
      </c>
      <c r="R287" s="91" t="s">
        <v>1998</v>
      </c>
      <c r="S287" s="103"/>
      <c r="T287" s="103"/>
      <c r="U287" s="103"/>
      <c r="V287" s="103"/>
      <c r="W287" s="103"/>
      <c r="X287" s="103"/>
    </row>
    <row r="288" spans="1:24" x14ac:dyDescent="0.25">
      <c r="A288" s="91" t="s">
        <v>1343</v>
      </c>
      <c r="B288" s="92" t="s">
        <v>1344</v>
      </c>
      <c r="C288" s="91" t="s">
        <v>803</v>
      </c>
      <c r="D288" s="91" t="s">
        <v>1919</v>
      </c>
      <c r="E288" s="91" t="s">
        <v>2618</v>
      </c>
      <c r="F288" s="91" t="s">
        <v>1894</v>
      </c>
      <c r="G288" s="93">
        <v>1</v>
      </c>
      <c r="H288" s="94" t="s">
        <v>2619</v>
      </c>
      <c r="I288" s="93">
        <v>0.98880000000000001</v>
      </c>
      <c r="J288" s="103" t="s">
        <v>850</v>
      </c>
      <c r="K288" s="91" t="s">
        <v>1643</v>
      </c>
      <c r="L288" s="91" t="s">
        <v>1897</v>
      </c>
      <c r="M288" s="93">
        <v>0.65</v>
      </c>
      <c r="N288" s="94" t="s">
        <v>2620</v>
      </c>
      <c r="O288" s="93">
        <v>0.65</v>
      </c>
      <c r="P288" s="94" t="s">
        <v>2621</v>
      </c>
      <c r="Q288" s="91" t="s">
        <v>1644</v>
      </c>
      <c r="R288" s="91" t="s">
        <v>1998</v>
      </c>
      <c r="S288" s="103"/>
      <c r="T288" s="103"/>
      <c r="U288" s="103"/>
      <c r="V288" s="103"/>
      <c r="W288" s="103"/>
      <c r="X288" s="103"/>
    </row>
    <row r="289" spans="1:24" x14ac:dyDescent="0.25">
      <c r="A289" s="91" t="s">
        <v>1347</v>
      </c>
      <c r="B289" s="92" t="s">
        <v>1348</v>
      </c>
      <c r="C289" s="91" t="s">
        <v>803</v>
      </c>
      <c r="D289" s="91" t="s">
        <v>1885</v>
      </c>
      <c r="E289" s="91" t="s">
        <v>2624</v>
      </c>
      <c r="F289" s="91" t="s">
        <v>1864</v>
      </c>
      <c r="G289" s="93">
        <v>1</v>
      </c>
      <c r="H289" s="94" t="s">
        <v>2625</v>
      </c>
      <c r="I289" s="93">
        <v>0.64670000000000005</v>
      </c>
      <c r="J289" s="103" t="s">
        <v>850</v>
      </c>
      <c r="K289" s="91" t="s">
        <v>1643</v>
      </c>
      <c r="L289" s="91" t="s">
        <v>1897</v>
      </c>
      <c r="M289" s="93">
        <v>0.85</v>
      </c>
      <c r="N289" s="94" t="s">
        <v>2489</v>
      </c>
      <c r="O289" s="93">
        <v>0.69</v>
      </c>
      <c r="P289" s="103" t="s">
        <v>850</v>
      </c>
      <c r="Q289" s="91" t="s">
        <v>1643</v>
      </c>
      <c r="R289" s="91" t="s">
        <v>1897</v>
      </c>
      <c r="S289" s="103" t="s">
        <v>850</v>
      </c>
      <c r="T289" s="103" t="s">
        <v>850</v>
      </c>
      <c r="U289" s="103" t="s">
        <v>850</v>
      </c>
      <c r="V289" s="103" t="s">
        <v>850</v>
      </c>
      <c r="W289" s="103" t="s">
        <v>850</v>
      </c>
      <c r="X289" s="103" t="s">
        <v>850</v>
      </c>
    </row>
    <row r="290" spans="1:24" x14ac:dyDescent="0.25">
      <c r="A290" s="91" t="s">
        <v>1355</v>
      </c>
      <c r="B290" s="92" t="s">
        <v>1356</v>
      </c>
      <c r="C290" s="91" t="s">
        <v>803</v>
      </c>
      <c r="D290" s="91" t="s">
        <v>2385</v>
      </c>
      <c r="E290" s="91" t="s">
        <v>2634</v>
      </c>
      <c r="F290" s="91" t="s">
        <v>1894</v>
      </c>
      <c r="G290" s="93">
        <v>1</v>
      </c>
      <c r="H290" s="94" t="s">
        <v>2635</v>
      </c>
      <c r="I290" s="93">
        <v>1</v>
      </c>
      <c r="J290" s="94" t="s">
        <v>2636</v>
      </c>
      <c r="K290" s="91" t="s">
        <v>1644</v>
      </c>
      <c r="L290" s="91" t="s">
        <v>1897</v>
      </c>
      <c r="M290" s="93">
        <v>0.3</v>
      </c>
      <c r="N290" s="94" t="s">
        <v>2637</v>
      </c>
      <c r="O290" s="93">
        <v>0.28039999999999998</v>
      </c>
      <c r="P290" s="94" t="s">
        <v>1661</v>
      </c>
      <c r="Q290" s="91" t="s">
        <v>1643</v>
      </c>
      <c r="R290" s="91" t="s">
        <v>1897</v>
      </c>
      <c r="S290" s="93">
        <v>0.5</v>
      </c>
      <c r="T290" s="94" t="s">
        <v>2638</v>
      </c>
      <c r="U290" s="93">
        <v>0.4703</v>
      </c>
      <c r="V290" s="94" t="s">
        <v>1661</v>
      </c>
      <c r="W290" s="91" t="s">
        <v>1643</v>
      </c>
      <c r="X290" s="91" t="s">
        <v>1897</v>
      </c>
    </row>
    <row r="291" spans="1:24" x14ac:dyDescent="0.25">
      <c r="A291" s="91" t="s">
        <v>1365</v>
      </c>
      <c r="B291" s="92" t="s">
        <v>1366</v>
      </c>
      <c r="C291" s="91" t="s">
        <v>803</v>
      </c>
      <c r="D291" s="91" t="s">
        <v>1903</v>
      </c>
      <c r="E291" s="91" t="s">
        <v>2648</v>
      </c>
      <c r="F291" s="91" t="s">
        <v>1894</v>
      </c>
      <c r="G291" s="93">
        <v>1</v>
      </c>
      <c r="H291" s="94" t="s">
        <v>2649</v>
      </c>
      <c r="I291" s="93">
        <v>0.86</v>
      </c>
      <c r="J291" s="103" t="s">
        <v>850</v>
      </c>
      <c r="K291" s="91" t="s">
        <v>1643</v>
      </c>
      <c r="L291" s="91" t="s">
        <v>1889</v>
      </c>
      <c r="M291" s="93">
        <v>1</v>
      </c>
      <c r="N291" s="94" t="s">
        <v>2650</v>
      </c>
      <c r="O291" s="93">
        <v>0.95409999999999995</v>
      </c>
      <c r="P291" s="103" t="s">
        <v>850</v>
      </c>
      <c r="Q291" s="91" t="s">
        <v>1643</v>
      </c>
      <c r="R291" s="91" t="s">
        <v>1889</v>
      </c>
      <c r="S291" s="93">
        <v>0.4</v>
      </c>
      <c r="T291" s="94" t="s">
        <v>2651</v>
      </c>
      <c r="U291" s="93">
        <v>0.4</v>
      </c>
      <c r="V291" s="94" t="s">
        <v>2186</v>
      </c>
      <c r="W291" s="91" t="s">
        <v>1644</v>
      </c>
      <c r="X291" s="91" t="s">
        <v>1897</v>
      </c>
    </row>
    <row r="292" spans="1:24" x14ac:dyDescent="0.25">
      <c r="A292" s="91" t="s">
        <v>1381</v>
      </c>
      <c r="B292" s="92" t="s">
        <v>1382</v>
      </c>
      <c r="C292" s="91" t="s">
        <v>803</v>
      </c>
      <c r="D292" s="91" t="s">
        <v>2073</v>
      </c>
      <c r="E292" s="91" t="s">
        <v>2677</v>
      </c>
      <c r="F292" s="91" t="s">
        <v>1894</v>
      </c>
      <c r="G292" s="93">
        <v>1.9605999999999999</v>
      </c>
      <c r="H292" s="94" t="s">
        <v>2678</v>
      </c>
      <c r="I292" s="93">
        <v>1.9605999999999999</v>
      </c>
      <c r="J292" s="94" t="s">
        <v>2679</v>
      </c>
      <c r="K292" s="91" t="s">
        <v>1644</v>
      </c>
      <c r="L292" s="91" t="s">
        <v>1889</v>
      </c>
      <c r="M292" s="103" t="s">
        <v>850</v>
      </c>
      <c r="N292" s="103" t="s">
        <v>850</v>
      </c>
      <c r="O292" s="103" t="s">
        <v>850</v>
      </c>
      <c r="P292" s="103" t="s">
        <v>850</v>
      </c>
      <c r="Q292" s="103"/>
      <c r="R292" s="103" t="s">
        <v>850</v>
      </c>
      <c r="S292" s="103" t="s">
        <v>850</v>
      </c>
      <c r="T292" s="103" t="s">
        <v>850</v>
      </c>
      <c r="U292" s="103" t="s">
        <v>850</v>
      </c>
      <c r="V292" s="103" t="s">
        <v>850</v>
      </c>
      <c r="W292" s="103"/>
      <c r="X292" s="103" t="s">
        <v>850</v>
      </c>
    </row>
    <row r="293" spans="1:24" x14ac:dyDescent="0.25">
      <c r="A293" s="91" t="s">
        <v>1383</v>
      </c>
      <c r="B293" s="92" t="s">
        <v>1384</v>
      </c>
      <c r="C293" s="91" t="s">
        <v>803</v>
      </c>
      <c r="D293" s="91" t="s">
        <v>1944</v>
      </c>
      <c r="E293" s="91" t="s">
        <v>2680</v>
      </c>
      <c r="F293" s="91" t="s">
        <v>1894</v>
      </c>
      <c r="G293" s="93">
        <v>1.2339</v>
      </c>
      <c r="H293" s="94" t="s">
        <v>2681</v>
      </c>
      <c r="I293" s="93">
        <v>1.2339</v>
      </c>
      <c r="J293" s="94" t="s">
        <v>2404</v>
      </c>
      <c r="K293" s="91" t="s">
        <v>1644</v>
      </c>
      <c r="L293" s="91" t="s">
        <v>1897</v>
      </c>
      <c r="M293" s="93">
        <v>1</v>
      </c>
      <c r="N293" s="94" t="s">
        <v>2682</v>
      </c>
      <c r="O293" s="93">
        <v>0.72</v>
      </c>
      <c r="P293" s="94" t="s">
        <v>2683</v>
      </c>
      <c r="Q293" s="91" t="s">
        <v>1644</v>
      </c>
      <c r="R293" s="91" t="s">
        <v>1998</v>
      </c>
      <c r="S293" s="160"/>
      <c r="T293" s="103" t="s">
        <v>850</v>
      </c>
      <c r="U293" s="103" t="s">
        <v>850</v>
      </c>
      <c r="V293" s="103" t="s">
        <v>850</v>
      </c>
      <c r="W293" s="103"/>
      <c r="X293" s="103" t="s">
        <v>850</v>
      </c>
    </row>
    <row r="294" spans="1:24" x14ac:dyDescent="0.25">
      <c r="A294" s="91" t="s">
        <v>1387</v>
      </c>
      <c r="B294" s="92" t="s">
        <v>1388</v>
      </c>
      <c r="C294" s="91" t="s">
        <v>803</v>
      </c>
      <c r="D294" s="91" t="s">
        <v>2685</v>
      </c>
      <c r="E294" s="91" t="s">
        <v>2686</v>
      </c>
      <c r="F294" s="91" t="s">
        <v>1894</v>
      </c>
      <c r="G294" s="93">
        <v>1</v>
      </c>
      <c r="H294" s="94" t="s">
        <v>2687</v>
      </c>
      <c r="I294" s="93">
        <v>1</v>
      </c>
      <c r="J294" s="94" t="s">
        <v>2083</v>
      </c>
      <c r="K294" s="91" t="s">
        <v>1644</v>
      </c>
      <c r="L294" s="91" t="s">
        <v>1889</v>
      </c>
      <c r="M294" s="103" t="s">
        <v>850</v>
      </c>
      <c r="N294" s="103" t="s">
        <v>850</v>
      </c>
      <c r="O294" s="103" t="s">
        <v>850</v>
      </c>
      <c r="P294" s="103" t="s">
        <v>850</v>
      </c>
      <c r="Q294" s="91" t="s">
        <v>1644</v>
      </c>
      <c r="R294" s="103" t="s">
        <v>850</v>
      </c>
      <c r="S294" s="103" t="s">
        <v>850</v>
      </c>
      <c r="T294" s="103" t="s">
        <v>850</v>
      </c>
      <c r="U294" s="103" t="s">
        <v>850</v>
      </c>
      <c r="V294" s="103" t="s">
        <v>850</v>
      </c>
      <c r="W294" s="103"/>
      <c r="X294" s="103" t="s">
        <v>850</v>
      </c>
    </row>
    <row r="295" spans="1:24" x14ac:dyDescent="0.25">
      <c r="A295" s="91" t="s">
        <v>1421</v>
      </c>
      <c r="B295" s="92" t="s">
        <v>1422</v>
      </c>
      <c r="C295" s="91" t="s">
        <v>803</v>
      </c>
      <c r="D295" s="91" t="s">
        <v>1925</v>
      </c>
      <c r="E295" s="91" t="s">
        <v>2720</v>
      </c>
      <c r="F295" s="91" t="s">
        <v>88</v>
      </c>
      <c r="G295" s="93">
        <v>0.8</v>
      </c>
      <c r="H295" s="94" t="s">
        <v>2721</v>
      </c>
      <c r="I295" s="93">
        <v>0.8</v>
      </c>
      <c r="J295" s="94" t="s">
        <v>2722</v>
      </c>
      <c r="K295" s="91" t="s">
        <v>1643</v>
      </c>
      <c r="L295" s="103" t="s">
        <v>850</v>
      </c>
      <c r="M295" s="103" t="s">
        <v>850</v>
      </c>
      <c r="N295" s="103" t="s">
        <v>850</v>
      </c>
      <c r="O295" s="103" t="s">
        <v>850</v>
      </c>
      <c r="P295" s="103" t="s">
        <v>850</v>
      </c>
      <c r="Q295" s="103" t="s">
        <v>850</v>
      </c>
      <c r="R295" s="103" t="s">
        <v>850</v>
      </c>
      <c r="S295" s="103" t="s">
        <v>850</v>
      </c>
      <c r="T295" s="103" t="s">
        <v>850</v>
      </c>
      <c r="U295" s="103" t="s">
        <v>850</v>
      </c>
      <c r="V295" s="103" t="s">
        <v>850</v>
      </c>
      <c r="W295" s="103" t="s">
        <v>850</v>
      </c>
      <c r="X295" s="103" t="s">
        <v>850</v>
      </c>
    </row>
    <row r="296" spans="1:24" x14ac:dyDescent="0.25">
      <c r="A296" s="91" t="s">
        <v>1447</v>
      </c>
      <c r="B296" s="92" t="s">
        <v>1448</v>
      </c>
      <c r="C296" s="91" t="s">
        <v>803</v>
      </c>
      <c r="D296" s="91" t="s">
        <v>1948</v>
      </c>
      <c r="E296" s="91" t="s">
        <v>2750</v>
      </c>
      <c r="F296" s="91" t="s">
        <v>1894</v>
      </c>
      <c r="G296" s="93">
        <v>1.25</v>
      </c>
      <c r="H296" s="94" t="s">
        <v>2751</v>
      </c>
      <c r="I296" s="93">
        <v>1.0820000000000001</v>
      </c>
      <c r="J296" s="103" t="s">
        <v>850</v>
      </c>
      <c r="K296" s="91" t="s">
        <v>1643</v>
      </c>
      <c r="L296" s="91" t="s">
        <v>1897</v>
      </c>
      <c r="M296" s="93">
        <v>0.495</v>
      </c>
      <c r="N296" s="94" t="s">
        <v>2752</v>
      </c>
      <c r="O296" s="93">
        <v>0.48039999999999999</v>
      </c>
      <c r="P296" s="94" t="s">
        <v>2753</v>
      </c>
      <c r="Q296" s="91" t="s">
        <v>1644</v>
      </c>
      <c r="R296" s="91" t="s">
        <v>1897</v>
      </c>
      <c r="S296" s="103" t="s">
        <v>850</v>
      </c>
      <c r="T296" s="103" t="s">
        <v>850</v>
      </c>
      <c r="U296" s="103" t="s">
        <v>850</v>
      </c>
      <c r="V296" s="103" t="s">
        <v>850</v>
      </c>
      <c r="W296" s="103"/>
      <c r="X296" s="103" t="s">
        <v>850</v>
      </c>
    </row>
    <row r="297" spans="1:24" x14ac:dyDescent="0.25">
      <c r="A297" s="91" t="s">
        <v>1490</v>
      </c>
      <c r="B297" s="92" t="s">
        <v>1491</v>
      </c>
      <c r="C297" s="91" t="s">
        <v>803</v>
      </c>
      <c r="D297" s="91" t="s">
        <v>1926</v>
      </c>
      <c r="E297" s="91" t="s">
        <v>2799</v>
      </c>
      <c r="F297" s="91" t="s">
        <v>1894</v>
      </c>
      <c r="G297" s="93">
        <v>1.2</v>
      </c>
      <c r="H297" s="94" t="s">
        <v>2800</v>
      </c>
      <c r="I297" s="93">
        <v>1.1400999999999999</v>
      </c>
      <c r="J297" s="94" t="s">
        <v>2801</v>
      </c>
      <c r="K297" s="91" t="s">
        <v>1644</v>
      </c>
      <c r="L297" s="91" t="s">
        <v>1897</v>
      </c>
      <c r="M297" s="93">
        <v>0.6</v>
      </c>
      <c r="N297" s="94" t="s">
        <v>2802</v>
      </c>
      <c r="O297" s="93">
        <v>0.55259999999999998</v>
      </c>
      <c r="P297" s="94" t="s">
        <v>1888</v>
      </c>
      <c r="Q297" s="91" t="s">
        <v>1643</v>
      </c>
      <c r="R297" s="91" t="s">
        <v>1897</v>
      </c>
      <c r="S297" s="93">
        <v>0.6</v>
      </c>
      <c r="T297" s="94" t="s">
        <v>2803</v>
      </c>
      <c r="U297" s="93">
        <v>0.43</v>
      </c>
      <c r="V297" s="94" t="s">
        <v>2186</v>
      </c>
      <c r="W297" s="91" t="s">
        <v>1644</v>
      </c>
      <c r="X297" s="91" t="s">
        <v>1998</v>
      </c>
    </row>
    <row r="298" spans="1:24" x14ac:dyDescent="0.25">
      <c r="A298" s="91" t="s">
        <v>1492</v>
      </c>
      <c r="B298" s="92" t="s">
        <v>1493</v>
      </c>
      <c r="C298" s="91" t="s">
        <v>803</v>
      </c>
      <c r="D298" s="91" t="s">
        <v>1885</v>
      </c>
      <c r="E298" s="91" t="s">
        <v>2804</v>
      </c>
      <c r="F298" s="91" t="s">
        <v>1864</v>
      </c>
      <c r="G298" s="93">
        <v>0.5</v>
      </c>
      <c r="H298" s="94" t="s">
        <v>2805</v>
      </c>
      <c r="I298" s="93">
        <v>0.40860000000000002</v>
      </c>
      <c r="J298" s="103" t="s">
        <v>850</v>
      </c>
      <c r="K298" s="91" t="s">
        <v>1643</v>
      </c>
      <c r="L298" s="91" t="s">
        <v>1897</v>
      </c>
      <c r="M298" s="93">
        <v>0.5</v>
      </c>
      <c r="N298" s="94" t="s">
        <v>2428</v>
      </c>
      <c r="O298" s="93">
        <v>0.48970000000000002</v>
      </c>
      <c r="P298" s="103" t="s">
        <v>850</v>
      </c>
      <c r="Q298" s="91" t="s">
        <v>1643</v>
      </c>
      <c r="R298" s="91" t="s">
        <v>1897</v>
      </c>
      <c r="S298" s="103"/>
      <c r="T298" s="103"/>
      <c r="U298" s="103"/>
      <c r="V298" s="103"/>
      <c r="W298" s="103"/>
      <c r="X298" s="103"/>
    </row>
    <row r="299" spans="1:24" x14ac:dyDescent="0.25">
      <c r="A299" s="91" t="s">
        <v>1498</v>
      </c>
      <c r="B299" s="92" t="s">
        <v>1499</v>
      </c>
      <c r="C299" s="91" t="s">
        <v>803</v>
      </c>
      <c r="D299" s="91" t="s">
        <v>2068</v>
      </c>
      <c r="E299" s="91" t="s">
        <v>2810</v>
      </c>
      <c r="F299" s="91" t="s">
        <v>1894</v>
      </c>
      <c r="G299" s="93">
        <v>1.1000000000000001</v>
      </c>
      <c r="H299" s="94" t="s">
        <v>2116</v>
      </c>
      <c r="I299" s="93">
        <v>1.0981000000000001</v>
      </c>
      <c r="J299" s="94" t="s">
        <v>2811</v>
      </c>
      <c r="K299" s="91" t="s">
        <v>1644</v>
      </c>
      <c r="L299" s="91" t="s">
        <v>1897</v>
      </c>
      <c r="M299" s="160"/>
      <c r="N299" s="103"/>
      <c r="O299" s="160"/>
      <c r="P299" s="103"/>
      <c r="Q299" s="103"/>
      <c r="R299" s="103" t="s">
        <v>850</v>
      </c>
      <c r="S299" s="103"/>
      <c r="T299" s="103"/>
      <c r="U299" s="103"/>
      <c r="V299" s="103"/>
      <c r="W299" s="103"/>
      <c r="X299" s="103"/>
    </row>
    <row r="300" spans="1:24" x14ac:dyDescent="0.25">
      <c r="A300" s="91" t="s">
        <v>1516</v>
      </c>
      <c r="B300" s="92" t="s">
        <v>1517</v>
      </c>
      <c r="C300" s="91" t="s">
        <v>803</v>
      </c>
      <c r="D300" s="91" t="s">
        <v>1892</v>
      </c>
      <c r="E300" s="91" t="s">
        <v>2828</v>
      </c>
      <c r="F300" s="91" t="s">
        <v>1894</v>
      </c>
      <c r="G300" s="93">
        <v>1.35</v>
      </c>
      <c r="H300" s="94" t="s">
        <v>2829</v>
      </c>
      <c r="I300" s="93">
        <v>1.3</v>
      </c>
      <c r="J300" s="94" t="s">
        <v>2830</v>
      </c>
      <c r="K300" s="91" t="s">
        <v>1644</v>
      </c>
      <c r="L300" s="91" t="s">
        <v>1897</v>
      </c>
      <c r="M300" s="103"/>
      <c r="N300" s="103"/>
      <c r="O300" s="103"/>
      <c r="P300" s="103"/>
      <c r="Q300" s="103"/>
      <c r="R300" s="103" t="s">
        <v>850</v>
      </c>
      <c r="S300" s="103"/>
      <c r="T300" s="103"/>
      <c r="U300" s="103"/>
      <c r="V300" s="103"/>
      <c r="W300" s="103"/>
      <c r="X300" s="103"/>
    </row>
    <row r="301" spans="1:24" x14ac:dyDescent="0.25">
      <c r="A301" s="91" t="s">
        <v>1528</v>
      </c>
      <c r="B301" s="92" t="s">
        <v>1529</v>
      </c>
      <c r="C301" s="91" t="s">
        <v>803</v>
      </c>
      <c r="D301" s="91" t="s">
        <v>2205</v>
      </c>
      <c r="E301" s="91" t="s">
        <v>2843</v>
      </c>
      <c r="F301" s="91" t="s">
        <v>2075</v>
      </c>
      <c r="G301" s="103" t="s">
        <v>850</v>
      </c>
      <c r="H301" s="103"/>
      <c r="I301" s="103"/>
      <c r="J301" s="103"/>
      <c r="K301" s="103"/>
      <c r="L301" s="103"/>
      <c r="M301" s="103"/>
      <c r="N301" s="103"/>
      <c r="O301" s="103"/>
      <c r="P301" s="103"/>
      <c r="Q301" s="103"/>
      <c r="R301" s="103" t="s">
        <v>850</v>
      </c>
      <c r="S301" s="103"/>
      <c r="T301" s="103"/>
      <c r="U301" s="103"/>
      <c r="V301" s="103"/>
      <c r="W301" s="103"/>
      <c r="X301" s="103"/>
    </row>
    <row r="302" spans="1:24" x14ac:dyDescent="0.25">
      <c r="A302" s="91" t="s">
        <v>1532</v>
      </c>
      <c r="B302" s="92" t="s">
        <v>1533</v>
      </c>
      <c r="C302" s="91" t="s">
        <v>803</v>
      </c>
      <c r="D302" s="91" t="s">
        <v>2068</v>
      </c>
      <c r="E302" s="91" t="s">
        <v>2847</v>
      </c>
      <c r="F302" s="91" t="s">
        <v>88</v>
      </c>
      <c r="G302" s="93">
        <v>1.75</v>
      </c>
      <c r="H302" s="94" t="s">
        <v>2848</v>
      </c>
      <c r="I302" s="93">
        <v>1.68</v>
      </c>
      <c r="J302" s="94" t="s">
        <v>1661</v>
      </c>
      <c r="K302" s="91" t="s">
        <v>1643</v>
      </c>
      <c r="L302" s="91" t="s">
        <v>1897</v>
      </c>
      <c r="M302" s="160"/>
      <c r="N302" s="103"/>
      <c r="O302" s="160"/>
      <c r="P302" s="103"/>
      <c r="Q302" s="103"/>
      <c r="R302" s="103" t="s">
        <v>850</v>
      </c>
      <c r="S302" s="160"/>
      <c r="T302" s="103"/>
      <c r="U302" s="160"/>
      <c r="V302" s="103"/>
      <c r="W302" s="103"/>
      <c r="X302" s="103"/>
    </row>
    <row r="303" spans="1:24" x14ac:dyDescent="0.25">
      <c r="A303" s="91" t="s">
        <v>1552</v>
      </c>
      <c r="B303" s="92" t="s">
        <v>1553</v>
      </c>
      <c r="C303" s="91" t="s">
        <v>803</v>
      </c>
      <c r="D303" s="91" t="s">
        <v>1964</v>
      </c>
      <c r="E303" s="91" t="s">
        <v>2519</v>
      </c>
      <c r="F303" s="91" t="s">
        <v>1894</v>
      </c>
      <c r="G303" s="93">
        <v>1</v>
      </c>
      <c r="H303" s="94" t="s">
        <v>2869</v>
      </c>
      <c r="I303" s="93">
        <v>0.83179999999999998</v>
      </c>
      <c r="J303" s="103" t="s">
        <v>850</v>
      </c>
      <c r="K303" s="91" t="s">
        <v>1643</v>
      </c>
      <c r="L303" s="91" t="s">
        <v>2870</v>
      </c>
      <c r="M303" s="103"/>
      <c r="N303" s="103"/>
      <c r="O303" s="103"/>
      <c r="P303" s="103"/>
      <c r="Q303" s="103"/>
      <c r="R303" s="103" t="s">
        <v>850</v>
      </c>
      <c r="S303" s="103"/>
      <c r="T303" s="103"/>
      <c r="U303" s="103"/>
      <c r="V303" s="103"/>
      <c r="W303" s="103"/>
      <c r="X303" s="103"/>
    </row>
    <row r="304" spans="1:24" x14ac:dyDescent="0.25">
      <c r="A304" s="91" t="s">
        <v>1572</v>
      </c>
      <c r="B304" s="92" t="s">
        <v>1573</v>
      </c>
      <c r="C304" s="91" t="s">
        <v>803</v>
      </c>
      <c r="D304" s="91" t="s">
        <v>1925</v>
      </c>
      <c r="E304" s="91" t="s">
        <v>2887</v>
      </c>
      <c r="F304" s="91" t="s">
        <v>88</v>
      </c>
      <c r="G304" s="93">
        <v>0.99</v>
      </c>
      <c r="H304" s="103" t="s">
        <v>850</v>
      </c>
      <c r="I304" s="93">
        <v>0.99</v>
      </c>
      <c r="J304" s="103" t="s">
        <v>850</v>
      </c>
      <c r="K304" s="91" t="s">
        <v>1643</v>
      </c>
      <c r="L304" s="103" t="s">
        <v>850</v>
      </c>
      <c r="M304" s="93">
        <v>1</v>
      </c>
      <c r="N304" s="94" t="s">
        <v>2020</v>
      </c>
      <c r="O304" s="93">
        <v>1</v>
      </c>
      <c r="P304" s="94" t="s">
        <v>2888</v>
      </c>
      <c r="Q304" s="91" t="s">
        <v>1644</v>
      </c>
      <c r="R304" s="103" t="s">
        <v>850</v>
      </c>
      <c r="S304" s="160"/>
      <c r="T304" s="103"/>
      <c r="U304" s="160"/>
      <c r="V304" s="103"/>
      <c r="W304" s="103"/>
      <c r="X304" s="103"/>
    </row>
    <row r="305" spans="1:24" x14ac:dyDescent="0.25">
      <c r="A305" s="91" t="s">
        <v>1598</v>
      </c>
      <c r="B305" s="92" t="s">
        <v>1599</v>
      </c>
      <c r="C305" s="91" t="s">
        <v>803</v>
      </c>
      <c r="D305" s="91" t="s">
        <v>1885</v>
      </c>
      <c r="E305" s="91" t="s">
        <v>2919</v>
      </c>
      <c r="F305" s="91" t="s">
        <v>88</v>
      </c>
      <c r="G305" s="93">
        <v>1.08</v>
      </c>
      <c r="H305" s="94" t="s">
        <v>1946</v>
      </c>
      <c r="I305" s="93">
        <v>1.0751999999999999</v>
      </c>
      <c r="J305" s="94" t="s">
        <v>2920</v>
      </c>
      <c r="K305" s="91" t="s">
        <v>1644</v>
      </c>
      <c r="L305" s="91" t="s">
        <v>1897</v>
      </c>
      <c r="M305" s="160"/>
      <c r="N305" s="103"/>
      <c r="O305" s="160"/>
      <c r="P305" s="103"/>
      <c r="Q305" s="103"/>
      <c r="R305" s="103" t="s">
        <v>850</v>
      </c>
      <c r="S305" s="160"/>
      <c r="T305" s="103"/>
      <c r="U305" s="160"/>
      <c r="V305" s="103"/>
      <c r="W305" s="103"/>
      <c r="X305" s="103"/>
    </row>
    <row r="306" spans="1:24" x14ac:dyDescent="0.25">
      <c r="A306" s="95" t="s">
        <v>820</v>
      </c>
      <c r="B306" s="96" t="s">
        <v>821</v>
      </c>
      <c r="C306" s="95" t="s">
        <v>822</v>
      </c>
      <c r="D306" s="95" t="s">
        <v>1925</v>
      </c>
      <c r="E306" s="95" t="s">
        <v>3454</v>
      </c>
      <c r="F306" s="95" t="s">
        <v>88</v>
      </c>
      <c r="G306" s="103" t="s">
        <v>850</v>
      </c>
      <c r="H306" s="103" t="s">
        <v>850</v>
      </c>
      <c r="I306" s="103" t="s">
        <v>850</v>
      </c>
      <c r="J306" s="103" t="s">
        <v>850</v>
      </c>
      <c r="K306" s="103" t="s">
        <v>850</v>
      </c>
      <c r="L306" s="103" t="s">
        <v>850</v>
      </c>
      <c r="M306" s="103" t="s">
        <v>850</v>
      </c>
      <c r="N306" s="103" t="s">
        <v>850</v>
      </c>
      <c r="O306" s="103" t="s">
        <v>850</v>
      </c>
      <c r="P306" s="103" t="s">
        <v>850</v>
      </c>
      <c r="Q306" s="103" t="s">
        <v>850</v>
      </c>
      <c r="R306" s="103" t="s">
        <v>850</v>
      </c>
      <c r="S306" s="103"/>
      <c r="T306" s="103"/>
      <c r="U306" s="103"/>
      <c r="V306" s="103"/>
      <c r="W306" s="103"/>
      <c r="X306" s="103"/>
    </row>
    <row r="307" spans="1:24" x14ac:dyDescent="0.25">
      <c r="A307" s="95" t="s">
        <v>823</v>
      </c>
      <c r="B307" s="96" t="s">
        <v>824</v>
      </c>
      <c r="C307" s="95" t="s">
        <v>822</v>
      </c>
      <c r="D307" s="95" t="s">
        <v>1926</v>
      </c>
      <c r="E307" s="95" t="s">
        <v>1927</v>
      </c>
      <c r="F307" s="95" t="s">
        <v>1864</v>
      </c>
      <c r="G307" s="97">
        <v>0.25</v>
      </c>
      <c r="H307" s="98" t="s">
        <v>1928</v>
      </c>
      <c r="I307" s="97">
        <v>0.25</v>
      </c>
      <c r="J307" s="98" t="s">
        <v>1929</v>
      </c>
      <c r="K307" s="95" t="s">
        <v>1644</v>
      </c>
      <c r="L307" s="95" t="s">
        <v>1897</v>
      </c>
      <c r="M307" s="103"/>
      <c r="N307" s="103"/>
      <c r="O307" s="103"/>
      <c r="P307" s="103"/>
      <c r="Q307" s="103"/>
      <c r="R307" s="103" t="s">
        <v>850</v>
      </c>
      <c r="S307" s="103"/>
      <c r="T307" s="103"/>
      <c r="U307" s="103"/>
      <c r="V307" s="103"/>
      <c r="W307" s="103"/>
      <c r="X307" s="103"/>
    </row>
    <row r="308" spans="1:24" x14ac:dyDescent="0.25">
      <c r="A308" s="95" t="s">
        <v>831</v>
      </c>
      <c r="B308" s="96" t="s">
        <v>832</v>
      </c>
      <c r="C308" s="95" t="s">
        <v>822</v>
      </c>
      <c r="D308" s="95" t="s">
        <v>1939</v>
      </c>
      <c r="E308" s="95" t="s">
        <v>1939</v>
      </c>
      <c r="F308" s="95" t="s">
        <v>92</v>
      </c>
      <c r="G308" s="97">
        <v>0.75</v>
      </c>
      <c r="H308" s="98" t="s">
        <v>1940</v>
      </c>
      <c r="I308" s="97">
        <v>0.75</v>
      </c>
      <c r="J308" s="98" t="s">
        <v>1941</v>
      </c>
      <c r="K308" s="95" t="s">
        <v>1644</v>
      </c>
      <c r="L308" s="95" t="s">
        <v>1897</v>
      </c>
      <c r="M308" s="97">
        <v>0.25</v>
      </c>
      <c r="N308" s="98" t="s">
        <v>1942</v>
      </c>
      <c r="O308" s="97">
        <v>0.25</v>
      </c>
      <c r="P308" s="98" t="s">
        <v>1943</v>
      </c>
      <c r="Q308" s="95" t="s">
        <v>1644</v>
      </c>
      <c r="R308" s="95" t="s">
        <v>1889</v>
      </c>
      <c r="S308" s="103"/>
      <c r="T308" s="103"/>
      <c r="U308" s="103"/>
      <c r="V308" s="103"/>
      <c r="W308" s="103"/>
      <c r="X308" s="103"/>
    </row>
    <row r="309" spans="1:24" x14ac:dyDescent="0.25">
      <c r="A309" s="95" t="s">
        <v>855</v>
      </c>
      <c r="B309" s="96" t="s">
        <v>856</v>
      </c>
      <c r="C309" s="95" t="s">
        <v>822</v>
      </c>
      <c r="D309" s="95" t="s">
        <v>1885</v>
      </c>
      <c r="E309" s="95" t="s">
        <v>1974</v>
      </c>
      <c r="F309" s="95" t="s">
        <v>88</v>
      </c>
      <c r="G309" s="97">
        <v>1.75</v>
      </c>
      <c r="H309" s="98" t="s">
        <v>1975</v>
      </c>
      <c r="I309" s="97">
        <v>1.3891</v>
      </c>
      <c r="J309" s="103" t="s">
        <v>850</v>
      </c>
      <c r="K309" s="95" t="s">
        <v>1643</v>
      </c>
      <c r="L309" s="95" t="s">
        <v>1897</v>
      </c>
      <c r="M309" s="160"/>
      <c r="N309" s="103"/>
      <c r="O309" s="160"/>
      <c r="P309" s="103"/>
      <c r="Q309" s="103"/>
      <c r="R309" s="103" t="s">
        <v>850</v>
      </c>
      <c r="S309" s="160"/>
      <c r="T309" s="103"/>
      <c r="U309" s="160"/>
      <c r="V309" s="103"/>
      <c r="W309" s="103"/>
      <c r="X309" s="103"/>
    </row>
    <row r="310" spans="1:24" x14ac:dyDescent="0.25">
      <c r="A310" s="95" t="s">
        <v>867</v>
      </c>
      <c r="B310" s="96" t="s">
        <v>868</v>
      </c>
      <c r="C310" s="95" t="s">
        <v>822</v>
      </c>
      <c r="D310" s="95" t="s">
        <v>1925</v>
      </c>
      <c r="E310" s="95" t="s">
        <v>1993</v>
      </c>
      <c r="F310" s="95" t="s">
        <v>1894</v>
      </c>
      <c r="G310" s="97">
        <v>0.7</v>
      </c>
      <c r="H310" s="98" t="s">
        <v>1994</v>
      </c>
      <c r="I310" s="97">
        <v>0.69299999999999995</v>
      </c>
      <c r="J310" s="98" t="s">
        <v>1995</v>
      </c>
      <c r="K310" s="95" t="s">
        <v>1644</v>
      </c>
      <c r="L310" s="95" t="s">
        <v>1897</v>
      </c>
      <c r="M310" s="97">
        <v>0.75</v>
      </c>
      <c r="N310" s="98" t="s">
        <v>1996</v>
      </c>
      <c r="O310" s="97">
        <v>0.74250000000000005</v>
      </c>
      <c r="P310" s="98" t="s">
        <v>1997</v>
      </c>
      <c r="Q310" s="95" t="s">
        <v>1644</v>
      </c>
      <c r="R310" s="95" t="s">
        <v>1897</v>
      </c>
      <c r="S310" s="97">
        <v>0.75</v>
      </c>
      <c r="T310" s="98" t="s">
        <v>1996</v>
      </c>
      <c r="U310" s="97">
        <v>0.64</v>
      </c>
      <c r="V310" s="98" t="s">
        <v>1997</v>
      </c>
      <c r="W310" s="95" t="s">
        <v>1644</v>
      </c>
      <c r="X310" s="95" t="s">
        <v>1998</v>
      </c>
    </row>
    <row r="311" spans="1:24" x14ac:dyDescent="0.25">
      <c r="A311" s="95" t="s">
        <v>891</v>
      </c>
      <c r="B311" s="96" t="s">
        <v>892</v>
      </c>
      <c r="C311" s="95" t="s">
        <v>822</v>
      </c>
      <c r="D311" s="95" t="s">
        <v>1885</v>
      </c>
      <c r="E311" s="95" t="s">
        <v>2026</v>
      </c>
      <c r="F311" s="95" t="s">
        <v>1864</v>
      </c>
      <c r="G311" s="97">
        <v>1</v>
      </c>
      <c r="H311" s="98" t="s">
        <v>2027</v>
      </c>
      <c r="I311" s="97">
        <v>0.67889999999999995</v>
      </c>
      <c r="J311" s="103" t="s">
        <v>850</v>
      </c>
      <c r="K311" s="95" t="s">
        <v>1643</v>
      </c>
      <c r="L311" s="95" t="s">
        <v>1897</v>
      </c>
      <c r="M311" s="97">
        <v>0.78739999999999999</v>
      </c>
      <c r="N311" s="98" t="s">
        <v>2028</v>
      </c>
      <c r="O311" s="97">
        <v>0.72540000000000004</v>
      </c>
      <c r="P311" s="103" t="s">
        <v>850</v>
      </c>
      <c r="Q311" s="95" t="s">
        <v>1643</v>
      </c>
      <c r="R311" s="95" t="s">
        <v>1897</v>
      </c>
      <c r="S311" s="97">
        <v>0.54100000000000004</v>
      </c>
      <c r="T311" s="98" t="s">
        <v>2029</v>
      </c>
      <c r="U311" s="97">
        <v>0.52110000000000001</v>
      </c>
      <c r="V311" s="98" t="s">
        <v>2030</v>
      </c>
      <c r="W311" s="95" t="s">
        <v>1644</v>
      </c>
      <c r="X311" s="95" t="s">
        <v>1897</v>
      </c>
    </row>
    <row r="312" spans="1:24" x14ac:dyDescent="0.25">
      <c r="A312" s="95" t="s">
        <v>897</v>
      </c>
      <c r="B312" s="96" t="s">
        <v>898</v>
      </c>
      <c r="C312" s="95" t="s">
        <v>822</v>
      </c>
      <c r="D312" s="95" t="s">
        <v>2033</v>
      </c>
      <c r="E312" s="95" t="s">
        <v>2034</v>
      </c>
      <c r="F312" s="95" t="s">
        <v>1894</v>
      </c>
      <c r="G312" s="97">
        <v>0.6048</v>
      </c>
      <c r="H312" s="98" t="s">
        <v>2035</v>
      </c>
      <c r="I312" s="97">
        <v>0.6048</v>
      </c>
      <c r="J312" s="98" t="s">
        <v>2036</v>
      </c>
      <c r="K312" s="95" t="s">
        <v>1643</v>
      </c>
      <c r="L312" s="95" t="s">
        <v>1889</v>
      </c>
      <c r="M312" s="97">
        <v>0.49990000000000001</v>
      </c>
      <c r="N312" s="98" t="s">
        <v>2037</v>
      </c>
      <c r="O312" s="97">
        <v>0.49990000000000001</v>
      </c>
      <c r="P312" s="98" t="s">
        <v>2038</v>
      </c>
      <c r="Q312" s="95" t="s">
        <v>1644</v>
      </c>
      <c r="R312" s="95" t="s">
        <v>1897</v>
      </c>
      <c r="S312" s="103"/>
      <c r="T312" s="103"/>
      <c r="U312" s="103"/>
      <c r="V312" s="103"/>
      <c r="W312" s="103"/>
      <c r="X312" s="103"/>
    </row>
    <row r="313" spans="1:24" x14ac:dyDescent="0.25">
      <c r="A313" s="95" t="s">
        <v>907</v>
      </c>
      <c r="B313" s="96" t="s">
        <v>908</v>
      </c>
      <c r="C313" s="95" t="s">
        <v>822</v>
      </c>
      <c r="D313" s="95" t="s">
        <v>2052</v>
      </c>
      <c r="E313" s="95" t="s">
        <v>2053</v>
      </c>
      <c r="F313" s="95" t="s">
        <v>1894</v>
      </c>
      <c r="G313" s="97">
        <v>0.75</v>
      </c>
      <c r="H313" s="98" t="s">
        <v>2054</v>
      </c>
      <c r="I313" s="97">
        <v>0.65490000000000004</v>
      </c>
      <c r="J313" s="98" t="s">
        <v>1661</v>
      </c>
      <c r="K313" s="95" t="s">
        <v>1643</v>
      </c>
      <c r="L313" s="95" t="s">
        <v>1897</v>
      </c>
      <c r="M313" s="97">
        <v>0.22</v>
      </c>
      <c r="N313" s="98" t="s">
        <v>2055</v>
      </c>
      <c r="O313" s="97">
        <v>0.21529999999999999</v>
      </c>
      <c r="P313" s="98" t="s">
        <v>2056</v>
      </c>
      <c r="Q313" s="95" t="s">
        <v>1644</v>
      </c>
      <c r="R313" s="95" t="s">
        <v>1897</v>
      </c>
      <c r="S313" s="103"/>
      <c r="T313" s="103"/>
      <c r="U313" s="103"/>
      <c r="V313" s="103"/>
      <c r="W313" s="103"/>
      <c r="X313" s="103"/>
    </row>
    <row r="314" spans="1:24" x14ac:dyDescent="0.25">
      <c r="A314" s="95" t="s">
        <v>917</v>
      </c>
      <c r="B314" s="96" t="s">
        <v>918</v>
      </c>
      <c r="C314" s="95" t="s">
        <v>822</v>
      </c>
      <c r="D314" s="95" t="s">
        <v>2070</v>
      </c>
      <c r="E314" s="95" t="s">
        <v>2071</v>
      </c>
      <c r="F314" s="95" t="s">
        <v>92</v>
      </c>
      <c r="G314" s="97">
        <v>0.75</v>
      </c>
      <c r="H314" s="98" t="s">
        <v>2029</v>
      </c>
      <c r="I314" s="97">
        <v>0.75</v>
      </c>
      <c r="J314" s="98" t="s">
        <v>2072</v>
      </c>
      <c r="K314" s="95" t="s">
        <v>1644</v>
      </c>
      <c r="L314" s="95" t="s">
        <v>1897</v>
      </c>
      <c r="M314" s="103" t="s">
        <v>850</v>
      </c>
      <c r="N314" s="103" t="s">
        <v>850</v>
      </c>
      <c r="O314" s="103" t="s">
        <v>850</v>
      </c>
      <c r="P314" s="103" t="s">
        <v>850</v>
      </c>
      <c r="Q314" s="95" t="s">
        <v>1644</v>
      </c>
      <c r="R314" s="103" t="s">
        <v>850</v>
      </c>
      <c r="S314" s="103"/>
      <c r="T314" s="103"/>
      <c r="U314" s="103"/>
      <c r="V314" s="103"/>
      <c r="W314" s="103"/>
      <c r="X314" s="103"/>
    </row>
    <row r="315" spans="1:24" x14ac:dyDescent="0.25">
      <c r="A315" s="95" t="s">
        <v>933</v>
      </c>
      <c r="B315" s="96" t="s">
        <v>934</v>
      </c>
      <c r="C315" s="95" t="s">
        <v>822</v>
      </c>
      <c r="D315" s="95" t="s">
        <v>2095</v>
      </c>
      <c r="E315" s="95" t="s">
        <v>2096</v>
      </c>
      <c r="F315" s="95" t="s">
        <v>1894</v>
      </c>
      <c r="G315" s="97">
        <v>0.75</v>
      </c>
      <c r="H315" s="98" t="s">
        <v>2097</v>
      </c>
      <c r="I315" s="97">
        <v>0.64600000000000002</v>
      </c>
      <c r="J315" s="103" t="s">
        <v>850</v>
      </c>
      <c r="K315" s="95" t="s">
        <v>1643</v>
      </c>
      <c r="L315" s="95" t="s">
        <v>1889</v>
      </c>
      <c r="M315" s="103" t="s">
        <v>850</v>
      </c>
      <c r="N315" s="103" t="s">
        <v>850</v>
      </c>
      <c r="O315" s="103" t="s">
        <v>850</v>
      </c>
      <c r="P315" s="103" t="s">
        <v>850</v>
      </c>
      <c r="Q315" s="103" t="s">
        <v>850</v>
      </c>
      <c r="R315" s="103" t="s">
        <v>850</v>
      </c>
      <c r="S315" s="103"/>
      <c r="T315" s="103"/>
      <c r="U315" s="103"/>
      <c r="V315" s="103"/>
      <c r="W315" s="103"/>
      <c r="X315" s="103"/>
    </row>
    <row r="316" spans="1:24" x14ac:dyDescent="0.25">
      <c r="A316" s="95" t="s">
        <v>953</v>
      </c>
      <c r="B316" s="96" t="s">
        <v>954</v>
      </c>
      <c r="C316" s="95" t="s">
        <v>822</v>
      </c>
      <c r="D316" s="95" t="s">
        <v>1952</v>
      </c>
      <c r="E316" s="95" t="s">
        <v>2130</v>
      </c>
      <c r="F316" s="95" t="s">
        <v>1864</v>
      </c>
      <c r="G316" s="97">
        <v>0.7</v>
      </c>
      <c r="H316" s="98" t="s">
        <v>2131</v>
      </c>
      <c r="I316" s="97">
        <v>0.62350000000000005</v>
      </c>
      <c r="J316" s="98" t="s">
        <v>1661</v>
      </c>
      <c r="K316" s="95" t="s">
        <v>1643</v>
      </c>
      <c r="L316" s="95" t="s">
        <v>1889</v>
      </c>
      <c r="M316" s="103" t="s">
        <v>850</v>
      </c>
      <c r="N316" s="103" t="s">
        <v>850</v>
      </c>
      <c r="O316" s="103" t="s">
        <v>850</v>
      </c>
      <c r="P316" s="103" t="s">
        <v>850</v>
      </c>
      <c r="Q316" s="95" t="s">
        <v>1644</v>
      </c>
      <c r="R316" s="103" t="s">
        <v>850</v>
      </c>
      <c r="S316" s="160"/>
      <c r="T316" s="103"/>
      <c r="U316" s="103"/>
      <c r="V316" s="103"/>
      <c r="W316" s="103"/>
      <c r="X316" s="103"/>
    </row>
    <row r="317" spans="1:24" x14ac:dyDescent="0.25">
      <c r="A317" s="95" t="s">
        <v>957</v>
      </c>
      <c r="B317" s="96" t="s">
        <v>958</v>
      </c>
      <c r="C317" s="95" t="s">
        <v>822</v>
      </c>
      <c r="D317" s="95" t="s">
        <v>1885</v>
      </c>
      <c r="E317" s="95" t="s">
        <v>2136</v>
      </c>
      <c r="F317" s="95" t="s">
        <v>1894</v>
      </c>
      <c r="G317" s="97">
        <v>1.25</v>
      </c>
      <c r="H317" s="98" t="s">
        <v>2129</v>
      </c>
      <c r="I317" s="97">
        <v>1.2149000000000001</v>
      </c>
      <c r="J317" s="98" t="s">
        <v>2090</v>
      </c>
      <c r="K317" s="95" t="s">
        <v>1644</v>
      </c>
      <c r="L317" s="95" t="s">
        <v>1897</v>
      </c>
      <c r="M317" s="160"/>
      <c r="N317" s="103"/>
      <c r="O317" s="160"/>
      <c r="P317" s="103"/>
      <c r="Q317" s="103"/>
      <c r="R317" s="103"/>
      <c r="S317" s="160"/>
      <c r="T317" s="103"/>
      <c r="U317" s="160"/>
      <c r="V317" s="103"/>
      <c r="W317" s="103"/>
      <c r="X317" s="103"/>
    </row>
    <row r="318" spans="1:24" x14ac:dyDescent="0.25">
      <c r="A318" s="95" t="s">
        <v>971</v>
      </c>
      <c r="B318" s="96" t="s">
        <v>972</v>
      </c>
      <c r="C318" s="95" t="s">
        <v>822</v>
      </c>
      <c r="D318" s="95" t="s">
        <v>1885</v>
      </c>
      <c r="E318" s="95" t="s">
        <v>2153</v>
      </c>
      <c r="F318" s="95" t="s">
        <v>1864</v>
      </c>
      <c r="G318" s="97">
        <v>0.3</v>
      </c>
      <c r="H318" s="98" t="s">
        <v>2154</v>
      </c>
      <c r="I318" s="97">
        <v>0.3</v>
      </c>
      <c r="J318" s="103" t="s">
        <v>850</v>
      </c>
      <c r="K318" s="95" t="s">
        <v>1643</v>
      </c>
      <c r="L318" s="95" t="s">
        <v>1897</v>
      </c>
      <c r="M318" s="97">
        <v>0.7</v>
      </c>
      <c r="N318" s="98" t="s">
        <v>2155</v>
      </c>
      <c r="O318" s="97">
        <v>0.6895</v>
      </c>
      <c r="P318" s="98" t="s">
        <v>2156</v>
      </c>
      <c r="Q318" s="95" t="s">
        <v>1644</v>
      </c>
      <c r="R318" s="95" t="s">
        <v>1897</v>
      </c>
      <c r="S318" s="103"/>
      <c r="T318" s="103"/>
      <c r="U318" s="103"/>
      <c r="V318" s="103"/>
      <c r="W318" s="103"/>
      <c r="X318" s="103"/>
    </row>
    <row r="319" spans="1:24" x14ac:dyDescent="0.25">
      <c r="A319" s="95" t="s">
        <v>973</v>
      </c>
      <c r="B319" s="96" t="s">
        <v>974</v>
      </c>
      <c r="C319" s="95" t="s">
        <v>822</v>
      </c>
      <c r="D319" s="95" t="s">
        <v>2157</v>
      </c>
      <c r="E319" s="95" t="s">
        <v>2158</v>
      </c>
      <c r="F319" s="95" t="s">
        <v>1894</v>
      </c>
      <c r="G319" s="97">
        <v>0.7</v>
      </c>
      <c r="H319" s="98" t="s">
        <v>2159</v>
      </c>
      <c r="I319" s="97">
        <v>0.7</v>
      </c>
      <c r="J319" s="98" t="s">
        <v>2160</v>
      </c>
      <c r="K319" s="95" t="s">
        <v>1644</v>
      </c>
      <c r="L319" s="95" t="s">
        <v>1897</v>
      </c>
      <c r="M319" s="160"/>
      <c r="N319" s="103"/>
      <c r="O319" s="160"/>
      <c r="P319" s="103"/>
      <c r="Q319" s="103"/>
      <c r="R319" s="103"/>
      <c r="S319" s="160"/>
      <c r="T319" s="103"/>
      <c r="U319" s="160"/>
      <c r="V319" s="103"/>
      <c r="W319" s="103"/>
      <c r="X319" s="103"/>
    </row>
    <row r="320" spans="1:24" x14ac:dyDescent="0.25">
      <c r="A320" s="95" t="s">
        <v>983</v>
      </c>
      <c r="B320" s="96" t="s">
        <v>984</v>
      </c>
      <c r="C320" s="95" t="s">
        <v>822</v>
      </c>
      <c r="D320" s="95" t="s">
        <v>2052</v>
      </c>
      <c r="E320" s="95" t="s">
        <v>2178</v>
      </c>
      <c r="F320" s="95" t="s">
        <v>1894</v>
      </c>
      <c r="G320" s="97">
        <v>1.4914000000000001</v>
      </c>
      <c r="H320" s="98" t="s">
        <v>2093</v>
      </c>
      <c r="I320" s="97">
        <v>1.4914000000000001</v>
      </c>
      <c r="J320" s="98" t="s">
        <v>2147</v>
      </c>
      <c r="K320" s="95" t="s">
        <v>1644</v>
      </c>
      <c r="L320" s="95" t="s">
        <v>1897</v>
      </c>
      <c r="M320" s="103"/>
      <c r="N320" s="103"/>
      <c r="O320" s="103"/>
      <c r="P320" s="103"/>
      <c r="Q320" s="103"/>
      <c r="R320" s="103"/>
      <c r="S320" s="103"/>
      <c r="T320" s="103"/>
      <c r="U320" s="103"/>
      <c r="V320" s="103"/>
      <c r="W320" s="103"/>
      <c r="X320" s="103"/>
    </row>
    <row r="321" spans="1:24" x14ac:dyDescent="0.25">
      <c r="A321" s="95" t="s">
        <v>1001</v>
      </c>
      <c r="B321" s="96" t="s">
        <v>1002</v>
      </c>
      <c r="C321" s="95" t="s">
        <v>822</v>
      </c>
      <c r="D321" s="95" t="s">
        <v>1999</v>
      </c>
      <c r="E321" s="95" t="s">
        <v>2203</v>
      </c>
      <c r="F321" s="95" t="s">
        <v>1894</v>
      </c>
      <c r="G321" s="97">
        <v>1</v>
      </c>
      <c r="H321" s="98" t="s">
        <v>2204</v>
      </c>
      <c r="I321" s="97">
        <v>1</v>
      </c>
      <c r="J321" s="103" t="s">
        <v>850</v>
      </c>
      <c r="K321" s="95" t="s">
        <v>1643</v>
      </c>
      <c r="L321" s="95" t="s">
        <v>1897</v>
      </c>
      <c r="M321" s="160"/>
      <c r="N321" s="103"/>
      <c r="O321" s="160"/>
      <c r="P321" s="103"/>
      <c r="Q321" s="103"/>
      <c r="R321" s="103"/>
      <c r="S321" s="160"/>
      <c r="T321" s="103"/>
      <c r="U321" s="160"/>
      <c r="V321" s="103"/>
      <c r="W321" s="103"/>
      <c r="X321" s="103"/>
    </row>
    <row r="322" spans="1:24" x14ac:dyDescent="0.25">
      <c r="A322" s="95" t="s">
        <v>1011</v>
      </c>
      <c r="B322" s="96" t="s">
        <v>1012</v>
      </c>
      <c r="C322" s="95" t="s">
        <v>822</v>
      </c>
      <c r="D322" s="95" t="s">
        <v>2221</v>
      </c>
      <c r="E322" s="95" t="s">
        <v>2222</v>
      </c>
      <c r="F322" s="95" t="s">
        <v>92</v>
      </c>
      <c r="G322" s="97">
        <v>0.9</v>
      </c>
      <c r="H322" s="98" t="s">
        <v>2134</v>
      </c>
      <c r="I322" s="97">
        <v>0.9</v>
      </c>
      <c r="J322" s="98" t="s">
        <v>1941</v>
      </c>
      <c r="K322" s="95" t="s">
        <v>1644</v>
      </c>
      <c r="L322" s="95" t="s">
        <v>1897</v>
      </c>
      <c r="M322" s="103"/>
      <c r="N322" s="103"/>
      <c r="O322" s="103"/>
      <c r="P322" s="103"/>
      <c r="Q322" s="103"/>
      <c r="R322" s="103"/>
      <c r="S322" s="103"/>
      <c r="T322" s="103"/>
      <c r="U322" s="103"/>
      <c r="V322" s="103"/>
      <c r="W322" s="103"/>
      <c r="X322" s="103"/>
    </row>
    <row r="323" spans="1:24" x14ac:dyDescent="0.25">
      <c r="A323" s="95" t="s">
        <v>1023</v>
      </c>
      <c r="B323" s="96" t="s">
        <v>1024</v>
      </c>
      <c r="C323" s="95" t="s">
        <v>822</v>
      </c>
      <c r="D323" s="95" t="s">
        <v>1884</v>
      </c>
      <c r="E323" s="95" t="s">
        <v>2236</v>
      </c>
      <c r="F323" s="95" t="s">
        <v>88</v>
      </c>
      <c r="G323" s="97">
        <v>1</v>
      </c>
      <c r="H323" s="98" t="s">
        <v>2237</v>
      </c>
      <c r="I323" s="97">
        <v>1</v>
      </c>
      <c r="J323" s="98" t="s">
        <v>2238</v>
      </c>
      <c r="K323" s="95" t="s">
        <v>1644</v>
      </c>
      <c r="L323" s="95" t="s">
        <v>1897</v>
      </c>
      <c r="M323" s="97">
        <v>1</v>
      </c>
      <c r="N323" s="98" t="s">
        <v>2239</v>
      </c>
      <c r="O323" s="97">
        <v>1</v>
      </c>
      <c r="P323" s="98" t="s">
        <v>2240</v>
      </c>
      <c r="Q323" s="95" t="s">
        <v>1644</v>
      </c>
      <c r="R323" s="95" t="s">
        <v>1897</v>
      </c>
      <c r="S323" s="103"/>
      <c r="T323" s="103"/>
      <c r="U323" s="103"/>
      <c r="V323" s="103"/>
      <c r="W323" s="103"/>
      <c r="X323" s="103"/>
    </row>
    <row r="324" spans="1:24" x14ac:dyDescent="0.25">
      <c r="A324" s="95" t="s">
        <v>1025</v>
      </c>
      <c r="B324" s="96" t="s">
        <v>1026</v>
      </c>
      <c r="C324" s="95" t="s">
        <v>822</v>
      </c>
      <c r="D324" s="95" t="s">
        <v>1952</v>
      </c>
      <c r="E324" s="95" t="s">
        <v>2241</v>
      </c>
      <c r="F324" s="95" t="s">
        <v>88</v>
      </c>
      <c r="G324" s="97">
        <v>1</v>
      </c>
      <c r="H324" s="98" t="s">
        <v>2242</v>
      </c>
      <c r="I324" s="97">
        <v>0.88649999999999995</v>
      </c>
      <c r="J324" s="98" t="s">
        <v>2243</v>
      </c>
      <c r="K324" s="95" t="s">
        <v>1644</v>
      </c>
      <c r="L324" s="95" t="s">
        <v>1897</v>
      </c>
      <c r="M324" s="97">
        <v>1</v>
      </c>
      <c r="N324" s="98" t="s">
        <v>2244</v>
      </c>
      <c r="O324" s="97">
        <v>1</v>
      </c>
      <c r="P324" s="98" t="s">
        <v>2245</v>
      </c>
      <c r="Q324" s="95" t="s">
        <v>1644</v>
      </c>
      <c r="R324" s="95" t="s">
        <v>1897</v>
      </c>
      <c r="S324" s="160"/>
      <c r="T324" s="161"/>
      <c r="U324" s="160"/>
      <c r="V324" s="161"/>
      <c r="W324" s="103"/>
      <c r="X324" s="103"/>
    </row>
    <row r="325" spans="1:24" x14ac:dyDescent="0.25">
      <c r="A325" s="95" t="s">
        <v>1085</v>
      </c>
      <c r="B325" s="96" t="s">
        <v>1086</v>
      </c>
      <c r="C325" s="95" t="s">
        <v>822</v>
      </c>
      <c r="D325" s="95" t="s">
        <v>1925</v>
      </c>
      <c r="E325" s="95" t="s">
        <v>2320</v>
      </c>
      <c r="F325" s="95" t="s">
        <v>88</v>
      </c>
      <c r="G325" s="97">
        <v>1</v>
      </c>
      <c r="H325" s="98" t="s">
        <v>2321</v>
      </c>
      <c r="I325" s="97">
        <v>0.96970000000000001</v>
      </c>
      <c r="J325" s="98" t="s">
        <v>2322</v>
      </c>
      <c r="K325" s="95" t="s">
        <v>1644</v>
      </c>
      <c r="L325" s="95" t="s">
        <v>1897</v>
      </c>
      <c r="M325" s="103" t="s">
        <v>850</v>
      </c>
      <c r="N325" s="103" t="s">
        <v>850</v>
      </c>
      <c r="O325" s="103" t="s">
        <v>850</v>
      </c>
      <c r="P325" s="103" t="s">
        <v>850</v>
      </c>
      <c r="Q325" s="95" t="s">
        <v>1644</v>
      </c>
      <c r="R325" s="103" t="s">
        <v>850</v>
      </c>
      <c r="S325" s="103"/>
      <c r="T325" s="103"/>
      <c r="U325" s="103"/>
      <c r="V325" s="103"/>
      <c r="W325" s="103"/>
      <c r="X325" s="103"/>
    </row>
    <row r="326" spans="1:24" x14ac:dyDescent="0.25">
      <c r="A326" s="95" t="s">
        <v>1093</v>
      </c>
      <c r="B326" s="96" t="s">
        <v>1094</v>
      </c>
      <c r="C326" s="95" t="s">
        <v>822</v>
      </c>
      <c r="D326" s="95" t="s">
        <v>1926</v>
      </c>
      <c r="E326" s="95" t="s">
        <v>2330</v>
      </c>
      <c r="F326" s="95" t="s">
        <v>1864</v>
      </c>
      <c r="G326" s="160"/>
      <c r="H326" s="103"/>
      <c r="I326" s="160"/>
      <c r="J326" s="103"/>
      <c r="K326" s="103"/>
      <c r="L326" s="103"/>
      <c r="M326" s="160"/>
      <c r="N326" s="103"/>
      <c r="O326" s="160"/>
      <c r="P326" s="103"/>
      <c r="Q326" s="103"/>
      <c r="R326" s="103" t="s">
        <v>850</v>
      </c>
      <c r="S326" s="160"/>
      <c r="T326" s="103"/>
      <c r="U326" s="160"/>
      <c r="V326" s="103"/>
      <c r="W326" s="103"/>
      <c r="X326" s="103"/>
    </row>
    <row r="327" spans="1:24" x14ac:dyDescent="0.25">
      <c r="A327" s="95" t="s">
        <v>1113</v>
      </c>
      <c r="B327" s="96" t="s">
        <v>1114</v>
      </c>
      <c r="C327" s="95" t="s">
        <v>822</v>
      </c>
      <c r="D327" s="95" t="s">
        <v>2309</v>
      </c>
      <c r="E327" s="95" t="s">
        <v>2355</v>
      </c>
      <c r="F327" s="95" t="s">
        <v>1894</v>
      </c>
      <c r="G327" s="97">
        <v>2.4</v>
      </c>
      <c r="H327" s="98" t="s">
        <v>2356</v>
      </c>
      <c r="I327" s="97">
        <v>2.4</v>
      </c>
      <c r="J327" s="98" t="s">
        <v>2357</v>
      </c>
      <c r="K327" s="95" t="s">
        <v>1644</v>
      </c>
      <c r="L327" s="95" t="s">
        <v>1897</v>
      </c>
      <c r="M327" s="97">
        <v>0.48659999999999998</v>
      </c>
      <c r="N327" s="98" t="s">
        <v>2358</v>
      </c>
      <c r="O327" s="97">
        <v>0.49619999999999997</v>
      </c>
      <c r="P327" s="98" t="s">
        <v>2359</v>
      </c>
      <c r="Q327" s="95" t="s">
        <v>1644</v>
      </c>
      <c r="R327" s="95" t="s">
        <v>1998</v>
      </c>
      <c r="S327" s="103"/>
      <c r="T327" s="103"/>
      <c r="U327" s="103"/>
      <c r="V327" s="103"/>
      <c r="W327" s="103"/>
      <c r="X327" s="103"/>
    </row>
    <row r="328" spans="1:24" x14ac:dyDescent="0.25">
      <c r="A328" s="95" t="s">
        <v>1171</v>
      </c>
      <c r="B328" s="96" t="s">
        <v>1172</v>
      </c>
      <c r="C328" s="95" t="s">
        <v>822</v>
      </c>
      <c r="D328" s="95" t="s">
        <v>2432</v>
      </c>
      <c r="E328" s="95" t="s">
        <v>2433</v>
      </c>
      <c r="F328" s="95" t="s">
        <v>1894</v>
      </c>
      <c r="G328" s="97">
        <v>0.49120000000000003</v>
      </c>
      <c r="H328" s="98" t="s">
        <v>2232</v>
      </c>
      <c r="I328" s="97">
        <v>0.49120000000000003</v>
      </c>
      <c r="J328" s="98" t="s">
        <v>2128</v>
      </c>
      <c r="K328" s="95" t="s">
        <v>1644</v>
      </c>
      <c r="L328" s="95" t="s">
        <v>1897</v>
      </c>
      <c r="M328" s="103" t="s">
        <v>850</v>
      </c>
      <c r="N328" s="103" t="s">
        <v>850</v>
      </c>
      <c r="O328" s="103" t="s">
        <v>850</v>
      </c>
      <c r="P328" s="103" t="s">
        <v>850</v>
      </c>
      <c r="Q328" s="103"/>
      <c r="R328" s="103" t="s">
        <v>850</v>
      </c>
      <c r="S328" s="103"/>
      <c r="T328" s="103"/>
      <c r="U328" s="103"/>
      <c r="V328" s="103"/>
      <c r="W328" s="103"/>
      <c r="X328" s="103"/>
    </row>
    <row r="329" spans="1:24" x14ac:dyDescent="0.25">
      <c r="A329" s="95" t="s">
        <v>1215</v>
      </c>
      <c r="B329" s="96" t="s">
        <v>1216</v>
      </c>
      <c r="C329" s="95" t="s">
        <v>822</v>
      </c>
      <c r="D329" s="95" t="s">
        <v>1892</v>
      </c>
      <c r="E329" s="95" t="s">
        <v>2475</v>
      </c>
      <c r="F329" s="95" t="s">
        <v>1894</v>
      </c>
      <c r="G329" s="97">
        <v>0.6</v>
      </c>
      <c r="H329" s="98" t="s">
        <v>2476</v>
      </c>
      <c r="I329" s="97">
        <v>0.6</v>
      </c>
      <c r="J329" s="98" t="s">
        <v>2477</v>
      </c>
      <c r="K329" s="95" t="s">
        <v>1644</v>
      </c>
      <c r="L329" s="95" t="s">
        <v>1897</v>
      </c>
      <c r="M329" s="103" t="s">
        <v>850</v>
      </c>
      <c r="N329" s="103" t="s">
        <v>850</v>
      </c>
      <c r="O329" s="103" t="s">
        <v>850</v>
      </c>
      <c r="P329" s="103" t="s">
        <v>850</v>
      </c>
      <c r="Q329" s="103"/>
      <c r="R329" s="103" t="s">
        <v>850</v>
      </c>
      <c r="S329" s="103"/>
      <c r="T329" s="103"/>
      <c r="U329" s="103"/>
      <c r="V329" s="103"/>
      <c r="W329" s="103"/>
      <c r="X329" s="103"/>
    </row>
    <row r="330" spans="1:24" x14ac:dyDescent="0.25">
      <c r="A330" s="95" t="s">
        <v>1221</v>
      </c>
      <c r="B330" s="96" t="s">
        <v>1222</v>
      </c>
      <c r="C330" s="95" t="s">
        <v>822</v>
      </c>
      <c r="D330" s="95" t="s">
        <v>1925</v>
      </c>
      <c r="E330" s="95" t="s">
        <v>1951</v>
      </c>
      <c r="F330" s="95" t="s">
        <v>88</v>
      </c>
      <c r="G330" s="97">
        <v>0.7</v>
      </c>
      <c r="H330" s="98" t="s">
        <v>2482</v>
      </c>
      <c r="I330" s="97">
        <v>0.7</v>
      </c>
      <c r="J330" s="98" t="s">
        <v>2483</v>
      </c>
      <c r="K330" s="95" t="s">
        <v>1644</v>
      </c>
      <c r="L330" s="95" t="s">
        <v>1897</v>
      </c>
      <c r="M330" s="103" t="s">
        <v>850</v>
      </c>
      <c r="N330" s="103" t="s">
        <v>850</v>
      </c>
      <c r="O330" s="103" t="s">
        <v>850</v>
      </c>
      <c r="P330" s="103" t="s">
        <v>850</v>
      </c>
      <c r="Q330" s="103"/>
      <c r="R330" s="103" t="s">
        <v>850</v>
      </c>
      <c r="S330" s="103"/>
      <c r="T330" s="103"/>
      <c r="U330" s="103"/>
      <c r="V330" s="103"/>
      <c r="W330" s="103"/>
      <c r="X330" s="103"/>
    </row>
    <row r="331" spans="1:24" x14ac:dyDescent="0.25">
      <c r="A331" s="95" t="s">
        <v>1231</v>
      </c>
      <c r="B331" s="96" t="s">
        <v>1232</v>
      </c>
      <c r="C331" s="95" t="s">
        <v>822</v>
      </c>
      <c r="D331" s="95" t="s">
        <v>1926</v>
      </c>
      <c r="E331" s="95" t="s">
        <v>2492</v>
      </c>
      <c r="F331" s="95" t="s">
        <v>1894</v>
      </c>
      <c r="G331" s="97">
        <v>1</v>
      </c>
      <c r="H331" s="98" t="s">
        <v>2493</v>
      </c>
      <c r="I331" s="97">
        <v>0.96889999999999998</v>
      </c>
      <c r="J331" s="98" t="s">
        <v>2494</v>
      </c>
      <c r="K331" s="95" t="s">
        <v>1643</v>
      </c>
      <c r="L331" s="95" t="s">
        <v>1998</v>
      </c>
      <c r="M331" s="97">
        <v>0.115</v>
      </c>
      <c r="N331" s="98" t="s">
        <v>2495</v>
      </c>
      <c r="O331" s="97">
        <v>0.115</v>
      </c>
      <c r="P331" s="98" t="s">
        <v>2496</v>
      </c>
      <c r="Q331" s="95" t="s">
        <v>1644</v>
      </c>
      <c r="R331" s="95" t="s">
        <v>1998</v>
      </c>
      <c r="S331" s="103"/>
      <c r="T331" s="103"/>
      <c r="U331" s="103"/>
      <c r="V331" s="103"/>
      <c r="W331" s="103"/>
      <c r="X331" s="103"/>
    </row>
    <row r="332" spans="1:24" x14ac:dyDescent="0.25">
      <c r="A332" s="95" t="s">
        <v>1247</v>
      </c>
      <c r="B332" s="96" t="s">
        <v>1248</v>
      </c>
      <c r="C332" s="95" t="s">
        <v>822</v>
      </c>
      <c r="D332" s="95" t="s">
        <v>1885</v>
      </c>
      <c r="E332" s="95" t="s">
        <v>2511</v>
      </c>
      <c r="F332" s="95" t="s">
        <v>88</v>
      </c>
      <c r="G332" s="97">
        <v>1</v>
      </c>
      <c r="H332" s="98" t="s">
        <v>2512</v>
      </c>
      <c r="I332" s="97">
        <v>1</v>
      </c>
      <c r="J332" s="98" t="s">
        <v>2513</v>
      </c>
      <c r="K332" s="95" t="s">
        <v>1644</v>
      </c>
      <c r="L332" s="95" t="s">
        <v>1897</v>
      </c>
      <c r="M332" s="103" t="s">
        <v>850</v>
      </c>
      <c r="N332" s="103" t="s">
        <v>850</v>
      </c>
      <c r="O332" s="103" t="s">
        <v>850</v>
      </c>
      <c r="P332" s="103" t="s">
        <v>850</v>
      </c>
      <c r="Q332" s="103"/>
      <c r="R332" s="103" t="s">
        <v>850</v>
      </c>
      <c r="S332" s="103"/>
      <c r="T332" s="103"/>
      <c r="U332" s="103"/>
      <c r="V332" s="103"/>
      <c r="W332" s="103"/>
      <c r="X332" s="103"/>
    </row>
    <row r="333" spans="1:24" x14ac:dyDescent="0.25">
      <c r="A333" s="95" t="s">
        <v>1267</v>
      </c>
      <c r="B333" s="96" t="s">
        <v>1268</v>
      </c>
      <c r="C333" s="95" t="s">
        <v>822</v>
      </c>
      <c r="D333" s="95" t="s">
        <v>2529</v>
      </c>
      <c r="E333" s="95" t="s">
        <v>2530</v>
      </c>
      <c r="F333" s="95" t="s">
        <v>1894</v>
      </c>
      <c r="G333" s="97">
        <v>0.49469999999999997</v>
      </c>
      <c r="H333" s="98" t="s">
        <v>2403</v>
      </c>
      <c r="I333" s="97">
        <v>0.49469999999999997</v>
      </c>
      <c r="J333" s="98" t="s">
        <v>1660</v>
      </c>
      <c r="K333" s="95" t="s">
        <v>1643</v>
      </c>
      <c r="L333" s="95" t="s">
        <v>1889</v>
      </c>
      <c r="M333" s="103" t="s">
        <v>850</v>
      </c>
      <c r="N333" s="103" t="s">
        <v>850</v>
      </c>
      <c r="O333" s="103" t="s">
        <v>850</v>
      </c>
      <c r="P333" s="103" t="s">
        <v>850</v>
      </c>
      <c r="Q333" s="95" t="s">
        <v>1644</v>
      </c>
      <c r="R333" s="103" t="s">
        <v>850</v>
      </c>
      <c r="S333" s="103"/>
      <c r="T333" s="103"/>
      <c r="U333" s="103"/>
      <c r="V333" s="103"/>
      <c r="W333" s="103"/>
      <c r="X333" s="103"/>
    </row>
    <row r="334" spans="1:24" x14ac:dyDescent="0.25">
      <c r="A334" s="95" t="s">
        <v>1323</v>
      </c>
      <c r="B334" s="96" t="s">
        <v>1324</v>
      </c>
      <c r="C334" s="95" t="s">
        <v>822</v>
      </c>
      <c r="D334" s="95" t="s">
        <v>1925</v>
      </c>
      <c r="E334" s="95" t="s">
        <v>2595</v>
      </c>
      <c r="F334" s="95" t="s">
        <v>1894</v>
      </c>
      <c r="G334" s="97">
        <v>1</v>
      </c>
      <c r="H334" s="98" t="s">
        <v>2596</v>
      </c>
      <c r="I334" s="97">
        <v>0.92859999999999998</v>
      </c>
      <c r="J334" s="98" t="s">
        <v>1829</v>
      </c>
      <c r="K334" s="95" t="s">
        <v>1643</v>
      </c>
      <c r="L334" s="95" t="s">
        <v>1897</v>
      </c>
      <c r="M334" s="97">
        <v>0.1938</v>
      </c>
      <c r="N334" s="98" t="s">
        <v>1890</v>
      </c>
      <c r="O334" s="97">
        <v>0.19120000000000001</v>
      </c>
      <c r="P334" s="98" t="s">
        <v>2597</v>
      </c>
      <c r="Q334" s="95" t="s">
        <v>1644</v>
      </c>
      <c r="R334" s="95" t="s">
        <v>1897</v>
      </c>
      <c r="S334" s="160"/>
      <c r="T334" s="161"/>
      <c r="U334" s="160"/>
      <c r="V334" s="161"/>
      <c r="W334" s="103"/>
      <c r="X334" s="103"/>
    </row>
    <row r="335" spans="1:24" x14ac:dyDescent="0.25">
      <c r="A335" s="95" t="s">
        <v>1329</v>
      </c>
      <c r="B335" s="96" t="s">
        <v>1330</v>
      </c>
      <c r="C335" s="95" t="s">
        <v>822</v>
      </c>
      <c r="D335" s="95" t="s">
        <v>1885</v>
      </c>
      <c r="E335" s="95" t="s">
        <v>2603</v>
      </c>
      <c r="F335" s="95" t="s">
        <v>88</v>
      </c>
      <c r="G335" s="97">
        <v>1</v>
      </c>
      <c r="H335" s="98" t="s">
        <v>2604</v>
      </c>
      <c r="I335" s="97">
        <v>0.9516</v>
      </c>
      <c r="J335" s="103" t="s">
        <v>850</v>
      </c>
      <c r="K335" s="95" t="s">
        <v>1643</v>
      </c>
      <c r="L335" s="95" t="s">
        <v>1897</v>
      </c>
      <c r="M335" s="97">
        <v>0.5</v>
      </c>
      <c r="N335" s="98" t="s">
        <v>2605</v>
      </c>
      <c r="O335" s="97">
        <v>0.47989999999999999</v>
      </c>
      <c r="P335" s="98" t="s">
        <v>2606</v>
      </c>
      <c r="Q335" s="95" t="s">
        <v>1644</v>
      </c>
      <c r="R335" s="95" t="s">
        <v>1897</v>
      </c>
      <c r="S335" s="103"/>
      <c r="T335" s="103"/>
      <c r="U335" s="103"/>
      <c r="V335" s="103"/>
      <c r="W335" s="103"/>
      <c r="X335" s="103"/>
    </row>
    <row r="336" spans="1:24" x14ac:dyDescent="0.25">
      <c r="A336" s="95" t="s">
        <v>1335</v>
      </c>
      <c r="B336" s="96" t="s">
        <v>1336</v>
      </c>
      <c r="C336" s="95" t="s">
        <v>822</v>
      </c>
      <c r="D336" s="95" t="s">
        <v>1885</v>
      </c>
      <c r="E336" s="95" t="s">
        <v>2612</v>
      </c>
      <c r="F336" s="95" t="s">
        <v>1864</v>
      </c>
      <c r="G336" s="97">
        <v>1.5</v>
      </c>
      <c r="H336" s="98" t="s">
        <v>2594</v>
      </c>
      <c r="I336" s="97">
        <v>1.3666</v>
      </c>
      <c r="J336" s="103" t="s">
        <v>850</v>
      </c>
      <c r="K336" s="95" t="s">
        <v>1643</v>
      </c>
      <c r="L336" s="95" t="s">
        <v>1897</v>
      </c>
      <c r="M336" s="160"/>
      <c r="N336" s="103"/>
      <c r="O336" s="160"/>
      <c r="P336" s="103"/>
      <c r="Q336" s="103"/>
      <c r="R336" s="103"/>
      <c r="S336" s="160"/>
      <c r="T336" s="103"/>
      <c r="U336" s="103"/>
      <c r="V336" s="103"/>
      <c r="W336" s="103"/>
      <c r="X336" s="103"/>
    </row>
    <row r="337" spans="1:24" x14ac:dyDescent="0.25">
      <c r="A337" s="95" t="s">
        <v>1363</v>
      </c>
      <c r="B337" s="96" t="s">
        <v>1364</v>
      </c>
      <c r="C337" s="95" t="s">
        <v>822</v>
      </c>
      <c r="D337" s="95" t="s">
        <v>2292</v>
      </c>
      <c r="E337" s="95" t="s">
        <v>2644</v>
      </c>
      <c r="F337" s="95" t="s">
        <v>88</v>
      </c>
      <c r="G337" s="97">
        <v>1.5</v>
      </c>
      <c r="H337" s="98" t="s">
        <v>2645</v>
      </c>
      <c r="I337" s="97">
        <v>1.3685</v>
      </c>
      <c r="J337" s="98" t="s">
        <v>1829</v>
      </c>
      <c r="K337" s="95" t="s">
        <v>1643</v>
      </c>
      <c r="L337" s="95" t="s">
        <v>1897</v>
      </c>
      <c r="M337" s="97">
        <v>0.67959999999999998</v>
      </c>
      <c r="N337" s="98" t="s">
        <v>2646</v>
      </c>
      <c r="O337" s="97">
        <v>0.67959999999999998</v>
      </c>
      <c r="P337" s="98" t="s">
        <v>2647</v>
      </c>
      <c r="Q337" s="95" t="s">
        <v>1644</v>
      </c>
      <c r="R337" s="95" t="s">
        <v>1998</v>
      </c>
      <c r="S337" s="103"/>
      <c r="T337" s="103"/>
      <c r="U337" s="103"/>
      <c r="V337" s="103"/>
      <c r="W337" s="103"/>
      <c r="X337" s="103"/>
    </row>
    <row r="338" spans="1:24" x14ac:dyDescent="0.25">
      <c r="A338" s="95" t="s">
        <v>1373</v>
      </c>
      <c r="B338" s="96" t="s">
        <v>1374</v>
      </c>
      <c r="C338" s="95" t="s">
        <v>822</v>
      </c>
      <c r="D338" s="95" t="s">
        <v>1925</v>
      </c>
      <c r="E338" s="95" t="s">
        <v>2662</v>
      </c>
      <c r="F338" s="95" t="s">
        <v>1894</v>
      </c>
      <c r="G338" s="97">
        <v>0.5</v>
      </c>
      <c r="H338" s="98" t="s">
        <v>2663</v>
      </c>
      <c r="I338" s="97">
        <v>0.4909</v>
      </c>
      <c r="J338" s="103" t="s">
        <v>850</v>
      </c>
      <c r="K338" s="95" t="s">
        <v>1643</v>
      </c>
      <c r="L338" s="95" t="s">
        <v>1897</v>
      </c>
      <c r="M338" s="97">
        <v>0.4</v>
      </c>
      <c r="N338" s="98" t="s">
        <v>2664</v>
      </c>
      <c r="O338" s="97">
        <v>0.33250000000000002</v>
      </c>
      <c r="P338" s="103" t="s">
        <v>850</v>
      </c>
      <c r="Q338" s="95" t="s">
        <v>1643</v>
      </c>
      <c r="R338" s="95" t="s">
        <v>1897</v>
      </c>
      <c r="S338" s="97">
        <v>0.8</v>
      </c>
      <c r="T338" s="98" t="s">
        <v>2665</v>
      </c>
      <c r="U338" s="97">
        <v>0.64219999999999999</v>
      </c>
      <c r="V338" s="103" t="s">
        <v>850</v>
      </c>
      <c r="W338" s="95" t="s">
        <v>1643</v>
      </c>
      <c r="X338" s="95" t="s">
        <v>1897</v>
      </c>
    </row>
    <row r="339" spans="1:24" x14ac:dyDescent="0.25">
      <c r="A339" s="95" t="s">
        <v>1401</v>
      </c>
      <c r="B339" s="96" t="s">
        <v>1402</v>
      </c>
      <c r="C339" s="95" t="s">
        <v>822</v>
      </c>
      <c r="D339" s="95" t="s">
        <v>1925</v>
      </c>
      <c r="E339" s="95" t="s">
        <v>2701</v>
      </c>
      <c r="F339" s="95" t="s">
        <v>1894</v>
      </c>
      <c r="G339" s="97">
        <v>1</v>
      </c>
      <c r="H339" s="98" t="s">
        <v>2702</v>
      </c>
      <c r="I339" s="97">
        <v>0.92330000000000001</v>
      </c>
      <c r="J339" s="103" t="s">
        <v>850</v>
      </c>
      <c r="K339" s="95" t="s">
        <v>1643</v>
      </c>
      <c r="L339" s="95" t="s">
        <v>1897</v>
      </c>
      <c r="M339" s="97">
        <v>0.75</v>
      </c>
      <c r="N339" s="98" t="s">
        <v>2703</v>
      </c>
      <c r="O339" s="97">
        <v>0.75</v>
      </c>
      <c r="P339" s="98" t="s">
        <v>2090</v>
      </c>
      <c r="Q339" s="95" t="s">
        <v>1644</v>
      </c>
      <c r="R339" s="95" t="s">
        <v>1998</v>
      </c>
      <c r="S339" s="97">
        <v>1.4</v>
      </c>
      <c r="T339" s="98" t="s">
        <v>1985</v>
      </c>
      <c r="U339" s="97">
        <v>1.4</v>
      </c>
      <c r="V339" s="98" t="s">
        <v>2090</v>
      </c>
      <c r="W339" s="95" t="s">
        <v>1644</v>
      </c>
      <c r="X339" s="95" t="s">
        <v>1897</v>
      </c>
    </row>
    <row r="340" spans="1:24" x14ac:dyDescent="0.25">
      <c r="A340" s="95" t="s">
        <v>1425</v>
      </c>
      <c r="B340" s="96" t="s">
        <v>1426</v>
      </c>
      <c r="C340" s="95" t="s">
        <v>822</v>
      </c>
      <c r="D340" s="95" t="s">
        <v>1952</v>
      </c>
      <c r="E340" s="95" t="s">
        <v>2725</v>
      </c>
      <c r="F340" s="95" t="s">
        <v>1894</v>
      </c>
      <c r="G340" s="97">
        <v>1.35</v>
      </c>
      <c r="H340" s="98" t="s">
        <v>2726</v>
      </c>
      <c r="I340" s="97">
        <v>1.0967</v>
      </c>
      <c r="J340" s="103" t="s">
        <v>850</v>
      </c>
      <c r="K340" s="95" t="s">
        <v>1643</v>
      </c>
      <c r="L340" s="95" t="s">
        <v>1897</v>
      </c>
      <c r="M340" s="160"/>
      <c r="N340" s="161"/>
      <c r="O340" s="160"/>
      <c r="P340" s="161"/>
      <c r="Q340" s="103"/>
      <c r="R340" s="103" t="s">
        <v>850</v>
      </c>
      <c r="S340" s="160"/>
      <c r="T340" s="103"/>
      <c r="U340" s="160"/>
      <c r="V340" s="103"/>
      <c r="W340" s="103"/>
      <c r="X340" s="103"/>
    </row>
    <row r="341" spans="1:24" x14ac:dyDescent="0.25">
      <c r="A341" s="95" t="s">
        <v>1427</v>
      </c>
      <c r="B341" s="96" t="s">
        <v>1428</v>
      </c>
      <c r="C341" s="95" t="s">
        <v>822</v>
      </c>
      <c r="D341" s="95" t="s">
        <v>1925</v>
      </c>
      <c r="E341" s="95" t="s">
        <v>3286</v>
      </c>
      <c r="F341" s="95" t="s">
        <v>88</v>
      </c>
      <c r="G341" s="97">
        <v>0.7</v>
      </c>
      <c r="H341" s="98" t="s">
        <v>1661</v>
      </c>
      <c r="I341" s="97">
        <v>0.7</v>
      </c>
      <c r="J341" s="98" t="s">
        <v>1661</v>
      </c>
      <c r="K341" s="95" t="s">
        <v>1644</v>
      </c>
      <c r="L341" s="95" t="s">
        <v>1897</v>
      </c>
      <c r="M341" s="103" t="s">
        <v>850</v>
      </c>
      <c r="N341" s="103" t="s">
        <v>850</v>
      </c>
      <c r="O341" s="103" t="s">
        <v>850</v>
      </c>
      <c r="P341" s="103" t="s">
        <v>850</v>
      </c>
      <c r="Q341" s="103"/>
      <c r="R341" s="103" t="s">
        <v>850</v>
      </c>
      <c r="S341" s="103"/>
      <c r="T341" s="103"/>
      <c r="U341" s="103"/>
      <c r="V341" s="103"/>
      <c r="W341" s="103"/>
      <c r="X341" s="103"/>
    </row>
    <row r="342" spans="1:24" x14ac:dyDescent="0.25">
      <c r="A342" s="95" t="s">
        <v>1431</v>
      </c>
      <c r="B342" s="96" t="s">
        <v>1432</v>
      </c>
      <c r="C342" s="95" t="s">
        <v>822</v>
      </c>
      <c r="D342" s="95" t="s">
        <v>1952</v>
      </c>
      <c r="E342" s="95" t="s">
        <v>3472</v>
      </c>
      <c r="F342" s="95" t="s">
        <v>88</v>
      </c>
      <c r="G342" s="97">
        <v>1</v>
      </c>
      <c r="H342" s="98" t="s">
        <v>2729</v>
      </c>
      <c r="I342" s="97">
        <v>1</v>
      </c>
      <c r="J342" s="103" t="s">
        <v>850</v>
      </c>
      <c r="K342" s="95" t="s">
        <v>1643</v>
      </c>
      <c r="L342" s="95" t="s">
        <v>1897</v>
      </c>
      <c r="M342" s="97">
        <v>0.5</v>
      </c>
      <c r="N342" s="98" t="s">
        <v>2730</v>
      </c>
      <c r="O342" s="97">
        <v>0.5</v>
      </c>
      <c r="P342" s="98" t="s">
        <v>1938</v>
      </c>
      <c r="Q342" s="95" t="s">
        <v>1644</v>
      </c>
      <c r="R342" s="95" t="s">
        <v>1897</v>
      </c>
      <c r="S342" s="103"/>
      <c r="T342" s="103"/>
      <c r="U342" s="103"/>
      <c r="V342" s="103"/>
      <c r="W342" s="103"/>
      <c r="X342" s="103"/>
    </row>
    <row r="343" spans="1:24" x14ac:dyDescent="0.25">
      <c r="A343" s="95" t="s">
        <v>1449</v>
      </c>
      <c r="B343" s="96" t="s">
        <v>1450</v>
      </c>
      <c r="C343" s="95" t="s">
        <v>822</v>
      </c>
      <c r="D343" s="95" t="s">
        <v>1948</v>
      </c>
      <c r="E343" s="95" t="s">
        <v>2754</v>
      </c>
      <c r="F343" s="95" t="s">
        <v>1894</v>
      </c>
      <c r="G343" s="97">
        <v>0.9</v>
      </c>
      <c r="H343" s="98" t="s">
        <v>2755</v>
      </c>
      <c r="I343" s="97">
        <v>0.81820000000000004</v>
      </c>
      <c r="J343" s="98" t="s">
        <v>1935</v>
      </c>
      <c r="K343" s="95" t="s">
        <v>1643</v>
      </c>
      <c r="L343" s="95" t="s">
        <v>1897</v>
      </c>
      <c r="M343" s="97">
        <v>0.55000000000000004</v>
      </c>
      <c r="N343" s="98" t="s">
        <v>2756</v>
      </c>
      <c r="O343" s="97">
        <v>0.35</v>
      </c>
      <c r="P343" s="98" t="s">
        <v>2757</v>
      </c>
      <c r="Q343" s="95" t="s">
        <v>1644</v>
      </c>
      <c r="R343" s="95" t="s">
        <v>1897</v>
      </c>
      <c r="S343" s="103"/>
      <c r="T343" s="103"/>
      <c r="U343" s="103"/>
      <c r="V343" s="103"/>
      <c r="W343" s="103"/>
      <c r="X343" s="103"/>
    </row>
    <row r="344" spans="1:24" x14ac:dyDescent="0.25">
      <c r="A344" s="95" t="s">
        <v>1474</v>
      </c>
      <c r="B344" s="96" t="s">
        <v>1475</v>
      </c>
      <c r="C344" s="95" t="s">
        <v>822</v>
      </c>
      <c r="D344" s="95" t="s">
        <v>2157</v>
      </c>
      <c r="E344" s="95" t="s">
        <v>2780</v>
      </c>
      <c r="F344" s="95" t="s">
        <v>1894</v>
      </c>
      <c r="G344" s="97">
        <v>1.25</v>
      </c>
      <c r="H344" s="98" t="s">
        <v>2781</v>
      </c>
      <c r="I344" s="97">
        <v>1.2423</v>
      </c>
      <c r="J344" s="98" t="s">
        <v>2782</v>
      </c>
      <c r="K344" s="95" t="s">
        <v>1644</v>
      </c>
      <c r="L344" s="95" t="s">
        <v>1897</v>
      </c>
      <c r="M344" s="103" t="s">
        <v>850</v>
      </c>
      <c r="N344" s="103" t="s">
        <v>850</v>
      </c>
      <c r="O344" s="160"/>
      <c r="P344" s="103" t="s">
        <v>850</v>
      </c>
      <c r="Q344" s="103"/>
      <c r="R344" s="103" t="s">
        <v>850</v>
      </c>
      <c r="S344" s="160"/>
      <c r="T344" s="103"/>
      <c r="U344" s="160"/>
      <c r="V344" s="103"/>
      <c r="W344" s="103"/>
      <c r="X344" s="103"/>
    </row>
    <row r="345" spans="1:24" x14ac:dyDescent="0.25">
      <c r="A345" s="95" t="s">
        <v>1484</v>
      </c>
      <c r="B345" s="96" t="s">
        <v>1485</v>
      </c>
      <c r="C345" s="95" t="s">
        <v>822</v>
      </c>
      <c r="D345" s="95" t="s">
        <v>1925</v>
      </c>
      <c r="E345" s="95" t="s">
        <v>2795</v>
      </c>
      <c r="F345" s="95" t="s">
        <v>88</v>
      </c>
      <c r="G345" s="97">
        <v>1</v>
      </c>
      <c r="H345" s="98" t="s">
        <v>2596</v>
      </c>
      <c r="I345" s="97">
        <v>0.88</v>
      </c>
      <c r="J345" s="98" t="s">
        <v>1935</v>
      </c>
      <c r="K345" s="95" t="s">
        <v>1643</v>
      </c>
      <c r="L345" s="95" t="s">
        <v>1889</v>
      </c>
      <c r="M345" s="103" t="s">
        <v>850</v>
      </c>
      <c r="N345" s="103" t="s">
        <v>850</v>
      </c>
      <c r="O345" s="103" t="s">
        <v>850</v>
      </c>
      <c r="P345" s="103" t="s">
        <v>850</v>
      </c>
      <c r="Q345" s="103"/>
      <c r="R345" s="103" t="s">
        <v>850</v>
      </c>
      <c r="S345" s="103"/>
      <c r="T345" s="103"/>
      <c r="U345" s="103"/>
      <c r="V345" s="103"/>
      <c r="W345" s="103"/>
      <c r="X345" s="103"/>
    </row>
    <row r="346" spans="1:24" x14ac:dyDescent="0.25">
      <c r="A346" s="95" t="s">
        <v>1502</v>
      </c>
      <c r="B346" s="96" t="s">
        <v>1503</v>
      </c>
      <c r="C346" s="95" t="s">
        <v>822</v>
      </c>
      <c r="D346" s="95" t="s">
        <v>2207</v>
      </c>
      <c r="E346" s="95" t="s">
        <v>2814</v>
      </c>
      <c r="F346" s="95" t="s">
        <v>1894</v>
      </c>
      <c r="G346" s="97">
        <v>0.5</v>
      </c>
      <c r="H346" s="98" t="s">
        <v>2119</v>
      </c>
      <c r="I346" s="97">
        <v>0.497</v>
      </c>
      <c r="J346" s="98" t="s">
        <v>2690</v>
      </c>
      <c r="K346" s="95" t="s">
        <v>1644</v>
      </c>
      <c r="L346" s="95" t="s">
        <v>1897</v>
      </c>
      <c r="M346" s="97">
        <v>0.497</v>
      </c>
      <c r="N346" s="98" t="s">
        <v>2189</v>
      </c>
      <c r="O346" s="97">
        <v>0.5</v>
      </c>
      <c r="P346" s="98" t="s">
        <v>2349</v>
      </c>
      <c r="Q346" s="95" t="s">
        <v>1644</v>
      </c>
      <c r="R346" s="95" t="s">
        <v>1897</v>
      </c>
      <c r="S346" s="97">
        <v>0.5</v>
      </c>
      <c r="T346" s="98" t="s">
        <v>2815</v>
      </c>
      <c r="U346" s="97">
        <v>0.5</v>
      </c>
      <c r="V346" s="98" t="s">
        <v>2690</v>
      </c>
      <c r="W346" s="95" t="s">
        <v>1644</v>
      </c>
      <c r="X346" s="95" t="s">
        <v>1897</v>
      </c>
    </row>
    <row r="347" spans="1:24" x14ac:dyDescent="0.25">
      <c r="A347" s="95" t="s">
        <v>1546</v>
      </c>
      <c r="B347" s="96" t="s">
        <v>1547</v>
      </c>
      <c r="C347" s="95" t="s">
        <v>822</v>
      </c>
      <c r="D347" s="95" t="s">
        <v>2385</v>
      </c>
      <c r="E347" s="95" t="s">
        <v>2861</v>
      </c>
      <c r="F347" s="95" t="s">
        <v>1894</v>
      </c>
      <c r="G347" s="97">
        <v>1</v>
      </c>
      <c r="H347" s="98" t="s">
        <v>2862</v>
      </c>
      <c r="I347" s="97">
        <v>0.88470000000000004</v>
      </c>
      <c r="J347" s="103" t="s">
        <v>850</v>
      </c>
      <c r="K347" s="95" t="s">
        <v>1643</v>
      </c>
      <c r="L347" s="95" t="s">
        <v>1897</v>
      </c>
      <c r="M347" s="97">
        <v>0.2</v>
      </c>
      <c r="N347" s="98" t="s">
        <v>2863</v>
      </c>
      <c r="O347" s="97">
        <v>0.19839999999999999</v>
      </c>
      <c r="P347" s="98" t="s">
        <v>2864</v>
      </c>
      <c r="Q347" s="95" t="s">
        <v>1644</v>
      </c>
      <c r="R347" s="95" t="s">
        <v>1897</v>
      </c>
      <c r="S347" s="103" t="s">
        <v>850</v>
      </c>
      <c r="T347" s="103" t="s">
        <v>850</v>
      </c>
      <c r="U347" s="103" t="s">
        <v>850</v>
      </c>
      <c r="V347" s="103" t="s">
        <v>850</v>
      </c>
      <c r="W347" s="103"/>
      <c r="X347" s="103" t="s">
        <v>850</v>
      </c>
    </row>
    <row r="348" spans="1:24" x14ac:dyDescent="0.25">
      <c r="A348" s="95" t="s">
        <v>1586</v>
      </c>
      <c r="B348" s="96" t="s">
        <v>1587</v>
      </c>
      <c r="C348" s="95" t="s">
        <v>822</v>
      </c>
      <c r="D348" s="95" t="s">
        <v>1885</v>
      </c>
      <c r="E348" s="95" t="s">
        <v>2904</v>
      </c>
      <c r="F348" s="95" t="s">
        <v>1864</v>
      </c>
      <c r="G348" s="97">
        <v>0.5</v>
      </c>
      <c r="H348" s="98" t="s">
        <v>2129</v>
      </c>
      <c r="I348" s="97">
        <v>0.43359999999999999</v>
      </c>
      <c r="J348" s="98" t="s">
        <v>2905</v>
      </c>
      <c r="K348" s="95" t="s">
        <v>1644</v>
      </c>
      <c r="L348" s="95" t="s">
        <v>1897</v>
      </c>
      <c r="M348" s="97">
        <v>0.3</v>
      </c>
      <c r="N348" s="98" t="s">
        <v>2906</v>
      </c>
      <c r="O348" s="97">
        <v>0.2024</v>
      </c>
      <c r="P348" s="98" t="s">
        <v>1951</v>
      </c>
      <c r="Q348" s="95" t="s">
        <v>1643</v>
      </c>
      <c r="R348" s="95" t="s">
        <v>1897</v>
      </c>
      <c r="S348" s="97">
        <v>0.4</v>
      </c>
      <c r="T348" s="98" t="s">
        <v>1966</v>
      </c>
      <c r="U348" s="97">
        <v>0.3861</v>
      </c>
      <c r="V348" s="98" t="s">
        <v>2907</v>
      </c>
      <c r="W348" s="95" t="s">
        <v>1644</v>
      </c>
      <c r="X348" s="95" t="s">
        <v>1897</v>
      </c>
    </row>
    <row r="349" spans="1:24" x14ac:dyDescent="0.25">
      <c r="A349" s="99" t="s">
        <v>835</v>
      </c>
      <c r="B349" s="100" t="s">
        <v>836</v>
      </c>
      <c r="C349" s="99" t="s">
        <v>837</v>
      </c>
      <c r="D349" s="99" t="s">
        <v>1948</v>
      </c>
      <c r="E349" s="99" t="s">
        <v>1949</v>
      </c>
      <c r="F349" s="99" t="s">
        <v>1894</v>
      </c>
      <c r="G349" s="101">
        <v>2</v>
      </c>
      <c r="H349" s="102" t="s">
        <v>1950</v>
      </c>
      <c r="I349" s="101">
        <v>1.8913</v>
      </c>
      <c r="J349" s="102" t="s">
        <v>1951</v>
      </c>
      <c r="K349" s="99" t="s">
        <v>1643</v>
      </c>
      <c r="L349" s="99" t="s">
        <v>1897</v>
      </c>
      <c r="M349" s="103" t="s">
        <v>850</v>
      </c>
      <c r="N349" s="103" t="s">
        <v>850</v>
      </c>
      <c r="O349" s="103" t="s">
        <v>850</v>
      </c>
      <c r="P349" s="103" t="s">
        <v>850</v>
      </c>
      <c r="Q349" s="103"/>
      <c r="R349" s="103" t="s">
        <v>850</v>
      </c>
      <c r="S349" s="103" t="s">
        <v>850</v>
      </c>
      <c r="T349" s="103" t="s">
        <v>850</v>
      </c>
      <c r="U349" s="103" t="s">
        <v>850</v>
      </c>
      <c r="V349" s="103" t="s">
        <v>850</v>
      </c>
      <c r="W349" s="103"/>
      <c r="X349" s="103" t="s">
        <v>850</v>
      </c>
    </row>
    <row r="350" spans="1:24" x14ac:dyDescent="0.25">
      <c r="A350" s="99" t="s">
        <v>861</v>
      </c>
      <c r="B350" s="100" t="s">
        <v>862</v>
      </c>
      <c r="C350" s="99" t="s">
        <v>837</v>
      </c>
      <c r="D350" s="99" t="s">
        <v>1984</v>
      </c>
      <c r="E350" s="99" t="s">
        <v>1984</v>
      </c>
      <c r="F350" s="99" t="s">
        <v>92</v>
      </c>
      <c r="G350" s="101">
        <v>1</v>
      </c>
      <c r="H350" s="102" t="s">
        <v>1985</v>
      </c>
      <c r="I350" s="101">
        <v>1</v>
      </c>
      <c r="J350" s="102" t="s">
        <v>1986</v>
      </c>
      <c r="K350" s="99" t="s">
        <v>1644</v>
      </c>
      <c r="L350" s="99" t="s">
        <v>1897</v>
      </c>
      <c r="M350" s="101">
        <v>1</v>
      </c>
      <c r="N350" s="102" t="s">
        <v>1987</v>
      </c>
      <c r="O350" s="101">
        <v>1</v>
      </c>
      <c r="P350" s="102" t="s">
        <v>1986</v>
      </c>
      <c r="Q350" s="99" t="s">
        <v>1644</v>
      </c>
      <c r="R350" s="99" t="s">
        <v>1889</v>
      </c>
      <c r="S350" s="160"/>
      <c r="T350" s="161"/>
      <c r="U350" s="160"/>
      <c r="V350" s="161"/>
      <c r="W350" s="103"/>
      <c r="X350" s="103"/>
    </row>
    <row r="351" spans="1:24" x14ac:dyDescent="0.25">
      <c r="A351" s="99" t="s">
        <v>923</v>
      </c>
      <c r="B351" s="100" t="s">
        <v>924</v>
      </c>
      <c r="C351" s="99" t="s">
        <v>837</v>
      </c>
      <c r="D351" s="99" t="s">
        <v>1925</v>
      </c>
      <c r="E351" s="99" t="s">
        <v>2079</v>
      </c>
      <c r="F351" s="99" t="s">
        <v>1864</v>
      </c>
      <c r="G351" s="101">
        <v>2</v>
      </c>
      <c r="H351" s="102" t="s">
        <v>2080</v>
      </c>
      <c r="I351" s="101">
        <v>1.5130999999999999</v>
      </c>
      <c r="J351" s="103" t="s">
        <v>850</v>
      </c>
      <c r="K351" s="99" t="s">
        <v>1643</v>
      </c>
      <c r="L351" s="99" t="s">
        <v>1889</v>
      </c>
      <c r="M351" s="103" t="s">
        <v>850</v>
      </c>
      <c r="N351" s="103" t="s">
        <v>850</v>
      </c>
      <c r="O351" s="103" t="s">
        <v>850</v>
      </c>
      <c r="P351" s="103" t="s">
        <v>850</v>
      </c>
      <c r="Q351" s="103"/>
      <c r="R351" s="103" t="s">
        <v>850</v>
      </c>
      <c r="S351" s="103"/>
      <c r="T351" s="103"/>
      <c r="U351" s="103"/>
      <c r="V351" s="103"/>
      <c r="W351" s="103"/>
      <c r="X351" s="103"/>
    </row>
    <row r="352" spans="1:24" x14ac:dyDescent="0.25">
      <c r="A352" s="99" t="s">
        <v>925</v>
      </c>
      <c r="B352" s="100" t="s">
        <v>926</v>
      </c>
      <c r="C352" s="99" t="s">
        <v>837</v>
      </c>
      <c r="D352" s="99" t="s">
        <v>1884</v>
      </c>
      <c r="E352" s="99" t="s">
        <v>2081</v>
      </c>
      <c r="F352" s="99" t="s">
        <v>1894</v>
      </c>
      <c r="G352" s="101">
        <v>1.56</v>
      </c>
      <c r="H352" s="102" t="s">
        <v>2082</v>
      </c>
      <c r="I352" s="101">
        <v>1.56</v>
      </c>
      <c r="J352" s="102" t="s">
        <v>2083</v>
      </c>
      <c r="K352" s="99" t="s">
        <v>1644</v>
      </c>
      <c r="L352" s="99" t="s">
        <v>1897</v>
      </c>
      <c r="M352" s="103" t="s">
        <v>850</v>
      </c>
      <c r="N352" s="103" t="s">
        <v>850</v>
      </c>
      <c r="O352" s="103" t="s">
        <v>850</v>
      </c>
      <c r="P352" s="103" t="s">
        <v>850</v>
      </c>
      <c r="Q352" s="103"/>
      <c r="R352" s="103" t="s">
        <v>850</v>
      </c>
      <c r="S352" s="103"/>
      <c r="T352" s="103"/>
      <c r="U352" s="103"/>
      <c r="V352" s="103"/>
      <c r="W352" s="103"/>
      <c r="X352" s="103"/>
    </row>
    <row r="353" spans="1:24" x14ac:dyDescent="0.25">
      <c r="A353" s="99" t="s">
        <v>955</v>
      </c>
      <c r="B353" s="100" t="s">
        <v>956</v>
      </c>
      <c r="C353" s="99" t="s">
        <v>837</v>
      </c>
      <c r="D353" s="99" t="s">
        <v>2132</v>
      </c>
      <c r="E353" s="99" t="s">
        <v>2133</v>
      </c>
      <c r="F353" s="99" t="s">
        <v>1894</v>
      </c>
      <c r="G353" s="101">
        <v>1.75</v>
      </c>
      <c r="H353" s="102" t="s">
        <v>2134</v>
      </c>
      <c r="I353" s="101">
        <v>1.75</v>
      </c>
      <c r="J353" s="102" t="s">
        <v>2135</v>
      </c>
      <c r="K353" s="99" t="s">
        <v>1644</v>
      </c>
      <c r="L353" s="99" t="s">
        <v>1897</v>
      </c>
      <c r="M353" s="103" t="s">
        <v>850</v>
      </c>
      <c r="N353" s="103" t="s">
        <v>850</v>
      </c>
      <c r="O353" s="103" t="s">
        <v>850</v>
      </c>
      <c r="P353" s="103" t="s">
        <v>850</v>
      </c>
      <c r="Q353" s="103"/>
      <c r="R353" s="103" t="s">
        <v>850</v>
      </c>
      <c r="S353" s="103"/>
      <c r="T353" s="103"/>
      <c r="U353" s="103"/>
      <c r="V353" s="103"/>
      <c r="W353" s="103"/>
      <c r="X353" s="103"/>
    </row>
    <row r="354" spans="1:24" x14ac:dyDescent="0.25">
      <c r="A354" s="99" t="s">
        <v>961</v>
      </c>
      <c r="B354" s="100" t="s">
        <v>962</v>
      </c>
      <c r="C354" s="99" t="s">
        <v>837</v>
      </c>
      <c r="D354" s="99" t="s">
        <v>1952</v>
      </c>
      <c r="E354" s="99" t="s">
        <v>1980</v>
      </c>
      <c r="F354" s="99" t="s">
        <v>1894</v>
      </c>
      <c r="G354" s="101">
        <v>1</v>
      </c>
      <c r="H354" s="102" t="s">
        <v>2138</v>
      </c>
      <c r="I354" s="101">
        <v>0.87980000000000003</v>
      </c>
      <c r="J354" s="102" t="s">
        <v>2139</v>
      </c>
      <c r="K354" s="99" t="s">
        <v>1643</v>
      </c>
      <c r="L354" s="99" t="s">
        <v>1889</v>
      </c>
      <c r="M354" s="101">
        <v>0.39</v>
      </c>
      <c r="N354" s="102" t="s">
        <v>2129</v>
      </c>
      <c r="O354" s="101">
        <v>0.38030000000000003</v>
      </c>
      <c r="P354" s="102" t="s">
        <v>2090</v>
      </c>
      <c r="Q354" s="99" t="s">
        <v>1644</v>
      </c>
      <c r="R354" s="99" t="s">
        <v>1889</v>
      </c>
      <c r="S354" s="103"/>
      <c r="T354" s="103"/>
      <c r="U354" s="103"/>
      <c r="V354" s="103"/>
      <c r="W354" s="103"/>
      <c r="X354" s="103"/>
    </row>
    <row r="355" spans="1:24" x14ac:dyDescent="0.25">
      <c r="A355" s="99" t="s">
        <v>995</v>
      </c>
      <c r="B355" s="100" t="s">
        <v>996</v>
      </c>
      <c r="C355" s="99" t="s">
        <v>837</v>
      </c>
      <c r="D355" s="99" t="s">
        <v>1925</v>
      </c>
      <c r="E355" s="99" t="s">
        <v>2193</v>
      </c>
      <c r="F355" s="99" t="s">
        <v>88</v>
      </c>
      <c r="G355" s="101">
        <v>1</v>
      </c>
      <c r="H355" s="102" t="s">
        <v>2194</v>
      </c>
      <c r="I355" s="101">
        <v>0.90820000000000001</v>
      </c>
      <c r="J355" s="102" t="s">
        <v>1660</v>
      </c>
      <c r="K355" s="99" t="s">
        <v>1643</v>
      </c>
      <c r="L355" s="99" t="s">
        <v>1889</v>
      </c>
      <c r="M355" s="101">
        <v>0.95</v>
      </c>
      <c r="N355" s="102" t="s">
        <v>2195</v>
      </c>
      <c r="O355" s="101">
        <v>0.93899999999999995</v>
      </c>
      <c r="P355" s="102" t="s">
        <v>1660</v>
      </c>
      <c r="Q355" s="99" t="s">
        <v>1643</v>
      </c>
      <c r="R355" s="99" t="s">
        <v>1889</v>
      </c>
      <c r="S355" s="103"/>
      <c r="T355" s="103"/>
      <c r="U355" s="103"/>
      <c r="V355" s="103"/>
      <c r="W355" s="103"/>
      <c r="X355" s="103"/>
    </row>
    <row r="356" spans="1:24" x14ac:dyDescent="0.25">
      <c r="A356" s="99" t="s">
        <v>997</v>
      </c>
      <c r="B356" s="100" t="s">
        <v>998</v>
      </c>
      <c r="C356" s="99" t="s">
        <v>837</v>
      </c>
      <c r="D356" s="99" t="s">
        <v>1925</v>
      </c>
      <c r="E356" s="99" t="s">
        <v>2196</v>
      </c>
      <c r="F356" s="99" t="s">
        <v>88</v>
      </c>
      <c r="G356" s="101">
        <v>1</v>
      </c>
      <c r="H356" s="102" t="s">
        <v>2197</v>
      </c>
      <c r="I356" s="101">
        <v>1</v>
      </c>
      <c r="J356" s="102" t="s">
        <v>2198</v>
      </c>
      <c r="K356" s="99" t="s">
        <v>1644</v>
      </c>
      <c r="L356" s="99" t="s">
        <v>1897</v>
      </c>
      <c r="M356" s="101">
        <v>0.69</v>
      </c>
      <c r="N356" s="102" t="s">
        <v>2199</v>
      </c>
      <c r="O356" s="101">
        <v>0.69</v>
      </c>
      <c r="P356" s="102" t="s">
        <v>2200</v>
      </c>
      <c r="Q356" s="99" t="s">
        <v>1644</v>
      </c>
      <c r="R356" s="99" t="s">
        <v>1897</v>
      </c>
      <c r="S356" s="160"/>
      <c r="T356" s="103"/>
      <c r="U356" s="160"/>
      <c r="V356" s="103"/>
      <c r="W356" s="103"/>
      <c r="X356" s="103"/>
    </row>
    <row r="357" spans="1:24" x14ac:dyDescent="0.25">
      <c r="A357" s="99" t="s">
        <v>1005</v>
      </c>
      <c r="B357" s="100" t="s">
        <v>1006</v>
      </c>
      <c r="C357" s="99" t="s">
        <v>837</v>
      </c>
      <c r="D357" s="99" t="s">
        <v>1925</v>
      </c>
      <c r="E357" s="99" t="s">
        <v>2208</v>
      </c>
      <c r="F357" s="99" t="s">
        <v>88</v>
      </c>
      <c r="G357" s="101">
        <v>0.64</v>
      </c>
      <c r="H357" s="102" t="s">
        <v>2209</v>
      </c>
      <c r="I357" s="101">
        <v>0.64</v>
      </c>
      <c r="J357" s="102" t="s">
        <v>1661</v>
      </c>
      <c r="K357" s="99" t="s">
        <v>1643</v>
      </c>
      <c r="L357" s="99" t="s">
        <v>1897</v>
      </c>
      <c r="M357" s="101">
        <v>4</v>
      </c>
      <c r="N357" s="102" t="s">
        <v>2210</v>
      </c>
      <c r="O357" s="101">
        <v>4</v>
      </c>
      <c r="P357" s="102" t="s">
        <v>2211</v>
      </c>
      <c r="Q357" s="99" t="s">
        <v>1644</v>
      </c>
      <c r="R357" s="99" t="s">
        <v>1897</v>
      </c>
      <c r="S357" s="103"/>
      <c r="T357" s="103"/>
      <c r="U357" s="103"/>
      <c r="V357" s="103"/>
      <c r="W357" s="103"/>
      <c r="X357" s="103"/>
    </row>
    <row r="358" spans="1:24" x14ac:dyDescent="0.25">
      <c r="A358" s="99" t="s">
        <v>1051</v>
      </c>
      <c r="B358" s="100" t="s">
        <v>1052</v>
      </c>
      <c r="C358" s="99" t="s">
        <v>837</v>
      </c>
      <c r="D358" s="99" t="s">
        <v>1885</v>
      </c>
      <c r="E358" s="99" t="s">
        <v>2268</v>
      </c>
      <c r="F358" s="99" t="s">
        <v>1894</v>
      </c>
      <c r="G358" s="101">
        <v>0.58560000000000001</v>
      </c>
      <c r="H358" s="102" t="s">
        <v>2269</v>
      </c>
      <c r="I358" s="101">
        <v>0.57299999999999995</v>
      </c>
      <c r="J358" s="102" t="s">
        <v>2270</v>
      </c>
      <c r="K358" s="99" t="s">
        <v>1644</v>
      </c>
      <c r="L358" s="99" t="s">
        <v>1897</v>
      </c>
      <c r="M358" s="101">
        <v>1</v>
      </c>
      <c r="N358" s="102" t="s">
        <v>2271</v>
      </c>
      <c r="O358" s="101">
        <v>0.97870000000000001</v>
      </c>
      <c r="P358" s="102" t="s">
        <v>2220</v>
      </c>
      <c r="Q358" s="99" t="s">
        <v>1644</v>
      </c>
      <c r="R358" s="99" t="s">
        <v>1897</v>
      </c>
      <c r="S358" s="160"/>
      <c r="T358" s="103"/>
      <c r="U358" s="103"/>
      <c r="V358" s="103"/>
      <c r="W358" s="103"/>
      <c r="X358" s="103"/>
    </row>
    <row r="359" spans="1:24" x14ac:dyDescent="0.25">
      <c r="A359" s="99" t="s">
        <v>1063</v>
      </c>
      <c r="B359" s="100" t="s">
        <v>1064</v>
      </c>
      <c r="C359" s="99" t="s">
        <v>837</v>
      </c>
      <c r="D359" s="99" t="s">
        <v>2286</v>
      </c>
      <c r="E359" s="99" t="s">
        <v>2287</v>
      </c>
      <c r="F359" s="99" t="s">
        <v>1894</v>
      </c>
      <c r="G359" s="101">
        <v>2</v>
      </c>
      <c r="H359" s="102" t="s">
        <v>2288</v>
      </c>
      <c r="I359" s="101">
        <v>2</v>
      </c>
      <c r="J359" s="102" t="s">
        <v>1829</v>
      </c>
      <c r="K359" s="99" t="s">
        <v>1643</v>
      </c>
      <c r="L359" s="99" t="s">
        <v>1897</v>
      </c>
      <c r="M359" s="101">
        <v>1.4</v>
      </c>
      <c r="N359" s="102" t="s">
        <v>2289</v>
      </c>
      <c r="O359" s="101">
        <v>1.4</v>
      </c>
      <c r="P359" s="102" t="s">
        <v>2290</v>
      </c>
      <c r="Q359" s="99" t="s">
        <v>1644</v>
      </c>
      <c r="R359" s="99" t="s">
        <v>1897</v>
      </c>
      <c r="S359" s="101">
        <v>0.6</v>
      </c>
      <c r="T359" s="102" t="s">
        <v>2291</v>
      </c>
      <c r="U359" s="101">
        <v>0.6</v>
      </c>
      <c r="V359" s="102" t="s">
        <v>2290</v>
      </c>
      <c r="W359" s="99" t="s">
        <v>1644</v>
      </c>
      <c r="X359" s="99" t="s">
        <v>1897</v>
      </c>
    </row>
    <row r="360" spans="1:24" x14ac:dyDescent="0.25">
      <c r="A360" s="99" t="s">
        <v>1089</v>
      </c>
      <c r="B360" s="100" t="s">
        <v>1090</v>
      </c>
      <c r="C360" s="99" t="s">
        <v>837</v>
      </c>
      <c r="D360" s="99" t="s">
        <v>2286</v>
      </c>
      <c r="E360" s="99" t="s">
        <v>2326</v>
      </c>
      <c r="F360" s="99" t="s">
        <v>1894</v>
      </c>
      <c r="G360" s="101">
        <v>0.99809999999999999</v>
      </c>
      <c r="H360" s="102" t="s">
        <v>1900</v>
      </c>
      <c r="I360" s="101">
        <v>0.998</v>
      </c>
      <c r="J360" s="102" t="s">
        <v>1902</v>
      </c>
      <c r="K360" s="99" t="s">
        <v>1644</v>
      </c>
      <c r="L360" s="99" t="s">
        <v>1897</v>
      </c>
      <c r="M360" s="103" t="s">
        <v>850</v>
      </c>
      <c r="N360" s="103" t="s">
        <v>850</v>
      </c>
      <c r="O360" s="103" t="s">
        <v>850</v>
      </c>
      <c r="P360" s="103" t="s">
        <v>850</v>
      </c>
      <c r="Q360" s="103" t="s">
        <v>850</v>
      </c>
      <c r="R360" s="103" t="s">
        <v>850</v>
      </c>
      <c r="S360" s="103" t="s">
        <v>850</v>
      </c>
      <c r="T360" s="103" t="s">
        <v>850</v>
      </c>
      <c r="U360" s="103" t="s">
        <v>850</v>
      </c>
      <c r="V360" s="103" t="s">
        <v>850</v>
      </c>
      <c r="W360" s="103" t="s">
        <v>850</v>
      </c>
      <c r="X360" s="103" t="s">
        <v>850</v>
      </c>
    </row>
    <row r="361" spans="1:24" x14ac:dyDescent="0.25">
      <c r="A361" s="99" t="s">
        <v>1103</v>
      </c>
      <c r="B361" s="100" t="s">
        <v>1104</v>
      </c>
      <c r="C361" s="99" t="s">
        <v>837</v>
      </c>
      <c r="D361" s="99" t="s">
        <v>2140</v>
      </c>
      <c r="E361" s="99" t="s">
        <v>2140</v>
      </c>
      <c r="F361" s="99" t="s">
        <v>88</v>
      </c>
      <c r="G361" s="101">
        <v>1</v>
      </c>
      <c r="H361" s="102"/>
      <c r="I361" s="101">
        <v>1</v>
      </c>
      <c r="J361" s="102"/>
      <c r="K361" s="99" t="s">
        <v>1644</v>
      </c>
      <c r="L361" s="99" t="s">
        <v>1897</v>
      </c>
      <c r="M361" s="160"/>
      <c r="N361" s="161"/>
      <c r="O361" s="160"/>
      <c r="P361" s="161"/>
      <c r="Q361" s="103"/>
      <c r="R361" s="103"/>
      <c r="S361" s="160"/>
      <c r="T361" s="161"/>
      <c r="U361" s="160"/>
      <c r="V361" s="161"/>
      <c r="W361" s="103"/>
      <c r="X361" s="103"/>
    </row>
    <row r="362" spans="1:24" x14ac:dyDescent="0.25">
      <c r="A362" s="99" t="s">
        <v>1107</v>
      </c>
      <c r="B362" s="100" t="s">
        <v>1108</v>
      </c>
      <c r="C362" s="99" t="s">
        <v>837</v>
      </c>
      <c r="D362" s="99" t="s">
        <v>2098</v>
      </c>
      <c r="E362" s="99" t="s">
        <v>2342</v>
      </c>
      <c r="F362" s="99" t="s">
        <v>88</v>
      </c>
      <c r="G362" s="101">
        <v>2.15</v>
      </c>
      <c r="H362" s="102" t="s">
        <v>2343</v>
      </c>
      <c r="I362" s="101">
        <v>2.0728</v>
      </c>
      <c r="J362" s="102" t="s">
        <v>1660</v>
      </c>
      <c r="K362" s="99" t="s">
        <v>1643</v>
      </c>
      <c r="L362" s="99" t="s">
        <v>1897</v>
      </c>
      <c r="M362" s="101">
        <v>0.39500000000000002</v>
      </c>
      <c r="N362" s="102" t="s">
        <v>2344</v>
      </c>
      <c r="O362" s="101">
        <v>0.3805</v>
      </c>
      <c r="P362" s="102" t="s">
        <v>2345</v>
      </c>
      <c r="Q362" s="99" t="s">
        <v>1644</v>
      </c>
      <c r="R362" s="99" t="s">
        <v>1889</v>
      </c>
      <c r="S362" s="160"/>
      <c r="T362" s="103"/>
      <c r="U362" s="160"/>
      <c r="V362" s="103"/>
      <c r="W362" s="103"/>
      <c r="X362" s="103"/>
    </row>
    <row r="363" spans="1:24" x14ac:dyDescent="0.25">
      <c r="A363" s="99" t="s">
        <v>1111</v>
      </c>
      <c r="B363" s="100" t="s">
        <v>1112</v>
      </c>
      <c r="C363" s="99" t="s">
        <v>837</v>
      </c>
      <c r="D363" s="99" t="s">
        <v>1925</v>
      </c>
      <c r="E363" s="99" t="s">
        <v>2351</v>
      </c>
      <c r="F363" s="99" t="s">
        <v>1894</v>
      </c>
      <c r="G363" s="101">
        <v>1.7</v>
      </c>
      <c r="H363" s="102" t="s">
        <v>2352</v>
      </c>
      <c r="I363" s="101">
        <v>1.5078</v>
      </c>
      <c r="J363" s="103" t="s">
        <v>850</v>
      </c>
      <c r="K363" s="99" t="s">
        <v>1643</v>
      </c>
      <c r="L363" s="99" t="s">
        <v>1889</v>
      </c>
      <c r="M363" s="101">
        <v>0.68469999999999998</v>
      </c>
      <c r="N363" s="102" t="s">
        <v>2353</v>
      </c>
      <c r="O363" s="101">
        <v>0.68469999999999998</v>
      </c>
      <c r="P363" s="102" t="s">
        <v>2354</v>
      </c>
      <c r="Q363" s="99" t="s">
        <v>1644</v>
      </c>
      <c r="R363" s="99" t="s">
        <v>1889</v>
      </c>
      <c r="S363" s="103"/>
      <c r="T363" s="103"/>
      <c r="U363" s="103"/>
      <c r="V363" s="103"/>
      <c r="W363" s="103"/>
      <c r="X363" s="103"/>
    </row>
    <row r="364" spans="1:24" x14ac:dyDescent="0.25">
      <c r="A364" s="99" t="s">
        <v>1137</v>
      </c>
      <c r="B364" s="100" t="s">
        <v>1138</v>
      </c>
      <c r="C364" s="99" t="s">
        <v>837</v>
      </c>
      <c r="D364" s="99" t="s">
        <v>1926</v>
      </c>
      <c r="E364" s="99" t="s">
        <v>2396</v>
      </c>
      <c r="F364" s="99" t="s">
        <v>1894</v>
      </c>
      <c r="G364" s="101">
        <v>1.5</v>
      </c>
      <c r="H364" s="102" t="s">
        <v>2397</v>
      </c>
      <c r="I364" s="101">
        <v>1.4853000000000001</v>
      </c>
      <c r="J364" s="102" t="s">
        <v>2398</v>
      </c>
      <c r="K364" s="99" t="s">
        <v>1644</v>
      </c>
      <c r="L364" s="99" t="s">
        <v>1897</v>
      </c>
      <c r="M364" s="103"/>
      <c r="N364" s="161"/>
      <c r="O364" s="160"/>
      <c r="P364" s="161"/>
      <c r="Q364" s="103"/>
      <c r="R364" s="103"/>
      <c r="S364" s="160"/>
      <c r="T364" s="161"/>
      <c r="U364" s="160"/>
      <c r="V364" s="161"/>
      <c r="W364" s="103"/>
      <c r="X364" s="103"/>
    </row>
    <row r="365" spans="1:24" x14ac:dyDescent="0.25">
      <c r="A365" s="99" t="s">
        <v>1159</v>
      </c>
      <c r="B365" s="100" t="s">
        <v>1160</v>
      </c>
      <c r="C365" s="99" t="s">
        <v>837</v>
      </c>
      <c r="D365" s="99" t="s">
        <v>2052</v>
      </c>
      <c r="E365" s="99" t="s">
        <v>2421</v>
      </c>
      <c r="F365" s="99" t="s">
        <v>1894</v>
      </c>
      <c r="G365" s="101">
        <v>1</v>
      </c>
      <c r="H365" s="102" t="s">
        <v>2422</v>
      </c>
      <c r="I365" s="101">
        <v>0.6714</v>
      </c>
      <c r="J365" s="103" t="s">
        <v>850</v>
      </c>
      <c r="K365" s="99" t="s">
        <v>1643</v>
      </c>
      <c r="L365" s="99" t="s">
        <v>1897</v>
      </c>
      <c r="M365" s="101">
        <v>0.4</v>
      </c>
      <c r="N365" s="102" t="s">
        <v>2423</v>
      </c>
      <c r="O365" s="101">
        <v>0.38800000000000001</v>
      </c>
      <c r="P365" s="102" t="s">
        <v>2424</v>
      </c>
      <c r="Q365" s="99" t="s">
        <v>1644</v>
      </c>
      <c r="R365" s="99" t="s">
        <v>1889</v>
      </c>
      <c r="S365" s="103"/>
      <c r="T365" s="103"/>
      <c r="U365" s="103"/>
      <c r="V365" s="103"/>
      <c r="W365" s="103"/>
      <c r="X365" s="103"/>
    </row>
    <row r="366" spans="1:24" x14ac:dyDescent="0.25">
      <c r="A366" s="99" t="s">
        <v>1179</v>
      </c>
      <c r="B366" s="100" t="s">
        <v>1180</v>
      </c>
      <c r="C366" s="99" t="s">
        <v>837</v>
      </c>
      <c r="D366" s="99" t="s">
        <v>2439</v>
      </c>
      <c r="E366" s="99" t="s">
        <v>2440</v>
      </c>
      <c r="F366" s="99" t="s">
        <v>1894</v>
      </c>
      <c r="G366" s="101">
        <v>1.7569999999999999</v>
      </c>
      <c r="H366" s="102" t="s">
        <v>2374</v>
      </c>
      <c r="I366" s="101">
        <v>1.7569999999999999</v>
      </c>
      <c r="J366" s="102" t="s">
        <v>2190</v>
      </c>
      <c r="K366" s="99" t="s">
        <v>1644</v>
      </c>
      <c r="L366" s="99" t="s">
        <v>1897</v>
      </c>
      <c r="M366" s="160"/>
      <c r="N366" s="161"/>
      <c r="O366" s="160"/>
      <c r="P366" s="161"/>
      <c r="Q366" s="103"/>
      <c r="R366" s="103"/>
      <c r="S366" s="160"/>
      <c r="T366" s="161"/>
      <c r="U366" s="160"/>
      <c r="V366" s="161"/>
      <c r="W366" s="103"/>
      <c r="X366" s="103"/>
    </row>
    <row r="367" spans="1:24" x14ac:dyDescent="0.25">
      <c r="A367" s="99" t="s">
        <v>1187</v>
      </c>
      <c r="B367" s="100" t="s">
        <v>1188</v>
      </c>
      <c r="C367" s="99" t="s">
        <v>837</v>
      </c>
      <c r="D367" s="99" t="s">
        <v>1964</v>
      </c>
      <c r="E367" s="99" t="s">
        <v>2446</v>
      </c>
      <c r="F367" s="99" t="s">
        <v>1894</v>
      </c>
      <c r="G367" s="101">
        <v>2.7782</v>
      </c>
      <c r="H367" s="102" t="s">
        <v>2447</v>
      </c>
      <c r="I367" s="101">
        <v>2.7782</v>
      </c>
      <c r="J367" s="102" t="s">
        <v>2448</v>
      </c>
      <c r="K367" s="99" t="s">
        <v>1644</v>
      </c>
      <c r="L367" s="99" t="s">
        <v>1897</v>
      </c>
      <c r="M367" s="101">
        <v>1.1800999999999999</v>
      </c>
      <c r="N367" s="102" t="s">
        <v>2449</v>
      </c>
      <c r="O367" s="101">
        <v>1.1800999999999999</v>
      </c>
      <c r="P367" s="102" t="s">
        <v>2450</v>
      </c>
      <c r="Q367" s="99" t="s">
        <v>1644</v>
      </c>
      <c r="R367" s="99" t="s">
        <v>1897</v>
      </c>
      <c r="S367" s="103"/>
      <c r="T367" s="103"/>
      <c r="U367" s="103"/>
      <c r="V367" s="103"/>
      <c r="W367" s="103"/>
      <c r="X367" s="103"/>
    </row>
    <row r="368" spans="1:24" x14ac:dyDescent="0.25">
      <c r="A368" s="99" t="s">
        <v>1191</v>
      </c>
      <c r="B368" s="100" t="s">
        <v>1192</v>
      </c>
      <c r="C368" s="99" t="s">
        <v>837</v>
      </c>
      <c r="D368" s="99" t="s">
        <v>2098</v>
      </c>
      <c r="E368" s="99" t="s">
        <v>2453</v>
      </c>
      <c r="F368" s="99" t="s">
        <v>1894</v>
      </c>
      <c r="G368" s="101">
        <v>1.28</v>
      </c>
      <c r="H368" s="102" t="s">
        <v>2454</v>
      </c>
      <c r="I368" s="101">
        <v>1.2774000000000001</v>
      </c>
      <c r="J368" s="102" t="s">
        <v>2455</v>
      </c>
      <c r="K368" s="99" t="s">
        <v>1644</v>
      </c>
      <c r="L368" s="99" t="s">
        <v>1897</v>
      </c>
      <c r="M368" s="103"/>
      <c r="N368" s="103"/>
      <c r="O368" s="103"/>
      <c r="P368" s="103"/>
      <c r="Q368" s="103"/>
      <c r="R368" s="103"/>
      <c r="S368" s="103"/>
      <c r="T368" s="103"/>
      <c r="U368" s="103"/>
      <c r="V368" s="103"/>
      <c r="W368" s="103"/>
      <c r="X368" s="103"/>
    </row>
    <row r="369" spans="1:24" x14ac:dyDescent="0.25">
      <c r="A369" s="99" t="s">
        <v>1201</v>
      </c>
      <c r="B369" s="100" t="s">
        <v>1202</v>
      </c>
      <c r="C369" s="99" t="s">
        <v>837</v>
      </c>
      <c r="D369" s="99" t="s">
        <v>1936</v>
      </c>
      <c r="E369" s="99" t="s">
        <v>2464</v>
      </c>
      <c r="F369" s="99" t="s">
        <v>1894</v>
      </c>
      <c r="G369" s="101">
        <v>0.9</v>
      </c>
      <c r="H369" s="102" t="s">
        <v>2465</v>
      </c>
      <c r="I369" s="101">
        <v>0.88629999999999998</v>
      </c>
      <c r="J369" s="102" t="s">
        <v>2466</v>
      </c>
      <c r="K369" s="99" t="s">
        <v>1644</v>
      </c>
      <c r="L369" s="99" t="s">
        <v>1897</v>
      </c>
      <c r="M369" s="103"/>
      <c r="N369" s="103"/>
      <c r="O369" s="103"/>
      <c r="P369" s="103"/>
      <c r="Q369" s="103"/>
      <c r="R369" s="103"/>
      <c r="S369" s="103"/>
      <c r="T369" s="103"/>
      <c r="U369" s="103"/>
      <c r="V369" s="103"/>
      <c r="W369" s="103"/>
      <c r="X369" s="103"/>
    </row>
    <row r="370" spans="1:24" x14ac:dyDescent="0.25">
      <c r="A370" s="99" t="s">
        <v>1227</v>
      </c>
      <c r="B370" s="100" t="s">
        <v>1228</v>
      </c>
      <c r="C370" s="99" t="s">
        <v>837</v>
      </c>
      <c r="D370" s="99" t="s">
        <v>1925</v>
      </c>
      <c r="E370" s="99" t="s">
        <v>2490</v>
      </c>
      <c r="F370" s="99" t="s">
        <v>88</v>
      </c>
      <c r="G370" s="101">
        <v>1</v>
      </c>
      <c r="H370" s="102" t="s">
        <v>2491</v>
      </c>
      <c r="I370" s="101">
        <v>0.8</v>
      </c>
      <c r="J370" s="103" t="s">
        <v>850</v>
      </c>
      <c r="K370" s="99" t="s">
        <v>1643</v>
      </c>
      <c r="L370" s="99" t="s">
        <v>1889</v>
      </c>
      <c r="M370" s="103" t="s">
        <v>850</v>
      </c>
      <c r="N370" s="103" t="s">
        <v>850</v>
      </c>
      <c r="O370" s="103" t="s">
        <v>850</v>
      </c>
      <c r="P370" s="103" t="s">
        <v>850</v>
      </c>
      <c r="Q370" s="99" t="s">
        <v>1644</v>
      </c>
      <c r="R370" s="103" t="s">
        <v>850</v>
      </c>
      <c r="S370" s="103"/>
      <c r="T370" s="103"/>
      <c r="U370" s="103"/>
      <c r="V370" s="103"/>
      <c r="W370" s="103"/>
      <c r="X370" s="103"/>
    </row>
    <row r="371" spans="1:24" x14ac:dyDescent="0.25">
      <c r="A371" s="99" t="s">
        <v>1293</v>
      </c>
      <c r="B371" s="100" t="s">
        <v>1294</v>
      </c>
      <c r="C371" s="99" t="s">
        <v>837</v>
      </c>
      <c r="D371" s="99" t="s">
        <v>2544</v>
      </c>
      <c r="E371" s="99" t="s">
        <v>2544</v>
      </c>
      <c r="F371" s="99" t="s">
        <v>92</v>
      </c>
      <c r="G371" s="101">
        <v>1</v>
      </c>
      <c r="H371" s="102" t="s">
        <v>2465</v>
      </c>
      <c r="I371" s="101">
        <v>1</v>
      </c>
      <c r="J371" s="102" t="s">
        <v>2413</v>
      </c>
      <c r="K371" s="99" t="s">
        <v>1644</v>
      </c>
      <c r="L371" s="99" t="s">
        <v>1889</v>
      </c>
      <c r="M371" s="160"/>
      <c r="N371" s="161"/>
      <c r="O371" s="160"/>
      <c r="P371" s="161"/>
      <c r="Q371" s="103"/>
      <c r="R371" s="103"/>
      <c r="S371" s="160"/>
      <c r="T371" s="161"/>
      <c r="U371" s="160"/>
      <c r="V371" s="161"/>
      <c r="W371" s="103"/>
      <c r="X371" s="103"/>
    </row>
    <row r="372" spans="1:24" x14ac:dyDescent="0.25">
      <c r="A372" s="99" t="s">
        <v>1307</v>
      </c>
      <c r="B372" s="100" t="s">
        <v>1308</v>
      </c>
      <c r="C372" s="99" t="s">
        <v>837</v>
      </c>
      <c r="D372" s="99" t="s">
        <v>2309</v>
      </c>
      <c r="E372" s="99" t="s">
        <v>2310</v>
      </c>
      <c r="F372" s="99" t="s">
        <v>1894</v>
      </c>
      <c r="G372" s="101">
        <v>1.2490000000000001</v>
      </c>
      <c r="H372" s="102" t="s">
        <v>2566</v>
      </c>
      <c r="I372" s="101">
        <v>1.2490000000000001</v>
      </c>
      <c r="J372" s="102" t="s">
        <v>2574</v>
      </c>
      <c r="K372" s="99" t="s">
        <v>1644</v>
      </c>
      <c r="L372" s="99" t="s">
        <v>1897</v>
      </c>
      <c r="M372" s="160"/>
      <c r="N372" s="103"/>
      <c r="O372" s="160"/>
      <c r="P372" s="103"/>
      <c r="Q372" s="103"/>
      <c r="R372" s="103"/>
      <c r="S372" s="160"/>
      <c r="T372" s="103"/>
      <c r="U372" s="160"/>
      <c r="V372" s="103"/>
      <c r="W372" s="103"/>
      <c r="X372" s="103"/>
    </row>
    <row r="373" spans="1:24" x14ac:dyDescent="0.25">
      <c r="A373" s="99" t="s">
        <v>1327</v>
      </c>
      <c r="B373" s="100" t="s">
        <v>1328</v>
      </c>
      <c r="C373" s="99" t="s">
        <v>837</v>
      </c>
      <c r="D373" s="99" t="s">
        <v>1885</v>
      </c>
      <c r="E373" s="99" t="s">
        <v>2601</v>
      </c>
      <c r="F373" s="99" t="s">
        <v>88</v>
      </c>
      <c r="G373" s="101">
        <v>1</v>
      </c>
      <c r="H373" s="102" t="s">
        <v>2602</v>
      </c>
      <c r="I373" s="101">
        <v>0.75670000000000004</v>
      </c>
      <c r="J373" s="103" t="s">
        <v>850</v>
      </c>
      <c r="K373" s="99" t="s">
        <v>1643</v>
      </c>
      <c r="L373" s="99" t="s">
        <v>1897</v>
      </c>
      <c r="M373" s="160"/>
      <c r="N373" s="161"/>
      <c r="O373" s="160"/>
      <c r="P373" s="161"/>
      <c r="Q373" s="103"/>
      <c r="R373" s="103"/>
      <c r="S373" s="160"/>
      <c r="T373" s="161"/>
      <c r="U373" s="160"/>
      <c r="V373" s="161"/>
      <c r="W373" s="103"/>
      <c r="X373" s="103"/>
    </row>
    <row r="374" spans="1:24" x14ac:dyDescent="0.25">
      <c r="A374" s="99" t="s">
        <v>1375</v>
      </c>
      <c r="B374" s="100" t="s">
        <v>1376</v>
      </c>
      <c r="C374" s="99" t="s">
        <v>837</v>
      </c>
      <c r="D374" s="99" t="s">
        <v>1885</v>
      </c>
      <c r="E374" s="99" t="s">
        <v>2666</v>
      </c>
      <c r="F374" s="99" t="s">
        <v>88</v>
      </c>
      <c r="G374" s="101">
        <v>1</v>
      </c>
      <c r="H374" s="102" t="s">
        <v>2667</v>
      </c>
      <c r="I374" s="101">
        <v>1</v>
      </c>
      <c r="J374" s="102" t="s">
        <v>1902</v>
      </c>
      <c r="K374" s="99" t="s">
        <v>1644</v>
      </c>
      <c r="L374" s="99" t="s">
        <v>1897</v>
      </c>
      <c r="M374" s="160"/>
      <c r="N374" s="103"/>
      <c r="O374" s="160"/>
      <c r="P374" s="103"/>
      <c r="Q374" s="103"/>
      <c r="R374" s="103"/>
      <c r="S374" s="160"/>
      <c r="T374" s="103"/>
      <c r="U374" s="160"/>
      <c r="V374" s="103"/>
      <c r="W374" s="103"/>
      <c r="X374" s="103"/>
    </row>
    <row r="375" spans="1:24" x14ac:dyDescent="0.25">
      <c r="A375" s="99" t="s">
        <v>1379</v>
      </c>
      <c r="B375" s="100" t="s">
        <v>1380</v>
      </c>
      <c r="C375" s="99" t="s">
        <v>837</v>
      </c>
      <c r="D375" s="99" t="s">
        <v>1964</v>
      </c>
      <c r="E375" s="99" t="s">
        <v>2673</v>
      </c>
      <c r="F375" s="99" t="s">
        <v>1894</v>
      </c>
      <c r="G375" s="101">
        <v>1.5</v>
      </c>
      <c r="H375" s="102" t="s">
        <v>2674</v>
      </c>
      <c r="I375" s="101">
        <v>1.5</v>
      </c>
      <c r="J375" s="103" t="s">
        <v>850</v>
      </c>
      <c r="K375" s="99" t="s">
        <v>1643</v>
      </c>
      <c r="L375" s="99" t="s">
        <v>1889</v>
      </c>
      <c r="M375" s="101">
        <v>0.5</v>
      </c>
      <c r="N375" s="102" t="s">
        <v>2675</v>
      </c>
      <c r="O375" s="101">
        <v>0.5</v>
      </c>
      <c r="P375" s="102" t="s">
        <v>2676</v>
      </c>
      <c r="Q375" s="99" t="s">
        <v>1644</v>
      </c>
      <c r="R375" s="99" t="s">
        <v>1889</v>
      </c>
      <c r="S375" s="160"/>
      <c r="T375" s="103"/>
      <c r="U375" s="160"/>
      <c r="V375" s="103"/>
      <c r="W375" s="103"/>
      <c r="X375" s="103"/>
    </row>
    <row r="376" spans="1:24" x14ac:dyDescent="0.25">
      <c r="A376" s="99" t="s">
        <v>1389</v>
      </c>
      <c r="B376" s="100" t="s">
        <v>1390</v>
      </c>
      <c r="C376" s="99" t="s">
        <v>837</v>
      </c>
      <c r="D376" s="99" t="s">
        <v>2043</v>
      </c>
      <c r="E376" s="99" t="s">
        <v>2688</v>
      </c>
      <c r="F376" s="99" t="s">
        <v>1894</v>
      </c>
      <c r="G376" s="101">
        <v>2.7</v>
      </c>
      <c r="H376" s="102" t="s">
        <v>2131</v>
      </c>
      <c r="I376" s="101">
        <v>2.6947000000000001</v>
      </c>
      <c r="J376" s="102" t="s">
        <v>1661</v>
      </c>
      <c r="K376" s="99" t="s">
        <v>1643</v>
      </c>
      <c r="L376" s="99" t="s">
        <v>1897</v>
      </c>
      <c r="M376" s="101">
        <v>1.3</v>
      </c>
      <c r="N376" s="102" t="s">
        <v>2689</v>
      </c>
      <c r="O376" s="101">
        <v>1.2983</v>
      </c>
      <c r="P376" s="102" t="s">
        <v>2690</v>
      </c>
      <c r="Q376" s="99" t="s">
        <v>1644</v>
      </c>
      <c r="R376" s="99" t="s">
        <v>1897</v>
      </c>
      <c r="S376" s="103"/>
      <c r="T376" s="103"/>
      <c r="U376" s="103"/>
      <c r="V376" s="103"/>
      <c r="W376" s="103"/>
      <c r="X376" s="103"/>
    </row>
    <row r="377" spans="1:24" x14ac:dyDescent="0.25">
      <c r="A377" s="99" t="s">
        <v>1423</v>
      </c>
      <c r="B377" s="100" t="s">
        <v>1424</v>
      </c>
      <c r="C377" s="99" t="s">
        <v>837</v>
      </c>
      <c r="D377" s="99" t="s">
        <v>1885</v>
      </c>
      <c r="E377" s="99" t="s">
        <v>2723</v>
      </c>
      <c r="F377" s="99" t="s">
        <v>88</v>
      </c>
      <c r="G377" s="101">
        <v>1</v>
      </c>
      <c r="H377" s="102" t="s">
        <v>2724</v>
      </c>
      <c r="I377" s="101">
        <v>0.76580000000000004</v>
      </c>
      <c r="J377" s="103" t="s">
        <v>850</v>
      </c>
      <c r="K377" s="99" t="s">
        <v>1643</v>
      </c>
      <c r="L377" s="99" t="s">
        <v>1897</v>
      </c>
      <c r="M377" s="103" t="s">
        <v>850</v>
      </c>
      <c r="N377" s="103" t="s">
        <v>850</v>
      </c>
      <c r="O377" s="103" t="s">
        <v>850</v>
      </c>
      <c r="P377" s="103" t="s">
        <v>850</v>
      </c>
      <c r="Q377" s="103" t="s">
        <v>850</v>
      </c>
      <c r="R377" s="103" t="s">
        <v>850</v>
      </c>
      <c r="S377" s="103"/>
      <c r="T377" s="103"/>
      <c r="U377" s="103"/>
      <c r="V377" s="103"/>
      <c r="W377" s="103"/>
      <c r="X377" s="103"/>
    </row>
    <row r="378" spans="1:24" x14ac:dyDescent="0.25">
      <c r="A378" s="99" t="s">
        <v>1433</v>
      </c>
      <c r="B378" s="100" t="s">
        <v>1434</v>
      </c>
      <c r="C378" s="99" t="s">
        <v>837</v>
      </c>
      <c r="D378" s="99" t="s">
        <v>1885</v>
      </c>
      <c r="E378" s="99" t="s">
        <v>2731</v>
      </c>
      <c r="F378" s="99" t="s">
        <v>88</v>
      </c>
      <c r="G378" s="101">
        <v>1</v>
      </c>
      <c r="H378" s="102" t="s">
        <v>2732</v>
      </c>
      <c r="I378" s="101">
        <v>0.94599999999999995</v>
      </c>
      <c r="J378" s="102" t="s">
        <v>2733</v>
      </c>
      <c r="K378" s="99" t="s">
        <v>1644</v>
      </c>
      <c r="L378" s="99" t="s">
        <v>1889</v>
      </c>
      <c r="M378" s="103"/>
      <c r="N378" s="103"/>
      <c r="O378" s="103"/>
      <c r="P378" s="103"/>
      <c r="Q378" s="103"/>
      <c r="R378" s="103"/>
      <c r="S378" s="103"/>
      <c r="T378" s="103"/>
      <c r="U378" s="103"/>
      <c r="V378" s="103"/>
      <c r="W378" s="103"/>
      <c r="X378" s="103"/>
    </row>
    <row r="379" spans="1:24" x14ac:dyDescent="0.25">
      <c r="A379" s="99" t="s">
        <v>1439</v>
      </c>
      <c r="B379" s="100" t="s">
        <v>1440</v>
      </c>
      <c r="C379" s="99" t="s">
        <v>837</v>
      </c>
      <c r="D379" s="99" t="s">
        <v>2740</v>
      </c>
      <c r="E379" s="99" t="s">
        <v>2741</v>
      </c>
      <c r="F379" s="99" t="s">
        <v>92</v>
      </c>
      <c r="G379" s="101">
        <v>0.7</v>
      </c>
      <c r="H379" s="102" t="s">
        <v>2210</v>
      </c>
      <c r="I379" s="101">
        <v>0.7</v>
      </c>
      <c r="J379" s="102" t="s">
        <v>1979</v>
      </c>
      <c r="K379" s="99" t="s">
        <v>1644</v>
      </c>
      <c r="L379" s="99" t="s">
        <v>1897</v>
      </c>
      <c r="M379" s="160"/>
      <c r="N379" s="161"/>
      <c r="O379" s="160"/>
      <c r="P379" s="161"/>
      <c r="Q379" s="103"/>
      <c r="R379" s="103"/>
      <c r="S379" s="160"/>
      <c r="T379" s="161"/>
      <c r="U379" s="160"/>
      <c r="V379" s="161"/>
      <c r="W379" s="103"/>
      <c r="X379" s="103"/>
    </row>
    <row r="380" spans="1:24" x14ac:dyDescent="0.25">
      <c r="A380" s="99" t="s">
        <v>1441</v>
      </c>
      <c r="B380" s="100" t="s">
        <v>1442</v>
      </c>
      <c r="C380" s="99" t="s">
        <v>837</v>
      </c>
      <c r="D380" s="99" t="s">
        <v>1952</v>
      </c>
      <c r="E380" s="99" t="s">
        <v>2742</v>
      </c>
      <c r="F380" s="99" t="s">
        <v>88</v>
      </c>
      <c r="G380" s="101">
        <v>1</v>
      </c>
      <c r="H380" s="102" t="s">
        <v>2743</v>
      </c>
      <c r="I380" s="101">
        <v>0.88439999999999996</v>
      </c>
      <c r="J380" s="102" t="s">
        <v>2744</v>
      </c>
      <c r="K380" s="99" t="s">
        <v>1644</v>
      </c>
      <c r="L380" s="99" t="s">
        <v>1897</v>
      </c>
      <c r="M380" s="160"/>
      <c r="N380" s="161"/>
      <c r="O380" s="160"/>
      <c r="P380" s="161"/>
      <c r="Q380" s="103"/>
      <c r="R380" s="103"/>
      <c r="S380" s="160"/>
      <c r="T380" s="161"/>
      <c r="U380" s="160"/>
      <c r="V380" s="161"/>
      <c r="W380" s="103"/>
      <c r="X380" s="103"/>
    </row>
    <row r="381" spans="1:24" x14ac:dyDescent="0.25">
      <c r="A381" s="99" t="s">
        <v>1470</v>
      </c>
      <c r="B381" s="100" t="s">
        <v>1471</v>
      </c>
      <c r="C381" s="99" t="s">
        <v>837</v>
      </c>
      <c r="D381" s="99" t="s">
        <v>1952</v>
      </c>
      <c r="E381" s="99" t="s">
        <v>2776</v>
      </c>
      <c r="F381" s="99" t="s">
        <v>1864</v>
      </c>
      <c r="G381" s="160"/>
      <c r="H381" s="161"/>
      <c r="I381" s="160"/>
      <c r="J381" s="161"/>
      <c r="K381" s="103"/>
      <c r="L381" s="103"/>
      <c r="M381" s="160"/>
      <c r="N381" s="161"/>
      <c r="O381" s="160"/>
      <c r="P381" s="161"/>
      <c r="Q381" s="103"/>
      <c r="R381" s="103"/>
      <c r="S381" s="160"/>
      <c r="T381" s="161"/>
      <c r="U381" s="160"/>
      <c r="V381" s="161"/>
      <c r="W381" s="103"/>
      <c r="X381" s="103"/>
    </row>
    <row r="382" spans="1:24" x14ac:dyDescent="0.25">
      <c r="A382" s="99" t="s">
        <v>1482</v>
      </c>
      <c r="B382" s="100" t="s">
        <v>1483</v>
      </c>
      <c r="C382" s="99" t="s">
        <v>837</v>
      </c>
      <c r="D382" s="99" t="s">
        <v>1885</v>
      </c>
      <c r="E382" s="99" t="s">
        <v>2792</v>
      </c>
      <c r="F382" s="99" t="s">
        <v>88</v>
      </c>
      <c r="G382" s="101">
        <v>2.8</v>
      </c>
      <c r="H382" s="102" t="s">
        <v>2793</v>
      </c>
      <c r="I382" s="101">
        <v>2.8</v>
      </c>
      <c r="J382" s="103" t="s">
        <v>850</v>
      </c>
      <c r="K382" s="99" t="s">
        <v>1643</v>
      </c>
      <c r="L382" s="99" t="s">
        <v>1889</v>
      </c>
      <c r="M382" s="101">
        <v>0.9</v>
      </c>
      <c r="N382" s="102" t="s">
        <v>2794</v>
      </c>
      <c r="O382" s="101">
        <v>0.82</v>
      </c>
      <c r="P382" s="103" t="s">
        <v>850</v>
      </c>
      <c r="Q382" s="99" t="s">
        <v>1644</v>
      </c>
      <c r="R382" s="99" t="s">
        <v>1889</v>
      </c>
      <c r="S382" s="103"/>
      <c r="T382" s="103"/>
      <c r="U382" s="103"/>
      <c r="V382" s="103"/>
      <c r="W382" s="103"/>
      <c r="X382" s="103"/>
    </row>
    <row r="383" spans="1:24" x14ac:dyDescent="0.25">
      <c r="A383" s="99" t="s">
        <v>1496</v>
      </c>
      <c r="B383" s="100" t="s">
        <v>1497</v>
      </c>
      <c r="C383" s="99" t="s">
        <v>837</v>
      </c>
      <c r="D383" s="99" t="s">
        <v>1952</v>
      </c>
      <c r="E383" s="99" t="s">
        <v>2809</v>
      </c>
      <c r="F383" s="99" t="s">
        <v>88</v>
      </c>
      <c r="G383" s="160"/>
      <c r="H383" s="103"/>
      <c r="I383" s="160"/>
      <c r="J383" s="103"/>
      <c r="K383" s="103"/>
      <c r="L383" s="103"/>
      <c r="M383" s="160"/>
      <c r="N383" s="103"/>
      <c r="O383" s="160"/>
      <c r="P383" s="103"/>
      <c r="Q383" s="103"/>
      <c r="R383" s="103"/>
      <c r="S383" s="160"/>
      <c r="T383" s="103"/>
      <c r="U383" s="160"/>
      <c r="V383" s="103"/>
      <c r="W383" s="103"/>
      <c r="X383" s="103"/>
    </row>
    <row r="384" spans="1:24" x14ac:dyDescent="0.25">
      <c r="A384" s="99" t="s">
        <v>1512</v>
      </c>
      <c r="B384" s="100" t="s">
        <v>1513</v>
      </c>
      <c r="C384" s="99" t="s">
        <v>837</v>
      </c>
      <c r="D384" s="99" t="s">
        <v>1925</v>
      </c>
      <c r="E384" s="99" t="s">
        <v>3471</v>
      </c>
      <c r="F384" s="99" t="s">
        <v>88</v>
      </c>
      <c r="G384" s="101">
        <v>0.88619999999999999</v>
      </c>
      <c r="H384" s="102" t="s">
        <v>2826</v>
      </c>
      <c r="I384" s="101">
        <v>0.88619999999999999</v>
      </c>
      <c r="J384" s="102" t="s">
        <v>1935</v>
      </c>
      <c r="K384" s="99" t="s">
        <v>1644</v>
      </c>
      <c r="L384" s="99" t="s">
        <v>1897</v>
      </c>
      <c r="M384" s="103"/>
      <c r="N384" s="103"/>
      <c r="O384" s="103"/>
      <c r="P384" s="103"/>
      <c r="Q384" s="103"/>
      <c r="R384" s="103"/>
      <c r="S384" s="103"/>
      <c r="T384" s="103"/>
      <c r="U384" s="103"/>
      <c r="V384" s="103"/>
      <c r="W384" s="103"/>
      <c r="X384" s="103"/>
    </row>
    <row r="385" spans="1:24" x14ac:dyDescent="0.25">
      <c r="A385" s="99" t="s">
        <v>1538</v>
      </c>
      <c r="B385" s="100" t="s">
        <v>1539</v>
      </c>
      <c r="C385" s="99" t="s">
        <v>837</v>
      </c>
      <c r="D385" s="99" t="s">
        <v>2277</v>
      </c>
      <c r="E385" s="99" t="s">
        <v>2853</v>
      </c>
      <c r="F385" s="99" t="s">
        <v>1894</v>
      </c>
      <c r="G385" s="101">
        <v>1.1000000000000001</v>
      </c>
      <c r="H385" s="102" t="s">
        <v>2191</v>
      </c>
      <c r="I385" s="101">
        <v>0.94310000000000005</v>
      </c>
      <c r="J385" s="102" t="s">
        <v>2854</v>
      </c>
      <c r="K385" s="99" t="s">
        <v>1644</v>
      </c>
      <c r="L385" s="99" t="s">
        <v>1897</v>
      </c>
      <c r="M385" s="160"/>
      <c r="N385" s="161"/>
      <c r="O385" s="160"/>
      <c r="P385" s="161"/>
      <c r="Q385" s="103"/>
      <c r="R385" s="103"/>
      <c r="S385" s="160"/>
      <c r="T385" s="161"/>
      <c r="U385" s="160"/>
      <c r="V385" s="161"/>
      <c r="W385" s="103"/>
      <c r="X385" s="103"/>
    </row>
    <row r="386" spans="1:24" x14ac:dyDescent="0.25">
      <c r="A386" s="99" t="s">
        <v>1540</v>
      </c>
      <c r="B386" s="100" t="s">
        <v>1541</v>
      </c>
      <c r="C386" s="99" t="s">
        <v>837</v>
      </c>
      <c r="D386" s="99" t="s">
        <v>1925</v>
      </c>
      <c r="E386" s="99" t="s">
        <v>3470</v>
      </c>
      <c r="F386" s="99" t="s">
        <v>88</v>
      </c>
      <c r="G386" s="101">
        <v>0.45429999999999998</v>
      </c>
      <c r="H386" s="102" t="s">
        <v>2855</v>
      </c>
      <c r="I386" s="101">
        <v>0.45429999999999998</v>
      </c>
      <c r="J386" s="102" t="s">
        <v>1935</v>
      </c>
      <c r="K386" s="99" t="s">
        <v>1643</v>
      </c>
      <c r="L386" s="99" t="s">
        <v>1897</v>
      </c>
      <c r="M386" s="101">
        <v>0.2</v>
      </c>
      <c r="N386" s="102" t="s">
        <v>2856</v>
      </c>
      <c r="O386" s="103" t="s">
        <v>850</v>
      </c>
      <c r="P386" s="102" t="s">
        <v>2477</v>
      </c>
      <c r="Q386" s="99" t="s">
        <v>1644</v>
      </c>
      <c r="R386" s="103" t="s">
        <v>850</v>
      </c>
      <c r="S386" s="103"/>
      <c r="T386" s="103"/>
      <c r="U386" s="103"/>
      <c r="V386" s="103"/>
      <c r="W386" s="103"/>
      <c r="X386" s="103"/>
    </row>
    <row r="387" spans="1:24" x14ac:dyDescent="0.25">
      <c r="A387" s="99" t="s">
        <v>1542</v>
      </c>
      <c r="B387" s="100" t="s">
        <v>1543</v>
      </c>
      <c r="C387" s="99" t="s">
        <v>837</v>
      </c>
      <c r="D387" s="99" t="s">
        <v>1885</v>
      </c>
      <c r="E387" s="99" t="s">
        <v>2857</v>
      </c>
      <c r="F387" s="99" t="s">
        <v>88</v>
      </c>
      <c r="G387" s="101">
        <v>0.7</v>
      </c>
      <c r="H387" s="102" t="s">
        <v>2055</v>
      </c>
      <c r="I387" s="101">
        <v>0.7</v>
      </c>
      <c r="J387" s="102" t="s">
        <v>2357</v>
      </c>
      <c r="K387" s="99" t="s">
        <v>1644</v>
      </c>
      <c r="L387" s="99" t="s">
        <v>1897</v>
      </c>
      <c r="M387" s="160"/>
      <c r="N387" s="161"/>
      <c r="O387" s="160"/>
      <c r="P387" s="161"/>
      <c r="Q387" s="103"/>
      <c r="R387" s="103"/>
      <c r="S387" s="160"/>
      <c r="T387" s="161"/>
      <c r="U387" s="160"/>
      <c r="V387" s="161"/>
      <c r="W387" s="103"/>
      <c r="X387" s="103"/>
    </row>
    <row r="388" spans="1:24" x14ac:dyDescent="0.25">
      <c r="A388" s="99" t="s">
        <v>1564</v>
      </c>
      <c r="B388" s="100" t="s">
        <v>1565</v>
      </c>
      <c r="C388" s="99" t="s">
        <v>837</v>
      </c>
      <c r="D388" s="99" t="s">
        <v>1952</v>
      </c>
      <c r="E388" s="99" t="s">
        <v>2878</v>
      </c>
      <c r="F388" s="99" t="s">
        <v>88</v>
      </c>
      <c r="G388" s="101">
        <v>0.5</v>
      </c>
      <c r="H388" s="102" t="s">
        <v>2879</v>
      </c>
      <c r="I388" s="101">
        <v>0.4899</v>
      </c>
      <c r="J388" s="102" t="s">
        <v>1661</v>
      </c>
      <c r="K388" s="99" t="s">
        <v>1643</v>
      </c>
      <c r="L388" s="99" t="s">
        <v>1889</v>
      </c>
      <c r="M388" s="101">
        <v>0.85</v>
      </c>
      <c r="N388" s="102" t="s">
        <v>2281</v>
      </c>
      <c r="O388" s="101">
        <v>1.3399000000000001</v>
      </c>
      <c r="P388" s="102" t="s">
        <v>2880</v>
      </c>
      <c r="Q388" s="99" t="s">
        <v>1644</v>
      </c>
      <c r="R388" s="99" t="s">
        <v>1889</v>
      </c>
      <c r="S388" s="101">
        <v>0.85</v>
      </c>
      <c r="T388" s="102" t="s">
        <v>2880</v>
      </c>
      <c r="U388" s="101">
        <v>1.3399000000000001</v>
      </c>
      <c r="V388" s="102" t="s">
        <v>2880</v>
      </c>
      <c r="W388" s="99" t="s">
        <v>1644</v>
      </c>
      <c r="X388" s="99" t="s">
        <v>1889</v>
      </c>
    </row>
    <row r="389" spans="1:24" x14ac:dyDescent="0.25">
      <c r="A389" s="99" t="s">
        <v>1566</v>
      </c>
      <c r="B389" s="100" t="s">
        <v>1567</v>
      </c>
      <c r="C389" s="99" t="s">
        <v>837</v>
      </c>
      <c r="D389" s="99" t="s">
        <v>1885</v>
      </c>
      <c r="E389" s="99" t="s">
        <v>2881</v>
      </c>
      <c r="F389" s="99" t="s">
        <v>1864</v>
      </c>
      <c r="G389" s="101">
        <v>0.91180000000000005</v>
      </c>
      <c r="H389" s="102" t="s">
        <v>2465</v>
      </c>
      <c r="I389" s="101">
        <v>0.91180000000000005</v>
      </c>
      <c r="J389" s="102" t="s">
        <v>2882</v>
      </c>
      <c r="K389" s="99" t="s">
        <v>1644</v>
      </c>
      <c r="L389" s="99" t="s">
        <v>1897</v>
      </c>
      <c r="M389" s="160"/>
      <c r="N389" s="103"/>
      <c r="O389" s="160"/>
      <c r="P389" s="103"/>
      <c r="Q389" s="103"/>
      <c r="R389" s="103"/>
      <c r="S389" s="160"/>
      <c r="T389" s="103"/>
      <c r="U389" s="160"/>
      <c r="V389" s="103"/>
      <c r="W389" s="103"/>
      <c r="X389" s="103"/>
    </row>
    <row r="390" spans="1:24" x14ac:dyDescent="0.25">
      <c r="A390" s="99" t="s">
        <v>1574</v>
      </c>
      <c r="B390" s="100" t="s">
        <v>1575</v>
      </c>
      <c r="C390" s="99" t="s">
        <v>837</v>
      </c>
      <c r="D390" s="99" t="s">
        <v>1885</v>
      </c>
      <c r="E390" s="99" t="s">
        <v>2889</v>
      </c>
      <c r="F390" s="99" t="s">
        <v>1864</v>
      </c>
      <c r="G390" s="101">
        <v>1</v>
      </c>
      <c r="H390" s="102" t="s">
        <v>2890</v>
      </c>
      <c r="I390" s="101">
        <v>1</v>
      </c>
      <c r="J390" s="103" t="s">
        <v>850</v>
      </c>
      <c r="K390" s="99" t="s">
        <v>1643</v>
      </c>
      <c r="L390" s="99" t="s">
        <v>1897</v>
      </c>
      <c r="M390" s="101">
        <v>0.7</v>
      </c>
      <c r="N390" s="102" t="s">
        <v>2281</v>
      </c>
      <c r="O390" s="101">
        <v>0.7</v>
      </c>
      <c r="P390" s="102" t="s">
        <v>2891</v>
      </c>
      <c r="Q390" s="99" t="s">
        <v>1644</v>
      </c>
      <c r="R390" s="99" t="s">
        <v>1897</v>
      </c>
      <c r="S390" s="160"/>
      <c r="T390" s="103"/>
      <c r="U390" s="160"/>
      <c r="V390" s="103"/>
      <c r="W390" s="103"/>
      <c r="X390" s="103"/>
    </row>
    <row r="391" spans="1:24" x14ac:dyDescent="0.25">
      <c r="A391" s="99" t="s">
        <v>1594</v>
      </c>
      <c r="B391" s="100" t="s">
        <v>1595</v>
      </c>
      <c r="C391" s="99" t="s">
        <v>837</v>
      </c>
      <c r="D391" s="99" t="s">
        <v>1905</v>
      </c>
      <c r="E391" s="99" t="s">
        <v>2915</v>
      </c>
      <c r="F391" s="99" t="s">
        <v>1894</v>
      </c>
      <c r="G391" s="101">
        <v>2</v>
      </c>
      <c r="H391" s="102" t="s">
        <v>2356</v>
      </c>
      <c r="I391" s="101">
        <v>2</v>
      </c>
      <c r="J391" s="102" t="s">
        <v>1951</v>
      </c>
      <c r="K391" s="99" t="s">
        <v>1643</v>
      </c>
      <c r="L391" s="99" t="s">
        <v>1897</v>
      </c>
      <c r="M391" s="160"/>
      <c r="N391" s="103"/>
      <c r="O391" s="160"/>
      <c r="P391" s="103"/>
      <c r="Q391" s="103"/>
      <c r="R391" s="103" t="s">
        <v>850</v>
      </c>
      <c r="S391" s="160"/>
      <c r="T391" s="103"/>
      <c r="U391" s="160"/>
      <c r="V391" s="103"/>
      <c r="W391" s="103"/>
      <c r="X391" s="103"/>
    </row>
    <row r="392" spans="1:24" x14ac:dyDescent="0.25">
      <c r="A392" s="99" t="s">
        <v>1596</v>
      </c>
      <c r="B392" s="100" t="s">
        <v>1597</v>
      </c>
      <c r="C392" s="99" t="s">
        <v>837</v>
      </c>
      <c r="D392" s="99" t="s">
        <v>1925</v>
      </c>
      <c r="E392" s="99" t="s">
        <v>2916</v>
      </c>
      <c r="F392" s="99" t="s">
        <v>88</v>
      </c>
      <c r="G392" s="101">
        <v>1</v>
      </c>
      <c r="H392" s="102" t="s">
        <v>2445</v>
      </c>
      <c r="I392" s="101">
        <v>0.94189999999999996</v>
      </c>
      <c r="J392" s="103" t="s">
        <v>850</v>
      </c>
      <c r="K392" s="103" t="s">
        <v>850</v>
      </c>
      <c r="L392" s="99" t="s">
        <v>2917</v>
      </c>
      <c r="M392" s="101">
        <v>0.99</v>
      </c>
      <c r="N392" s="102" t="s">
        <v>2465</v>
      </c>
      <c r="O392" s="101">
        <v>0.9839</v>
      </c>
      <c r="P392" s="102" t="s">
        <v>2918</v>
      </c>
      <c r="Q392" s="99" t="s">
        <v>1644</v>
      </c>
      <c r="R392" s="103" t="s">
        <v>850</v>
      </c>
      <c r="S392" s="103"/>
      <c r="T392" s="103"/>
      <c r="U392" s="103"/>
      <c r="V392" s="103"/>
      <c r="W392" s="103"/>
      <c r="X392" s="103"/>
    </row>
    <row r="393" spans="1:24" x14ac:dyDescent="0.25">
      <c r="A393" s="156" t="s">
        <v>1602</v>
      </c>
      <c r="B393" s="157" t="s">
        <v>1603</v>
      </c>
      <c r="C393" s="156" t="s">
        <v>837</v>
      </c>
      <c r="D393" s="156" t="s">
        <v>1948</v>
      </c>
      <c r="E393" s="156" t="s">
        <v>2922</v>
      </c>
      <c r="F393" s="156" t="s">
        <v>1894</v>
      </c>
      <c r="G393" s="158">
        <v>1.4709000000000001</v>
      </c>
      <c r="H393" s="159" t="s">
        <v>2923</v>
      </c>
      <c r="I393" s="158">
        <v>1.4709000000000001</v>
      </c>
      <c r="J393" s="159" t="s">
        <v>1829</v>
      </c>
      <c r="K393" s="156" t="s">
        <v>1643</v>
      </c>
      <c r="L393" s="156" t="s">
        <v>1897</v>
      </c>
      <c r="M393" s="158">
        <v>0.37059999999999998</v>
      </c>
      <c r="N393" s="159" t="s">
        <v>2924</v>
      </c>
      <c r="O393" s="158">
        <v>0.37059999999999998</v>
      </c>
      <c r="P393" s="159" t="s">
        <v>1829</v>
      </c>
      <c r="Q393" s="156" t="s">
        <v>1643</v>
      </c>
      <c r="R393" s="156" t="s">
        <v>1897</v>
      </c>
      <c r="S393" s="158">
        <v>0.69350000000000001</v>
      </c>
      <c r="T393" s="159" t="s">
        <v>2925</v>
      </c>
      <c r="U393" s="158">
        <v>0.69350000000000001</v>
      </c>
      <c r="V393" s="159" t="s">
        <v>2926</v>
      </c>
      <c r="W393" s="156" t="s">
        <v>1644</v>
      </c>
      <c r="X393" s="156" t="s">
        <v>1897</v>
      </c>
    </row>
  </sheetData>
  <sortState xmlns:xlrd2="http://schemas.microsoft.com/office/spreadsheetml/2017/richdata2" ref="A4:X393">
    <sortCondition ref="C4:C393"/>
    <sortCondition ref="B4:B393"/>
  </sortState>
  <hyperlinks>
    <hyperlink ref="G1" location="'Table of Contents'!A1" display="Return to Table of Contents" xr:uid="{73421450-1FB6-4A21-889A-B7DCBA6AA842}"/>
  </hyperlinks>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BC4FF-BA40-497A-ADBC-8321DC15714B}">
  <sheetPr>
    <tabColor theme="3" tint="0.59999389629810485"/>
  </sheetPr>
  <dimension ref="A1:AB396"/>
  <sheetViews>
    <sheetView workbookViewId="0">
      <pane ySplit="3" topLeftCell="A371" activePane="bottomLeft" state="frozen"/>
      <selection activeCell="G1" sqref="G1"/>
      <selection pane="bottomLeft" activeCell="B3" sqref="B3"/>
    </sheetView>
  </sheetViews>
  <sheetFormatPr defaultRowHeight="15" x14ac:dyDescent="0.25"/>
  <cols>
    <col min="1" max="1" width="9.5703125" customWidth="1"/>
    <col min="2" max="2" width="49" bestFit="1" customWidth="1"/>
    <col min="3" max="3" width="25.85546875" bestFit="1" customWidth="1"/>
    <col min="4" max="4" width="15.28515625" customWidth="1"/>
    <col min="5" max="5" width="20.5703125" customWidth="1"/>
    <col min="6" max="6" width="19.7109375" customWidth="1"/>
    <col min="7" max="7" width="32" bestFit="1" customWidth="1"/>
    <col min="8" max="8" width="19.42578125" customWidth="1"/>
    <col min="9" max="9" width="19.28515625" customWidth="1"/>
    <col min="10" max="10" width="16.28515625" customWidth="1"/>
    <col min="11" max="11" width="15" customWidth="1"/>
    <col min="12" max="12" width="19.7109375" customWidth="1"/>
    <col min="13" max="13" width="19.5703125" customWidth="1"/>
    <col min="14" max="14" width="19.7109375" customWidth="1"/>
    <col min="15" max="15" width="20.7109375" customWidth="1"/>
    <col min="16" max="16" width="14" customWidth="1"/>
    <col min="17" max="17" width="16" customWidth="1"/>
    <col min="18" max="18" width="13.28515625" customWidth="1"/>
    <col min="19" max="19" width="13.5703125" customWidth="1"/>
    <col min="20" max="20" width="15.7109375" customWidth="1"/>
    <col min="21" max="21" width="14.140625" customWidth="1"/>
    <col min="22" max="22" width="15" customWidth="1"/>
    <col min="23" max="23" width="16.42578125" customWidth="1"/>
    <col min="24" max="24" width="17" customWidth="1"/>
    <col min="25" max="25" width="15.5703125" customWidth="1"/>
    <col min="26" max="26" width="19.85546875" customWidth="1"/>
    <col min="27" max="27" width="19.42578125" customWidth="1"/>
    <col min="28" max="28" width="16.85546875" customWidth="1"/>
  </cols>
  <sheetData>
    <row r="1" spans="1:28" ht="18.75" x14ac:dyDescent="0.3">
      <c r="B1" s="56" t="s">
        <v>3449</v>
      </c>
      <c r="D1" s="54" t="s">
        <v>7</v>
      </c>
      <c r="G1" s="55" t="s">
        <v>13</v>
      </c>
    </row>
    <row r="3" spans="1:28" s="39" customFormat="1" ht="56.25" customHeight="1" thickBot="1" x14ac:dyDescent="0.3">
      <c r="A3" s="57" t="s">
        <v>784</v>
      </c>
      <c r="B3" s="57" t="s">
        <v>785</v>
      </c>
      <c r="C3" s="123" t="s">
        <v>786</v>
      </c>
      <c r="D3" s="123" t="s">
        <v>92</v>
      </c>
      <c r="E3" s="123" t="s">
        <v>787</v>
      </c>
      <c r="F3" s="123" t="s">
        <v>788</v>
      </c>
      <c r="G3" s="123" t="s">
        <v>1604</v>
      </c>
      <c r="H3" s="165" t="s">
        <v>2927</v>
      </c>
      <c r="I3" s="165" t="s">
        <v>2928</v>
      </c>
      <c r="J3" s="165" t="s">
        <v>2929</v>
      </c>
      <c r="K3" s="165" t="s">
        <v>2930</v>
      </c>
      <c r="L3" s="165" t="s">
        <v>2931</v>
      </c>
      <c r="M3" s="165" t="s">
        <v>2932</v>
      </c>
      <c r="N3" s="165" t="s">
        <v>2933</v>
      </c>
      <c r="O3" s="166" t="s">
        <v>2934</v>
      </c>
      <c r="P3" s="166" t="s">
        <v>2935</v>
      </c>
      <c r="Q3" s="166" t="s">
        <v>2936</v>
      </c>
      <c r="R3" s="166" t="s">
        <v>2937</v>
      </c>
      <c r="S3" s="166" t="s">
        <v>2938</v>
      </c>
      <c r="T3" s="166" t="s">
        <v>2939</v>
      </c>
      <c r="U3" s="166" t="s">
        <v>2940</v>
      </c>
      <c r="V3" s="167" t="s">
        <v>2941</v>
      </c>
      <c r="W3" s="167" t="s">
        <v>2942</v>
      </c>
      <c r="X3" s="167" t="s">
        <v>2943</v>
      </c>
      <c r="Y3" s="167" t="s">
        <v>2944</v>
      </c>
      <c r="Z3" s="167" t="s">
        <v>2945</v>
      </c>
      <c r="AA3" s="167" t="s">
        <v>2946</v>
      </c>
      <c r="AB3" s="168" t="s">
        <v>2947</v>
      </c>
    </row>
    <row r="4" spans="1:28" ht="15.75" thickBot="1" x14ac:dyDescent="0.3">
      <c r="A4" s="44" t="s">
        <v>815</v>
      </c>
      <c r="B4" s="107" t="s">
        <v>816</v>
      </c>
      <c r="C4" s="110" t="s">
        <v>817</v>
      </c>
      <c r="D4" s="110" t="s">
        <v>1915</v>
      </c>
      <c r="E4" s="111" t="s">
        <v>804</v>
      </c>
      <c r="F4" s="111" t="s">
        <v>805</v>
      </c>
      <c r="G4" s="112">
        <v>1285</v>
      </c>
      <c r="H4" s="112">
        <v>1001</v>
      </c>
      <c r="I4" s="113">
        <v>3802</v>
      </c>
      <c r="J4" s="113">
        <v>132643</v>
      </c>
      <c r="K4" s="113">
        <v>0</v>
      </c>
      <c r="L4" s="113">
        <v>4221</v>
      </c>
      <c r="M4" s="113">
        <v>140666</v>
      </c>
      <c r="N4" s="113">
        <v>8893</v>
      </c>
      <c r="O4" s="116">
        <v>284</v>
      </c>
      <c r="P4" s="113">
        <v>0</v>
      </c>
      <c r="Q4" s="113">
        <v>0</v>
      </c>
      <c r="R4" s="113">
        <v>2000</v>
      </c>
      <c r="S4" s="113">
        <v>0</v>
      </c>
      <c r="T4" s="113">
        <v>2000</v>
      </c>
      <c r="U4" s="113">
        <v>0</v>
      </c>
      <c r="V4" s="113">
        <v>142666</v>
      </c>
      <c r="W4" s="113">
        <v>8893</v>
      </c>
      <c r="X4" s="113">
        <v>151559</v>
      </c>
      <c r="Y4" s="113">
        <v>985</v>
      </c>
      <c r="Z4" s="113">
        <v>0</v>
      </c>
      <c r="AA4" s="113">
        <v>152544</v>
      </c>
      <c r="AB4" s="113">
        <f t="shared" ref="AB4:AB67" si="0">AA4/G4</f>
        <v>118.71128404669261</v>
      </c>
    </row>
    <row r="5" spans="1:28" ht="15.75" thickBot="1" x14ac:dyDescent="0.3">
      <c r="A5" s="44" t="s">
        <v>840</v>
      </c>
      <c r="B5" s="107" t="s">
        <v>841</v>
      </c>
      <c r="C5" s="110" t="s">
        <v>817</v>
      </c>
      <c r="D5" s="110" t="s">
        <v>1930</v>
      </c>
      <c r="E5" s="111" t="s">
        <v>804</v>
      </c>
      <c r="F5" s="111" t="s">
        <v>805</v>
      </c>
      <c r="G5" s="112">
        <v>3248</v>
      </c>
      <c r="H5" s="112">
        <v>3126</v>
      </c>
      <c r="I5" s="113">
        <v>25048</v>
      </c>
      <c r="J5" s="113">
        <v>40623</v>
      </c>
      <c r="K5" s="114">
        <v>0</v>
      </c>
      <c r="L5" s="113">
        <v>750</v>
      </c>
      <c r="M5" s="113">
        <v>66421</v>
      </c>
      <c r="N5" s="113">
        <v>497</v>
      </c>
      <c r="O5" s="116">
        <v>122</v>
      </c>
      <c r="P5" s="114">
        <v>0</v>
      </c>
      <c r="Q5" s="113">
        <v>0</v>
      </c>
      <c r="R5" s="113">
        <v>0</v>
      </c>
      <c r="S5" s="114">
        <v>0</v>
      </c>
      <c r="T5" s="113">
        <v>0</v>
      </c>
      <c r="U5" s="114">
        <v>0</v>
      </c>
      <c r="V5" s="113">
        <v>66421</v>
      </c>
      <c r="W5" s="113">
        <v>497</v>
      </c>
      <c r="X5" s="113">
        <v>66918</v>
      </c>
      <c r="Y5" s="113">
        <v>1200</v>
      </c>
      <c r="Z5" s="113">
        <v>0</v>
      </c>
      <c r="AA5" s="113">
        <v>68118</v>
      </c>
      <c r="AB5" s="113">
        <f t="shared" si="0"/>
        <v>20.972290640394089</v>
      </c>
    </row>
    <row r="6" spans="1:28" ht="15.75" thickBot="1" x14ac:dyDescent="0.3">
      <c r="A6" s="44" t="s">
        <v>863</v>
      </c>
      <c r="B6" s="107" t="s">
        <v>864</v>
      </c>
      <c r="C6" s="110" t="s">
        <v>817</v>
      </c>
      <c r="D6" s="110" t="s">
        <v>1988</v>
      </c>
      <c r="E6" s="111" t="s">
        <v>844</v>
      </c>
      <c r="F6" s="111" t="s">
        <v>845</v>
      </c>
      <c r="G6" s="112">
        <v>657</v>
      </c>
      <c r="H6" s="112">
        <v>657</v>
      </c>
      <c r="I6" s="113">
        <v>2381</v>
      </c>
      <c r="J6" s="113">
        <v>113467</v>
      </c>
      <c r="K6" s="113">
        <v>0</v>
      </c>
      <c r="L6" s="113">
        <v>0</v>
      </c>
      <c r="M6" s="113">
        <v>115848</v>
      </c>
      <c r="N6" s="113">
        <v>15517</v>
      </c>
      <c r="O6" s="115">
        <v>0</v>
      </c>
      <c r="P6" s="113">
        <v>0</v>
      </c>
      <c r="Q6" s="113">
        <v>0</v>
      </c>
      <c r="R6" s="113">
        <v>0</v>
      </c>
      <c r="S6" s="113">
        <v>0</v>
      </c>
      <c r="T6" s="113">
        <v>0</v>
      </c>
      <c r="U6" s="113">
        <v>0</v>
      </c>
      <c r="V6" s="113">
        <v>115848</v>
      </c>
      <c r="W6" s="113">
        <v>15517</v>
      </c>
      <c r="X6" s="113">
        <v>131365</v>
      </c>
      <c r="Y6" s="113">
        <v>482</v>
      </c>
      <c r="Z6" s="113">
        <v>0</v>
      </c>
      <c r="AA6" s="113">
        <v>131847</v>
      </c>
      <c r="AB6" s="113">
        <f t="shared" si="0"/>
        <v>200.68036529680364</v>
      </c>
    </row>
    <row r="7" spans="1:28" ht="15.75" thickBot="1" x14ac:dyDescent="0.3">
      <c r="A7" s="44" t="s">
        <v>865</v>
      </c>
      <c r="B7" s="107" t="s">
        <v>866</v>
      </c>
      <c r="C7" s="110" t="s">
        <v>817</v>
      </c>
      <c r="D7" s="110" t="s">
        <v>1915</v>
      </c>
      <c r="E7" s="111" t="s">
        <v>799</v>
      </c>
      <c r="F7" s="111" t="s">
        <v>800</v>
      </c>
      <c r="G7" s="112">
        <v>3769</v>
      </c>
      <c r="H7" s="112">
        <v>3485</v>
      </c>
      <c r="I7" s="113">
        <v>10312</v>
      </c>
      <c r="J7" s="113">
        <v>107657</v>
      </c>
      <c r="K7" s="114">
        <v>0</v>
      </c>
      <c r="L7" s="114">
        <v>0</v>
      </c>
      <c r="M7" s="113">
        <v>117969</v>
      </c>
      <c r="N7" s="113">
        <v>21129</v>
      </c>
      <c r="O7" s="116">
        <v>284</v>
      </c>
      <c r="P7" s="113">
        <v>840</v>
      </c>
      <c r="Q7" s="114">
        <v>0</v>
      </c>
      <c r="R7" s="114">
        <v>0</v>
      </c>
      <c r="S7" s="113">
        <v>2000</v>
      </c>
      <c r="T7" s="113">
        <v>2840</v>
      </c>
      <c r="U7" s="113">
        <v>0</v>
      </c>
      <c r="V7" s="113">
        <v>120809</v>
      </c>
      <c r="W7" s="113">
        <v>21129</v>
      </c>
      <c r="X7" s="113">
        <v>141938</v>
      </c>
      <c r="Y7" s="113">
        <v>2764</v>
      </c>
      <c r="Z7" s="113">
        <v>0</v>
      </c>
      <c r="AA7" s="113">
        <v>144702</v>
      </c>
      <c r="AB7" s="113">
        <f t="shared" si="0"/>
        <v>38.392677102679755</v>
      </c>
    </row>
    <row r="8" spans="1:28" ht="15.75" thickBot="1" x14ac:dyDescent="0.3">
      <c r="A8" s="44" t="s">
        <v>869</v>
      </c>
      <c r="B8" s="107" t="s">
        <v>870</v>
      </c>
      <c r="C8" s="110" t="s">
        <v>817</v>
      </c>
      <c r="D8" s="110" t="s">
        <v>1999</v>
      </c>
      <c r="E8" s="111" t="s">
        <v>844</v>
      </c>
      <c r="F8" s="111" t="s">
        <v>845</v>
      </c>
      <c r="G8" s="112">
        <v>3150</v>
      </c>
      <c r="H8" s="112">
        <v>3150</v>
      </c>
      <c r="I8" s="113">
        <v>0</v>
      </c>
      <c r="J8" s="113">
        <v>0</v>
      </c>
      <c r="K8" s="113">
        <v>0</v>
      </c>
      <c r="L8" s="113">
        <v>29887</v>
      </c>
      <c r="M8" s="113">
        <v>29887</v>
      </c>
      <c r="N8" s="113">
        <v>3520</v>
      </c>
      <c r="O8" s="115">
        <v>0</v>
      </c>
      <c r="P8" s="114">
        <v>0</v>
      </c>
      <c r="Q8" s="114">
        <v>0</v>
      </c>
      <c r="R8" s="114">
        <v>0</v>
      </c>
      <c r="S8" s="114">
        <v>0</v>
      </c>
      <c r="T8" s="114">
        <v>0</v>
      </c>
      <c r="U8" s="114">
        <v>0</v>
      </c>
      <c r="V8" s="113">
        <v>29887</v>
      </c>
      <c r="W8" s="113">
        <v>3520</v>
      </c>
      <c r="X8" s="113">
        <v>33407</v>
      </c>
      <c r="Y8" s="113">
        <v>2310</v>
      </c>
      <c r="Z8" s="113">
        <v>0</v>
      </c>
      <c r="AA8" s="113">
        <v>35717</v>
      </c>
      <c r="AB8" s="113">
        <f t="shared" si="0"/>
        <v>11.338730158730158</v>
      </c>
    </row>
    <row r="9" spans="1:28" ht="15.75" thickBot="1" x14ac:dyDescent="0.3">
      <c r="A9" s="44" t="s">
        <v>873</v>
      </c>
      <c r="B9" s="107" t="s">
        <v>874</v>
      </c>
      <c r="C9" s="110" t="s">
        <v>817</v>
      </c>
      <c r="D9" s="110" t="s">
        <v>2006</v>
      </c>
      <c r="E9" s="111" t="s">
        <v>804</v>
      </c>
      <c r="F9" s="111" t="s">
        <v>805</v>
      </c>
      <c r="G9" s="112">
        <v>3811</v>
      </c>
      <c r="H9" s="112">
        <v>3811</v>
      </c>
      <c r="I9" s="113">
        <v>17291</v>
      </c>
      <c r="J9" s="113">
        <v>284586</v>
      </c>
      <c r="K9" s="114">
        <v>0</v>
      </c>
      <c r="L9" s="113">
        <v>0</v>
      </c>
      <c r="M9" s="113">
        <v>301877</v>
      </c>
      <c r="N9" s="113">
        <v>23671</v>
      </c>
      <c r="O9" s="115">
        <v>0</v>
      </c>
      <c r="P9" s="114">
        <v>0</v>
      </c>
      <c r="Q9" s="114">
        <v>0</v>
      </c>
      <c r="R9" s="114">
        <v>0</v>
      </c>
      <c r="S9" s="114">
        <v>0</v>
      </c>
      <c r="T9" s="114">
        <v>0</v>
      </c>
      <c r="U9" s="114">
        <v>0</v>
      </c>
      <c r="V9" s="113">
        <v>301877</v>
      </c>
      <c r="W9" s="113">
        <v>23671</v>
      </c>
      <c r="X9" s="113">
        <v>325548</v>
      </c>
      <c r="Y9" s="113">
        <v>4537</v>
      </c>
      <c r="Z9" s="113">
        <v>0</v>
      </c>
      <c r="AA9" s="113">
        <v>330085</v>
      </c>
      <c r="AB9" s="113">
        <f t="shared" si="0"/>
        <v>86.613749672002101</v>
      </c>
    </row>
    <row r="10" spans="1:28" ht="15.75" thickBot="1" x14ac:dyDescent="0.3">
      <c r="A10" s="44" t="s">
        <v>875</v>
      </c>
      <c r="B10" s="107" t="s">
        <v>876</v>
      </c>
      <c r="C10" s="110" t="s">
        <v>817</v>
      </c>
      <c r="D10" s="110" t="s">
        <v>2006</v>
      </c>
      <c r="E10" s="111" t="s">
        <v>804</v>
      </c>
      <c r="F10" s="111" t="s">
        <v>805</v>
      </c>
      <c r="G10" s="112">
        <v>3623</v>
      </c>
      <c r="H10" s="112">
        <v>1364</v>
      </c>
      <c r="I10" s="113">
        <v>6189</v>
      </c>
      <c r="J10" s="113">
        <v>64865</v>
      </c>
      <c r="K10" s="113">
        <v>0</v>
      </c>
      <c r="L10" s="113">
        <v>0</v>
      </c>
      <c r="M10" s="113">
        <v>71054</v>
      </c>
      <c r="N10" s="113">
        <v>28596</v>
      </c>
      <c r="O10" s="116">
        <v>2259</v>
      </c>
      <c r="P10" s="113">
        <v>10249</v>
      </c>
      <c r="Q10" s="114">
        <v>0</v>
      </c>
      <c r="R10" s="114">
        <v>0</v>
      </c>
      <c r="S10" s="113">
        <v>2500</v>
      </c>
      <c r="T10" s="113">
        <v>12749</v>
      </c>
      <c r="U10" s="113">
        <v>0</v>
      </c>
      <c r="V10" s="113">
        <v>83803</v>
      </c>
      <c r="W10" s="113">
        <v>28596</v>
      </c>
      <c r="X10" s="113">
        <v>112399</v>
      </c>
      <c r="Y10" s="113">
        <v>2776</v>
      </c>
      <c r="Z10" s="113">
        <v>0</v>
      </c>
      <c r="AA10" s="113">
        <v>115175</v>
      </c>
      <c r="AB10" s="113">
        <f t="shared" si="0"/>
        <v>31.789953077560032</v>
      </c>
    </row>
    <row r="11" spans="1:28" ht="15.75" thickBot="1" x14ac:dyDescent="0.3">
      <c r="A11" s="44" t="s">
        <v>883</v>
      </c>
      <c r="B11" s="107" t="s">
        <v>884</v>
      </c>
      <c r="C11" s="110" t="s">
        <v>817</v>
      </c>
      <c r="D11" s="110" t="s">
        <v>2006</v>
      </c>
      <c r="E11" s="111" t="s">
        <v>885</v>
      </c>
      <c r="F11" s="111" t="s">
        <v>886</v>
      </c>
      <c r="G11" s="112">
        <v>2937</v>
      </c>
      <c r="H11" s="112">
        <v>2937</v>
      </c>
      <c r="I11" s="113">
        <v>15819</v>
      </c>
      <c r="J11" s="113">
        <v>62935</v>
      </c>
      <c r="K11" s="114">
        <v>0</v>
      </c>
      <c r="L11" s="113">
        <v>0</v>
      </c>
      <c r="M11" s="113">
        <v>78754</v>
      </c>
      <c r="N11" s="113">
        <v>2287</v>
      </c>
      <c r="O11" s="115">
        <v>0</v>
      </c>
      <c r="P11" s="114">
        <v>0</v>
      </c>
      <c r="Q11" s="114">
        <v>0</v>
      </c>
      <c r="R11" s="114">
        <v>0</v>
      </c>
      <c r="S11" s="114">
        <v>0</v>
      </c>
      <c r="T11" s="114">
        <v>0</v>
      </c>
      <c r="U11" s="114">
        <v>0</v>
      </c>
      <c r="V11" s="113">
        <v>78754</v>
      </c>
      <c r="W11" s="113">
        <v>2287</v>
      </c>
      <c r="X11" s="113">
        <v>81041</v>
      </c>
      <c r="Y11" s="113">
        <v>2354</v>
      </c>
      <c r="Z11" s="113">
        <v>0</v>
      </c>
      <c r="AA11" s="113">
        <v>83395</v>
      </c>
      <c r="AB11" s="113">
        <f t="shared" si="0"/>
        <v>28.394620360912494</v>
      </c>
    </row>
    <row r="12" spans="1:28" ht="15.75" thickBot="1" x14ac:dyDescent="0.3">
      <c r="A12" s="44" t="s">
        <v>915</v>
      </c>
      <c r="B12" s="107" t="s">
        <v>916</v>
      </c>
      <c r="C12" s="110" t="s">
        <v>817</v>
      </c>
      <c r="D12" s="110" t="s">
        <v>2068</v>
      </c>
      <c r="E12" s="111" t="s">
        <v>885</v>
      </c>
      <c r="F12" s="111" t="s">
        <v>886</v>
      </c>
      <c r="G12" s="112">
        <v>2611</v>
      </c>
      <c r="H12" s="112">
        <v>2611</v>
      </c>
      <c r="I12" s="113">
        <v>7000</v>
      </c>
      <c r="J12" s="113">
        <v>0</v>
      </c>
      <c r="K12" s="114">
        <v>0</v>
      </c>
      <c r="L12" s="113">
        <v>19600</v>
      </c>
      <c r="M12" s="113">
        <v>26600</v>
      </c>
      <c r="N12" s="113">
        <v>2400</v>
      </c>
      <c r="O12" s="115">
        <v>0</v>
      </c>
      <c r="P12" s="113">
        <v>0</v>
      </c>
      <c r="Q12" s="114">
        <v>0</v>
      </c>
      <c r="R12" s="114">
        <v>0</v>
      </c>
      <c r="S12" s="114">
        <v>0</v>
      </c>
      <c r="T12" s="113">
        <v>0</v>
      </c>
      <c r="U12" s="113">
        <v>0</v>
      </c>
      <c r="V12" s="113">
        <v>26600</v>
      </c>
      <c r="W12" s="113">
        <v>2400</v>
      </c>
      <c r="X12" s="113">
        <v>29000</v>
      </c>
      <c r="Y12" s="113">
        <v>1900</v>
      </c>
      <c r="Z12" s="113">
        <v>0</v>
      </c>
      <c r="AA12" s="113">
        <v>30900</v>
      </c>
      <c r="AB12" s="113">
        <f t="shared" si="0"/>
        <v>11.834546150900039</v>
      </c>
    </row>
    <row r="13" spans="1:28" ht="15.75" thickBot="1" x14ac:dyDescent="0.3">
      <c r="A13" s="44" t="s">
        <v>929</v>
      </c>
      <c r="B13" s="107" t="s">
        <v>930</v>
      </c>
      <c r="C13" s="110" t="s">
        <v>817</v>
      </c>
      <c r="D13" s="110" t="s">
        <v>2088</v>
      </c>
      <c r="E13" s="111" t="s">
        <v>844</v>
      </c>
      <c r="F13" s="111" t="s">
        <v>845</v>
      </c>
      <c r="G13" s="112">
        <v>722</v>
      </c>
      <c r="H13" s="112">
        <v>722</v>
      </c>
      <c r="I13" s="113">
        <v>4021</v>
      </c>
      <c r="J13" s="113">
        <v>20851</v>
      </c>
      <c r="K13" s="114">
        <v>0</v>
      </c>
      <c r="L13" s="113">
        <v>3740</v>
      </c>
      <c r="M13" s="113">
        <v>28612</v>
      </c>
      <c r="N13" s="113">
        <v>869</v>
      </c>
      <c r="O13" s="115">
        <v>0</v>
      </c>
      <c r="P13" s="113">
        <v>0</v>
      </c>
      <c r="Q13" s="113">
        <v>0</v>
      </c>
      <c r="R13" s="113">
        <v>0</v>
      </c>
      <c r="S13" s="113">
        <v>0</v>
      </c>
      <c r="T13" s="113">
        <v>0</v>
      </c>
      <c r="U13" s="113">
        <v>0</v>
      </c>
      <c r="V13" s="113">
        <v>28612</v>
      </c>
      <c r="W13" s="113">
        <v>869</v>
      </c>
      <c r="X13" s="113">
        <v>29481</v>
      </c>
      <c r="Y13" s="113">
        <v>529</v>
      </c>
      <c r="Z13" s="113">
        <v>0</v>
      </c>
      <c r="AA13" s="113">
        <v>30010</v>
      </c>
      <c r="AB13" s="113">
        <f t="shared" si="0"/>
        <v>41.56509695290859</v>
      </c>
    </row>
    <row r="14" spans="1:28" ht="15.75" thickBot="1" x14ac:dyDescent="0.3">
      <c r="A14" s="44" t="s">
        <v>939</v>
      </c>
      <c r="B14" s="107" t="s">
        <v>940</v>
      </c>
      <c r="C14" s="110" t="s">
        <v>817</v>
      </c>
      <c r="D14" s="110" t="s">
        <v>1915</v>
      </c>
      <c r="E14" s="111" t="s">
        <v>799</v>
      </c>
      <c r="F14" s="111" t="s">
        <v>800</v>
      </c>
      <c r="G14" s="112">
        <v>3995</v>
      </c>
      <c r="H14" s="112">
        <v>3302</v>
      </c>
      <c r="I14" s="113">
        <v>8420</v>
      </c>
      <c r="J14" s="113">
        <v>128874</v>
      </c>
      <c r="K14" s="114">
        <v>0</v>
      </c>
      <c r="L14" s="113">
        <v>5277</v>
      </c>
      <c r="M14" s="113">
        <v>142571</v>
      </c>
      <c r="N14" s="114">
        <v>0</v>
      </c>
      <c r="O14" s="116">
        <v>693</v>
      </c>
      <c r="P14" s="113">
        <v>1767</v>
      </c>
      <c r="Q14" s="114">
        <v>0</v>
      </c>
      <c r="R14" s="114">
        <v>0</v>
      </c>
      <c r="S14" s="113">
        <v>2100</v>
      </c>
      <c r="T14" s="113">
        <v>3867</v>
      </c>
      <c r="U14" s="114">
        <v>0</v>
      </c>
      <c r="V14" s="113">
        <v>146438</v>
      </c>
      <c r="W14" s="114">
        <v>0</v>
      </c>
      <c r="X14" s="113">
        <v>146438</v>
      </c>
      <c r="Y14" s="113">
        <v>3022</v>
      </c>
      <c r="Z14" s="113">
        <v>0</v>
      </c>
      <c r="AA14" s="113">
        <v>149460</v>
      </c>
      <c r="AB14" s="113">
        <f t="shared" si="0"/>
        <v>37.411764705882355</v>
      </c>
    </row>
    <row r="15" spans="1:28" ht="15.75" thickBot="1" x14ac:dyDescent="0.3">
      <c r="A15" s="44" t="s">
        <v>947</v>
      </c>
      <c r="B15" s="107" t="s">
        <v>948</v>
      </c>
      <c r="C15" s="110" t="s">
        <v>817</v>
      </c>
      <c r="D15" s="110" t="s">
        <v>2047</v>
      </c>
      <c r="E15" s="111" t="s">
        <v>844</v>
      </c>
      <c r="F15" s="111" t="s">
        <v>845</v>
      </c>
      <c r="G15" s="112">
        <v>1854</v>
      </c>
      <c r="H15" s="112">
        <v>1137</v>
      </c>
      <c r="I15" s="113">
        <v>6201</v>
      </c>
      <c r="J15" s="113">
        <v>21275</v>
      </c>
      <c r="K15" s="114">
        <v>0</v>
      </c>
      <c r="L15" s="113">
        <v>3700</v>
      </c>
      <c r="M15" s="113">
        <v>31176</v>
      </c>
      <c r="N15" s="113">
        <v>2464</v>
      </c>
      <c r="O15" s="116">
        <v>717</v>
      </c>
      <c r="P15" s="113">
        <v>3910</v>
      </c>
      <c r="Q15" s="114">
        <v>0</v>
      </c>
      <c r="R15" s="114">
        <v>0</v>
      </c>
      <c r="S15" s="114">
        <v>0</v>
      </c>
      <c r="T15" s="113">
        <v>3910</v>
      </c>
      <c r="U15" s="114">
        <v>0</v>
      </c>
      <c r="V15" s="113">
        <v>35086</v>
      </c>
      <c r="W15" s="113">
        <v>2464</v>
      </c>
      <c r="X15" s="113">
        <v>37550</v>
      </c>
      <c r="Y15" s="113">
        <v>1359</v>
      </c>
      <c r="Z15" s="113">
        <v>0</v>
      </c>
      <c r="AA15" s="113">
        <v>38909</v>
      </c>
      <c r="AB15" s="113">
        <f t="shared" si="0"/>
        <v>20.986515641855448</v>
      </c>
    </row>
    <row r="16" spans="1:28" ht="15.75" thickBot="1" x14ac:dyDescent="0.3">
      <c r="A16" s="44" t="s">
        <v>959</v>
      </c>
      <c r="B16" s="107" t="s">
        <v>960</v>
      </c>
      <c r="C16" s="110" t="s">
        <v>817</v>
      </c>
      <c r="D16" s="110" t="s">
        <v>1892</v>
      </c>
      <c r="E16" s="111" t="s">
        <v>844</v>
      </c>
      <c r="F16" s="111" t="s">
        <v>845</v>
      </c>
      <c r="G16" s="112">
        <v>3604</v>
      </c>
      <c r="H16" s="112">
        <v>3604</v>
      </c>
      <c r="I16" s="113">
        <v>9170</v>
      </c>
      <c r="J16" s="113">
        <v>108443</v>
      </c>
      <c r="K16" s="113">
        <v>28517</v>
      </c>
      <c r="L16" s="113">
        <v>0</v>
      </c>
      <c r="M16" s="113">
        <v>146130</v>
      </c>
      <c r="N16" s="113">
        <v>12835</v>
      </c>
      <c r="O16" s="115">
        <v>0</v>
      </c>
      <c r="P16" s="113">
        <v>0</v>
      </c>
      <c r="Q16" s="113">
        <v>0</v>
      </c>
      <c r="R16" s="113">
        <v>0</v>
      </c>
      <c r="S16" s="113">
        <v>0</v>
      </c>
      <c r="T16" s="113">
        <v>0</v>
      </c>
      <c r="U16" s="113">
        <v>0</v>
      </c>
      <c r="V16" s="113">
        <v>146130</v>
      </c>
      <c r="W16" s="113">
        <v>12835</v>
      </c>
      <c r="X16" s="113">
        <v>158965</v>
      </c>
      <c r="Y16" s="113">
        <v>2643</v>
      </c>
      <c r="Z16" s="113">
        <v>0</v>
      </c>
      <c r="AA16" s="113">
        <v>161608</v>
      </c>
      <c r="AB16" s="113">
        <f t="shared" si="0"/>
        <v>44.841287458379576</v>
      </c>
    </row>
    <row r="17" spans="1:28" ht="15.75" thickBot="1" x14ac:dyDescent="0.3">
      <c r="A17" s="44" t="s">
        <v>967</v>
      </c>
      <c r="B17" s="107" t="s">
        <v>968</v>
      </c>
      <c r="C17" s="110" t="s">
        <v>817</v>
      </c>
      <c r="D17" s="110" t="s">
        <v>2068</v>
      </c>
      <c r="E17" s="111" t="s">
        <v>844</v>
      </c>
      <c r="F17" s="111" t="s">
        <v>845</v>
      </c>
      <c r="G17" s="112">
        <v>3803</v>
      </c>
      <c r="H17" s="112">
        <v>3329</v>
      </c>
      <c r="I17" s="113">
        <v>11975</v>
      </c>
      <c r="J17" s="113">
        <v>95183</v>
      </c>
      <c r="K17" s="113">
        <v>10000</v>
      </c>
      <c r="L17" s="113">
        <v>0</v>
      </c>
      <c r="M17" s="113">
        <v>117158</v>
      </c>
      <c r="N17" s="113">
        <v>3400</v>
      </c>
      <c r="O17" s="116">
        <v>474</v>
      </c>
      <c r="P17" s="113">
        <v>1285</v>
      </c>
      <c r="Q17" s="114">
        <v>0</v>
      </c>
      <c r="R17" s="114">
        <v>0</v>
      </c>
      <c r="S17" s="113">
        <v>400</v>
      </c>
      <c r="T17" s="113">
        <v>1685</v>
      </c>
      <c r="U17" s="114">
        <v>0</v>
      </c>
      <c r="V17" s="113">
        <v>118843</v>
      </c>
      <c r="W17" s="113">
        <v>3400</v>
      </c>
      <c r="X17" s="113">
        <v>122243</v>
      </c>
      <c r="Y17" s="113">
        <v>2788</v>
      </c>
      <c r="Z17" s="113">
        <v>0</v>
      </c>
      <c r="AA17" s="113">
        <v>125031</v>
      </c>
      <c r="AB17" s="113">
        <f t="shared" si="0"/>
        <v>32.876939258480149</v>
      </c>
    </row>
    <row r="18" spans="1:28" ht="15.75" thickBot="1" x14ac:dyDescent="0.3">
      <c r="A18" s="44" t="s">
        <v>969</v>
      </c>
      <c r="B18" s="107" t="s">
        <v>970</v>
      </c>
      <c r="C18" s="110" t="s">
        <v>817</v>
      </c>
      <c r="D18" s="110" t="s">
        <v>2064</v>
      </c>
      <c r="E18" s="111" t="s">
        <v>844</v>
      </c>
      <c r="F18" s="111" t="s">
        <v>845</v>
      </c>
      <c r="G18" s="112">
        <v>2373</v>
      </c>
      <c r="H18" s="112">
        <v>1284</v>
      </c>
      <c r="I18" s="113">
        <v>6082</v>
      </c>
      <c r="J18" s="113">
        <v>121092</v>
      </c>
      <c r="K18" s="113">
        <v>0</v>
      </c>
      <c r="L18" s="113">
        <v>0</v>
      </c>
      <c r="M18" s="113">
        <v>127174</v>
      </c>
      <c r="N18" s="113">
        <v>7037</v>
      </c>
      <c r="O18" s="116">
        <v>1089</v>
      </c>
      <c r="P18" s="113">
        <v>5159</v>
      </c>
      <c r="Q18" s="113">
        <v>0</v>
      </c>
      <c r="R18" s="113">
        <v>0</v>
      </c>
      <c r="S18" s="113">
        <v>1880</v>
      </c>
      <c r="T18" s="113">
        <v>7039</v>
      </c>
      <c r="U18" s="113">
        <v>0</v>
      </c>
      <c r="V18" s="113">
        <v>134213</v>
      </c>
      <c r="W18" s="113">
        <v>7037</v>
      </c>
      <c r="X18" s="113">
        <v>141250</v>
      </c>
      <c r="Y18" s="113">
        <v>3590</v>
      </c>
      <c r="Z18" s="113">
        <v>0</v>
      </c>
      <c r="AA18" s="113">
        <v>144840</v>
      </c>
      <c r="AB18" s="113">
        <f t="shared" si="0"/>
        <v>61.036662452591656</v>
      </c>
    </row>
    <row r="19" spans="1:28" ht="15.75" thickBot="1" x14ac:dyDescent="0.3">
      <c r="A19" s="44" t="s">
        <v>985</v>
      </c>
      <c r="B19" s="107" t="s">
        <v>986</v>
      </c>
      <c r="C19" s="110" t="s">
        <v>817</v>
      </c>
      <c r="D19" s="110" t="s">
        <v>1988</v>
      </c>
      <c r="E19" s="111" t="s">
        <v>804</v>
      </c>
      <c r="F19" s="111" t="s">
        <v>805</v>
      </c>
      <c r="G19" s="112">
        <v>3953</v>
      </c>
      <c r="H19" s="112">
        <v>2598</v>
      </c>
      <c r="I19" s="113">
        <v>9411</v>
      </c>
      <c r="J19" s="113">
        <v>146234</v>
      </c>
      <c r="K19" s="114">
        <v>0</v>
      </c>
      <c r="L19" s="114">
        <v>0</v>
      </c>
      <c r="M19" s="113">
        <v>155645</v>
      </c>
      <c r="N19" s="113">
        <v>53876</v>
      </c>
      <c r="O19" s="116">
        <v>1355</v>
      </c>
      <c r="P19" s="113">
        <v>4637</v>
      </c>
      <c r="Q19" s="114">
        <v>0</v>
      </c>
      <c r="R19" s="114">
        <v>0</v>
      </c>
      <c r="S19" s="114">
        <v>0</v>
      </c>
      <c r="T19" s="113">
        <v>4637</v>
      </c>
      <c r="U19" s="114">
        <v>0</v>
      </c>
      <c r="V19" s="113">
        <v>160282</v>
      </c>
      <c r="W19" s="113">
        <v>53876</v>
      </c>
      <c r="X19" s="113">
        <v>214158</v>
      </c>
      <c r="Y19" s="113">
        <v>3029</v>
      </c>
      <c r="Z19" s="113">
        <v>0</v>
      </c>
      <c r="AA19" s="113">
        <v>217187</v>
      </c>
      <c r="AB19" s="113">
        <f t="shared" si="0"/>
        <v>54.942322286870734</v>
      </c>
    </row>
    <row r="20" spans="1:28" ht="15.75" thickBot="1" x14ac:dyDescent="0.3">
      <c r="A20" s="44" t="s">
        <v>987</v>
      </c>
      <c r="B20" s="107" t="s">
        <v>988</v>
      </c>
      <c r="C20" s="110" t="s">
        <v>817</v>
      </c>
      <c r="D20" s="110" t="s">
        <v>2180</v>
      </c>
      <c r="E20" s="111" t="s">
        <v>844</v>
      </c>
      <c r="F20" s="111" t="s">
        <v>845</v>
      </c>
      <c r="G20" s="112">
        <v>3228</v>
      </c>
      <c r="H20" s="112">
        <v>3228</v>
      </c>
      <c r="I20" s="113">
        <v>1281</v>
      </c>
      <c r="J20" s="113">
        <v>51935</v>
      </c>
      <c r="K20" s="113">
        <v>0</v>
      </c>
      <c r="L20" s="113">
        <v>0</v>
      </c>
      <c r="M20" s="113">
        <v>53216</v>
      </c>
      <c r="N20" s="113">
        <v>25891</v>
      </c>
      <c r="O20" s="115">
        <v>0</v>
      </c>
      <c r="P20" s="113">
        <v>0</v>
      </c>
      <c r="Q20" s="113">
        <v>0</v>
      </c>
      <c r="R20" s="113">
        <v>0</v>
      </c>
      <c r="S20" s="113">
        <v>0</v>
      </c>
      <c r="T20" s="113">
        <v>0</v>
      </c>
      <c r="U20" s="113">
        <v>0</v>
      </c>
      <c r="V20" s="113">
        <v>53216</v>
      </c>
      <c r="W20" s="113">
        <v>25891</v>
      </c>
      <c r="X20" s="113">
        <v>79107</v>
      </c>
      <c r="Y20" s="113">
        <v>0</v>
      </c>
      <c r="Z20" s="113">
        <v>0</v>
      </c>
      <c r="AA20" s="113">
        <v>79107</v>
      </c>
      <c r="AB20" s="113">
        <f t="shared" si="0"/>
        <v>24.506505576208177</v>
      </c>
    </row>
    <row r="21" spans="1:28" ht="15.75" thickBot="1" x14ac:dyDescent="0.3">
      <c r="A21" s="44" t="s">
        <v>989</v>
      </c>
      <c r="B21" s="107" t="s">
        <v>990</v>
      </c>
      <c r="C21" s="110" t="s">
        <v>817</v>
      </c>
      <c r="D21" s="110" t="s">
        <v>2184</v>
      </c>
      <c r="E21" s="111" t="s">
        <v>799</v>
      </c>
      <c r="F21" s="111" t="s">
        <v>800</v>
      </c>
      <c r="G21" s="112">
        <v>3453</v>
      </c>
      <c r="H21" s="112">
        <v>3453</v>
      </c>
      <c r="I21" s="113">
        <v>15104</v>
      </c>
      <c r="J21" s="113">
        <v>126977</v>
      </c>
      <c r="K21" s="113">
        <v>10307</v>
      </c>
      <c r="L21" s="113">
        <v>8973</v>
      </c>
      <c r="M21" s="113">
        <v>161361</v>
      </c>
      <c r="N21" s="113">
        <v>4992</v>
      </c>
      <c r="O21" s="115">
        <v>0</v>
      </c>
      <c r="P21" s="114">
        <v>0</v>
      </c>
      <c r="Q21" s="114">
        <v>0</v>
      </c>
      <c r="R21" s="114">
        <v>0</v>
      </c>
      <c r="S21" s="114">
        <v>0</v>
      </c>
      <c r="T21" s="114">
        <v>0</v>
      </c>
      <c r="U21" s="114">
        <v>0</v>
      </c>
      <c r="V21" s="113">
        <v>161361</v>
      </c>
      <c r="W21" s="113">
        <v>4992</v>
      </c>
      <c r="X21" s="113">
        <v>166353</v>
      </c>
      <c r="Y21" s="113">
        <v>2532</v>
      </c>
      <c r="Z21" s="113">
        <v>0</v>
      </c>
      <c r="AA21" s="113">
        <v>168885</v>
      </c>
      <c r="AB21" s="113">
        <f t="shared" si="0"/>
        <v>48.909643788010428</v>
      </c>
    </row>
    <row r="22" spans="1:28" ht="15.75" thickBot="1" x14ac:dyDescent="0.3">
      <c r="A22" s="44" t="s">
        <v>991</v>
      </c>
      <c r="B22" s="107" t="s">
        <v>992</v>
      </c>
      <c r="C22" s="110" t="s">
        <v>817</v>
      </c>
      <c r="D22" s="110" t="s">
        <v>1909</v>
      </c>
      <c r="E22" s="111" t="s">
        <v>799</v>
      </c>
      <c r="F22" s="111" t="s">
        <v>800</v>
      </c>
      <c r="G22" s="112">
        <v>1236</v>
      </c>
      <c r="H22" s="112">
        <v>1236</v>
      </c>
      <c r="I22" s="113">
        <v>7029</v>
      </c>
      <c r="J22" s="113">
        <v>31270</v>
      </c>
      <c r="K22" s="113">
        <v>0</v>
      </c>
      <c r="L22" s="113">
        <v>0</v>
      </c>
      <c r="M22" s="113">
        <v>38299</v>
      </c>
      <c r="N22" s="113">
        <v>1395</v>
      </c>
      <c r="O22" s="115">
        <v>0</v>
      </c>
      <c r="P22" s="114">
        <v>0</v>
      </c>
      <c r="Q22" s="114">
        <v>0</v>
      </c>
      <c r="R22" s="114">
        <v>0</v>
      </c>
      <c r="S22" s="114">
        <v>0</v>
      </c>
      <c r="T22" s="114">
        <v>0</v>
      </c>
      <c r="U22" s="114">
        <v>0</v>
      </c>
      <c r="V22" s="113">
        <v>38299</v>
      </c>
      <c r="W22" s="113">
        <v>1395</v>
      </c>
      <c r="X22" s="113">
        <v>39694</v>
      </c>
      <c r="Y22" s="113">
        <v>906</v>
      </c>
      <c r="Z22" s="113">
        <v>0</v>
      </c>
      <c r="AA22" s="113">
        <v>40600</v>
      </c>
      <c r="AB22" s="113">
        <f t="shared" si="0"/>
        <v>32.847896440129453</v>
      </c>
    </row>
    <row r="23" spans="1:28" ht="15.75" thickBot="1" x14ac:dyDescent="0.3">
      <c r="A23" s="44" t="s">
        <v>993</v>
      </c>
      <c r="B23" s="107" t="s">
        <v>994</v>
      </c>
      <c r="C23" s="110" t="s">
        <v>817</v>
      </c>
      <c r="D23" s="110" t="s">
        <v>2006</v>
      </c>
      <c r="E23" s="111" t="s">
        <v>804</v>
      </c>
      <c r="F23" s="111" t="s">
        <v>805</v>
      </c>
      <c r="G23" s="112">
        <v>3179</v>
      </c>
      <c r="H23" s="112">
        <v>1364</v>
      </c>
      <c r="I23" s="113">
        <v>5705</v>
      </c>
      <c r="J23" s="113">
        <v>64831</v>
      </c>
      <c r="K23" s="114">
        <v>0</v>
      </c>
      <c r="L23" s="114">
        <v>0</v>
      </c>
      <c r="M23" s="113">
        <v>70536</v>
      </c>
      <c r="N23" s="113">
        <v>10913</v>
      </c>
      <c r="O23" s="116">
        <v>1815</v>
      </c>
      <c r="P23" s="113">
        <v>7591</v>
      </c>
      <c r="Q23" s="114">
        <v>0</v>
      </c>
      <c r="R23" s="114">
        <v>0</v>
      </c>
      <c r="S23" s="113">
        <v>1000</v>
      </c>
      <c r="T23" s="113">
        <v>8591</v>
      </c>
      <c r="U23" s="114">
        <v>0</v>
      </c>
      <c r="V23" s="113">
        <v>79127</v>
      </c>
      <c r="W23" s="113">
        <v>10913</v>
      </c>
      <c r="X23" s="113">
        <v>90040</v>
      </c>
      <c r="Y23" s="113">
        <v>2436</v>
      </c>
      <c r="Z23" s="113">
        <v>468</v>
      </c>
      <c r="AA23" s="113">
        <v>92944</v>
      </c>
      <c r="AB23" s="113">
        <f t="shared" si="0"/>
        <v>29.236866939289083</v>
      </c>
    </row>
    <row r="24" spans="1:28" ht="15.75" thickBot="1" x14ac:dyDescent="0.3">
      <c r="A24" s="44" t="s">
        <v>1039</v>
      </c>
      <c r="B24" s="107" t="s">
        <v>1040</v>
      </c>
      <c r="C24" s="110" t="s">
        <v>817</v>
      </c>
      <c r="D24" s="110" t="s">
        <v>1898</v>
      </c>
      <c r="E24" s="111" t="s">
        <v>844</v>
      </c>
      <c r="F24" s="111" t="s">
        <v>845</v>
      </c>
      <c r="G24" s="112">
        <v>2769</v>
      </c>
      <c r="H24" s="112">
        <v>1526</v>
      </c>
      <c r="I24" s="113">
        <v>4409</v>
      </c>
      <c r="J24" s="113">
        <v>8492</v>
      </c>
      <c r="K24" s="113">
        <v>6300</v>
      </c>
      <c r="L24" s="113">
        <v>0</v>
      </c>
      <c r="M24" s="113">
        <v>19201</v>
      </c>
      <c r="N24" s="113">
        <v>1558</v>
      </c>
      <c r="O24" s="116">
        <v>1243</v>
      </c>
      <c r="P24" s="113">
        <v>3591</v>
      </c>
      <c r="Q24" s="113">
        <v>6877</v>
      </c>
      <c r="R24" s="113">
        <v>0</v>
      </c>
      <c r="S24" s="113">
        <v>12447</v>
      </c>
      <c r="T24" s="113">
        <v>22915</v>
      </c>
      <c r="U24" s="113">
        <v>0</v>
      </c>
      <c r="V24" s="113">
        <v>42116</v>
      </c>
      <c r="W24" s="113">
        <v>1558</v>
      </c>
      <c r="X24" s="113">
        <v>43674</v>
      </c>
      <c r="Y24" s="113">
        <v>3009</v>
      </c>
      <c r="Z24" s="113">
        <v>0</v>
      </c>
      <c r="AA24" s="113">
        <v>46683</v>
      </c>
      <c r="AB24" s="113">
        <f t="shared" si="0"/>
        <v>16.859154929577464</v>
      </c>
    </row>
    <row r="25" spans="1:28" ht="15.75" thickBot="1" x14ac:dyDescent="0.3">
      <c r="A25" s="44" t="s">
        <v>1041</v>
      </c>
      <c r="B25" s="107" t="s">
        <v>1042</v>
      </c>
      <c r="C25" s="110" t="s">
        <v>817</v>
      </c>
      <c r="D25" s="110" t="s">
        <v>1980</v>
      </c>
      <c r="E25" s="111" t="s">
        <v>844</v>
      </c>
      <c r="F25" s="111" t="s">
        <v>845</v>
      </c>
      <c r="G25" s="112">
        <v>3738</v>
      </c>
      <c r="H25" s="112">
        <v>2363</v>
      </c>
      <c r="I25" s="113">
        <v>12238</v>
      </c>
      <c r="J25" s="113">
        <v>63267</v>
      </c>
      <c r="K25" s="113">
        <v>0</v>
      </c>
      <c r="L25" s="113">
        <v>6000</v>
      </c>
      <c r="M25" s="113">
        <v>81505</v>
      </c>
      <c r="N25" s="113">
        <v>4547</v>
      </c>
      <c r="O25" s="116">
        <v>1375</v>
      </c>
      <c r="P25" s="113">
        <v>3341</v>
      </c>
      <c r="Q25" s="113">
        <v>0</v>
      </c>
      <c r="R25" s="113">
        <v>0</v>
      </c>
      <c r="S25" s="113">
        <v>0</v>
      </c>
      <c r="T25" s="113">
        <v>3341</v>
      </c>
      <c r="U25" s="113">
        <v>0</v>
      </c>
      <c r="V25" s="113">
        <v>84846</v>
      </c>
      <c r="W25" s="113">
        <v>4547</v>
      </c>
      <c r="X25" s="113">
        <v>89393</v>
      </c>
      <c r="Y25" s="113">
        <v>2864</v>
      </c>
      <c r="Z25" s="113">
        <v>0</v>
      </c>
      <c r="AA25" s="113">
        <v>92257</v>
      </c>
      <c r="AB25" s="113">
        <f t="shared" si="0"/>
        <v>24.680845371856609</v>
      </c>
    </row>
    <row r="26" spans="1:28" ht="15.75" thickBot="1" x14ac:dyDescent="0.3">
      <c r="A26" s="44" t="s">
        <v>1049</v>
      </c>
      <c r="B26" s="107" t="s">
        <v>1050</v>
      </c>
      <c r="C26" s="110" t="s">
        <v>817</v>
      </c>
      <c r="D26" s="110" t="s">
        <v>2064</v>
      </c>
      <c r="E26" s="111" t="s">
        <v>844</v>
      </c>
      <c r="F26" s="111" t="s">
        <v>845</v>
      </c>
      <c r="G26" s="112">
        <v>3112</v>
      </c>
      <c r="H26" s="112">
        <v>2957</v>
      </c>
      <c r="I26" s="113">
        <v>15069</v>
      </c>
      <c r="J26" s="113">
        <v>231877</v>
      </c>
      <c r="K26" s="114">
        <v>0</v>
      </c>
      <c r="L26" s="113">
        <v>15368</v>
      </c>
      <c r="M26" s="113">
        <v>262314</v>
      </c>
      <c r="N26" s="113">
        <v>7831</v>
      </c>
      <c r="O26" s="116">
        <v>155</v>
      </c>
      <c r="P26" s="113">
        <v>0</v>
      </c>
      <c r="Q26" s="114">
        <v>0</v>
      </c>
      <c r="R26" s="114">
        <v>0</v>
      </c>
      <c r="S26" s="114">
        <v>0</v>
      </c>
      <c r="T26" s="113">
        <v>0</v>
      </c>
      <c r="U26" s="114">
        <v>0</v>
      </c>
      <c r="V26" s="113">
        <v>262314</v>
      </c>
      <c r="W26" s="113">
        <v>7831</v>
      </c>
      <c r="X26" s="113">
        <v>270145</v>
      </c>
      <c r="Y26" s="113">
        <v>2282</v>
      </c>
      <c r="Z26" s="113">
        <v>0</v>
      </c>
      <c r="AA26" s="113">
        <v>272427</v>
      </c>
      <c r="AB26" s="113">
        <f t="shared" si="0"/>
        <v>87.54080976863753</v>
      </c>
    </row>
    <row r="27" spans="1:28" ht="15.75" thickBot="1" x14ac:dyDescent="0.3">
      <c r="A27" s="44" t="s">
        <v>1057</v>
      </c>
      <c r="B27" s="107" t="s">
        <v>1058</v>
      </c>
      <c r="C27" s="110" t="s">
        <v>817</v>
      </c>
      <c r="D27" s="110" t="s">
        <v>2277</v>
      </c>
      <c r="E27" s="111" t="s">
        <v>799</v>
      </c>
      <c r="F27" s="111" t="s">
        <v>800</v>
      </c>
      <c r="G27" s="112">
        <v>2791</v>
      </c>
      <c r="H27" s="112">
        <v>2791</v>
      </c>
      <c r="I27" s="113">
        <v>6597</v>
      </c>
      <c r="J27" s="113">
        <v>0</v>
      </c>
      <c r="K27" s="113">
        <v>0</v>
      </c>
      <c r="L27" s="113">
        <v>151340</v>
      </c>
      <c r="M27" s="113">
        <v>157937</v>
      </c>
      <c r="N27" s="113">
        <v>9982</v>
      </c>
      <c r="O27" s="115">
        <v>0</v>
      </c>
      <c r="P27" s="114">
        <v>0</v>
      </c>
      <c r="Q27" s="114">
        <v>0</v>
      </c>
      <c r="R27" s="114">
        <v>0</v>
      </c>
      <c r="S27" s="114">
        <v>0</v>
      </c>
      <c r="T27" s="114">
        <v>0</v>
      </c>
      <c r="U27" s="114">
        <v>0</v>
      </c>
      <c r="V27" s="113">
        <v>157937</v>
      </c>
      <c r="W27" s="113">
        <v>9982</v>
      </c>
      <c r="X27" s="113">
        <v>167919</v>
      </c>
      <c r="Y27" s="113">
        <v>2047</v>
      </c>
      <c r="Z27" s="113">
        <v>0</v>
      </c>
      <c r="AA27" s="113">
        <v>169966</v>
      </c>
      <c r="AB27" s="113">
        <f t="shared" si="0"/>
        <v>60.897886062343247</v>
      </c>
    </row>
    <row r="28" spans="1:28" ht="15.75" thickBot="1" x14ac:dyDescent="0.3">
      <c r="A28" s="44" t="s">
        <v>1071</v>
      </c>
      <c r="B28" s="107" t="s">
        <v>1072</v>
      </c>
      <c r="C28" s="110" t="s">
        <v>817</v>
      </c>
      <c r="D28" s="110" t="s">
        <v>1885</v>
      </c>
      <c r="E28" s="111" t="s">
        <v>804</v>
      </c>
      <c r="F28" s="111" t="s">
        <v>805</v>
      </c>
      <c r="G28" s="112">
        <v>3150</v>
      </c>
      <c r="H28" s="112">
        <v>3150</v>
      </c>
      <c r="I28" s="113">
        <v>6587</v>
      </c>
      <c r="J28" s="113">
        <v>206694</v>
      </c>
      <c r="K28" s="114">
        <v>0</v>
      </c>
      <c r="L28" s="113">
        <v>0</v>
      </c>
      <c r="M28" s="113">
        <v>213281</v>
      </c>
      <c r="N28" s="113">
        <v>4442</v>
      </c>
      <c r="O28" s="115">
        <v>0</v>
      </c>
      <c r="P28" s="114">
        <v>0</v>
      </c>
      <c r="Q28" s="114">
        <v>0</v>
      </c>
      <c r="R28" s="114">
        <v>0</v>
      </c>
      <c r="S28" s="114">
        <v>0</v>
      </c>
      <c r="T28" s="114">
        <v>0</v>
      </c>
      <c r="U28" s="114">
        <v>0</v>
      </c>
      <c r="V28" s="113">
        <v>213281</v>
      </c>
      <c r="W28" s="113">
        <v>4442</v>
      </c>
      <c r="X28" s="113">
        <v>217723</v>
      </c>
      <c r="Y28" s="113">
        <v>1163</v>
      </c>
      <c r="Z28" s="113">
        <v>0</v>
      </c>
      <c r="AA28" s="113">
        <v>218886</v>
      </c>
      <c r="AB28" s="113">
        <f t="shared" si="0"/>
        <v>69.487619047619049</v>
      </c>
    </row>
    <row r="29" spans="1:28" ht="15.75" thickBot="1" x14ac:dyDescent="0.3">
      <c r="A29" s="44" t="s">
        <v>1083</v>
      </c>
      <c r="B29" s="107" t="s">
        <v>1084</v>
      </c>
      <c r="C29" s="110" t="s">
        <v>817</v>
      </c>
      <c r="D29" s="110" t="s">
        <v>2001</v>
      </c>
      <c r="E29" s="111" t="s">
        <v>844</v>
      </c>
      <c r="F29" s="111" t="s">
        <v>845</v>
      </c>
      <c r="G29" s="112">
        <v>3043</v>
      </c>
      <c r="H29" s="112">
        <v>1452</v>
      </c>
      <c r="I29" s="113">
        <v>10687</v>
      </c>
      <c r="J29" s="113">
        <v>57321</v>
      </c>
      <c r="K29" s="114">
        <v>0</v>
      </c>
      <c r="L29" s="114">
        <v>0</v>
      </c>
      <c r="M29" s="113">
        <v>68008</v>
      </c>
      <c r="N29" s="113">
        <v>8867</v>
      </c>
      <c r="O29" s="116">
        <v>1591</v>
      </c>
      <c r="P29" s="113">
        <v>11712</v>
      </c>
      <c r="Q29" s="114">
        <v>0</v>
      </c>
      <c r="R29" s="114">
        <v>0</v>
      </c>
      <c r="S29" s="113">
        <v>750</v>
      </c>
      <c r="T29" s="113">
        <v>12462</v>
      </c>
      <c r="U29" s="114">
        <v>0</v>
      </c>
      <c r="V29" s="113">
        <v>80470</v>
      </c>
      <c r="W29" s="113">
        <v>8867</v>
      </c>
      <c r="X29" s="113">
        <v>89337</v>
      </c>
      <c r="Y29" s="113">
        <v>2232</v>
      </c>
      <c r="Z29" s="113">
        <v>0</v>
      </c>
      <c r="AA29" s="113">
        <v>91569</v>
      </c>
      <c r="AB29" s="113">
        <f t="shared" si="0"/>
        <v>30.091685836345711</v>
      </c>
    </row>
    <row r="30" spans="1:28" ht="15.75" thickBot="1" x14ac:dyDescent="0.3">
      <c r="A30" s="44" t="s">
        <v>1091</v>
      </c>
      <c r="B30" s="107" t="s">
        <v>1092</v>
      </c>
      <c r="C30" s="110" t="s">
        <v>817</v>
      </c>
      <c r="D30" s="110" t="s">
        <v>2205</v>
      </c>
      <c r="E30" s="111" t="s">
        <v>844</v>
      </c>
      <c r="F30" s="111" t="s">
        <v>845</v>
      </c>
      <c r="G30" s="112">
        <v>2047</v>
      </c>
      <c r="H30" s="112">
        <v>2047</v>
      </c>
      <c r="I30" s="113">
        <v>1246</v>
      </c>
      <c r="J30" s="113">
        <v>1139</v>
      </c>
      <c r="K30" s="113">
        <v>0</v>
      </c>
      <c r="L30" s="113">
        <v>22456</v>
      </c>
      <c r="M30" s="113">
        <v>24841</v>
      </c>
      <c r="N30" s="113">
        <v>4652</v>
      </c>
      <c r="O30" s="115">
        <v>0</v>
      </c>
      <c r="P30" s="113">
        <v>0</v>
      </c>
      <c r="Q30" s="113">
        <v>0</v>
      </c>
      <c r="R30" s="113">
        <v>0</v>
      </c>
      <c r="S30" s="113">
        <v>0</v>
      </c>
      <c r="T30" s="113">
        <v>0</v>
      </c>
      <c r="U30" s="113">
        <v>0</v>
      </c>
      <c r="V30" s="113">
        <v>24841</v>
      </c>
      <c r="W30" s="113">
        <v>4652</v>
      </c>
      <c r="X30" s="113">
        <v>29493</v>
      </c>
      <c r="Y30" s="113">
        <v>0</v>
      </c>
      <c r="Z30" s="113">
        <v>0</v>
      </c>
      <c r="AA30" s="113">
        <v>29493</v>
      </c>
      <c r="AB30" s="113">
        <f t="shared" si="0"/>
        <v>14.407914020517831</v>
      </c>
    </row>
    <row r="31" spans="1:28" ht="15.75" thickBot="1" x14ac:dyDescent="0.3">
      <c r="A31" s="44" t="s">
        <v>1099</v>
      </c>
      <c r="B31" s="107" t="s">
        <v>1100</v>
      </c>
      <c r="C31" s="110" t="s">
        <v>817</v>
      </c>
      <c r="D31" s="110" t="s">
        <v>2334</v>
      </c>
      <c r="E31" s="111" t="s">
        <v>799</v>
      </c>
      <c r="F31" s="111" t="s">
        <v>800</v>
      </c>
      <c r="G31" s="112">
        <v>3650</v>
      </c>
      <c r="H31" s="112">
        <v>3650</v>
      </c>
      <c r="I31" s="113">
        <v>6618</v>
      </c>
      <c r="J31" s="113">
        <v>201183</v>
      </c>
      <c r="K31" s="114">
        <v>0</v>
      </c>
      <c r="L31" s="114">
        <v>0</v>
      </c>
      <c r="M31" s="113">
        <v>207801</v>
      </c>
      <c r="N31" s="113">
        <v>19764</v>
      </c>
      <c r="O31" s="115">
        <v>0</v>
      </c>
      <c r="P31" s="114">
        <v>0</v>
      </c>
      <c r="Q31" s="114">
        <v>0</v>
      </c>
      <c r="R31" s="114">
        <v>0</v>
      </c>
      <c r="S31" s="114">
        <v>0</v>
      </c>
      <c r="T31" s="114">
        <v>0</v>
      </c>
      <c r="U31" s="114">
        <v>0</v>
      </c>
      <c r="V31" s="113">
        <v>207801</v>
      </c>
      <c r="W31" s="113">
        <v>19764</v>
      </c>
      <c r="X31" s="113">
        <v>227565</v>
      </c>
      <c r="Y31" s="113">
        <v>1338</v>
      </c>
      <c r="Z31" s="113">
        <v>0</v>
      </c>
      <c r="AA31" s="113">
        <v>228903</v>
      </c>
      <c r="AB31" s="113">
        <f t="shared" si="0"/>
        <v>62.713150684931506</v>
      </c>
    </row>
    <row r="32" spans="1:28" ht="15.75" thickBot="1" x14ac:dyDescent="0.3">
      <c r="A32" s="44" t="s">
        <v>1101</v>
      </c>
      <c r="B32" s="107" t="s">
        <v>1102</v>
      </c>
      <c r="C32" s="110" t="s">
        <v>817</v>
      </c>
      <c r="D32" s="110" t="s">
        <v>1936</v>
      </c>
      <c r="E32" s="111" t="s">
        <v>804</v>
      </c>
      <c r="F32" s="111" t="s">
        <v>805</v>
      </c>
      <c r="G32" s="112">
        <v>1828</v>
      </c>
      <c r="H32" s="112">
        <v>1828</v>
      </c>
      <c r="I32" s="113">
        <v>4652</v>
      </c>
      <c r="J32" s="113">
        <v>59898</v>
      </c>
      <c r="K32" s="114">
        <v>0</v>
      </c>
      <c r="L32" s="114">
        <v>0</v>
      </c>
      <c r="M32" s="113">
        <v>64550</v>
      </c>
      <c r="N32" s="113">
        <v>370</v>
      </c>
      <c r="O32" s="115">
        <v>0</v>
      </c>
      <c r="P32" s="114">
        <v>0</v>
      </c>
      <c r="Q32" s="114">
        <v>0</v>
      </c>
      <c r="R32" s="114">
        <v>0</v>
      </c>
      <c r="S32" s="114">
        <v>0</v>
      </c>
      <c r="T32" s="114">
        <v>0</v>
      </c>
      <c r="U32" s="114">
        <v>0</v>
      </c>
      <c r="V32" s="113">
        <v>64550</v>
      </c>
      <c r="W32" s="113">
        <v>370</v>
      </c>
      <c r="X32" s="113">
        <v>64920</v>
      </c>
      <c r="Y32" s="113">
        <v>0</v>
      </c>
      <c r="Z32" s="113">
        <v>0</v>
      </c>
      <c r="AA32" s="113">
        <v>64920</v>
      </c>
      <c r="AB32" s="113">
        <f t="shared" si="0"/>
        <v>35.514223194748361</v>
      </c>
    </row>
    <row r="33" spans="1:28" ht="15.75" thickBot="1" x14ac:dyDescent="0.3">
      <c r="A33" s="44" t="s">
        <v>1149</v>
      </c>
      <c r="B33" s="107" t="s">
        <v>1150</v>
      </c>
      <c r="C33" s="110" t="s">
        <v>817</v>
      </c>
      <c r="D33" s="110" t="s">
        <v>1905</v>
      </c>
      <c r="E33" s="111" t="s">
        <v>799</v>
      </c>
      <c r="F33" s="111" t="s">
        <v>800</v>
      </c>
      <c r="G33" s="112">
        <v>3926</v>
      </c>
      <c r="H33" s="112">
        <v>1668</v>
      </c>
      <c r="I33" s="113">
        <v>2966</v>
      </c>
      <c r="J33" s="113">
        <v>31179</v>
      </c>
      <c r="K33" s="113">
        <v>0</v>
      </c>
      <c r="L33" s="113">
        <v>63275</v>
      </c>
      <c r="M33" s="113">
        <v>97420</v>
      </c>
      <c r="N33" s="113">
        <v>5079</v>
      </c>
      <c r="O33" s="116">
        <v>2258</v>
      </c>
      <c r="P33" s="113">
        <v>4025</v>
      </c>
      <c r="Q33" s="113">
        <v>50736</v>
      </c>
      <c r="R33" s="113">
        <v>0</v>
      </c>
      <c r="S33" s="113">
        <v>0</v>
      </c>
      <c r="T33" s="113">
        <v>54761</v>
      </c>
      <c r="U33" s="113">
        <v>3611</v>
      </c>
      <c r="V33" s="113">
        <v>152181</v>
      </c>
      <c r="W33" s="113">
        <v>8690</v>
      </c>
      <c r="X33" s="113">
        <v>160871</v>
      </c>
      <c r="Y33" s="113">
        <v>2879</v>
      </c>
      <c r="Z33" s="113">
        <v>0</v>
      </c>
      <c r="AA33" s="113">
        <v>163750</v>
      </c>
      <c r="AB33" s="113">
        <f t="shared" si="0"/>
        <v>41.709118695873663</v>
      </c>
    </row>
    <row r="34" spans="1:28" ht="15.75" thickBot="1" x14ac:dyDescent="0.3">
      <c r="A34" s="44" t="s">
        <v>1165</v>
      </c>
      <c r="B34" s="107" t="s">
        <v>1166</v>
      </c>
      <c r="C34" s="110" t="s">
        <v>817</v>
      </c>
      <c r="D34" s="110" t="s">
        <v>2120</v>
      </c>
      <c r="E34" s="111" t="s">
        <v>804</v>
      </c>
      <c r="F34" s="111" t="s">
        <v>805</v>
      </c>
      <c r="G34" s="112">
        <v>3038</v>
      </c>
      <c r="H34" s="112">
        <v>3038</v>
      </c>
      <c r="I34" s="113">
        <v>20452</v>
      </c>
      <c r="J34" s="113">
        <v>69141</v>
      </c>
      <c r="K34" s="113">
        <v>0</v>
      </c>
      <c r="L34" s="113">
        <v>0</v>
      </c>
      <c r="M34" s="113">
        <v>89593</v>
      </c>
      <c r="N34" s="113">
        <v>31544</v>
      </c>
      <c r="O34" s="115">
        <v>0</v>
      </c>
      <c r="P34" s="114">
        <v>0</v>
      </c>
      <c r="Q34" s="114">
        <v>0</v>
      </c>
      <c r="R34" s="114">
        <v>0</v>
      </c>
      <c r="S34" s="114">
        <v>0</v>
      </c>
      <c r="T34" s="114">
        <v>0</v>
      </c>
      <c r="U34" s="114">
        <v>0</v>
      </c>
      <c r="V34" s="113">
        <v>89593</v>
      </c>
      <c r="W34" s="113">
        <v>31544</v>
      </c>
      <c r="X34" s="113">
        <v>121137</v>
      </c>
      <c r="Y34" s="113">
        <v>0</v>
      </c>
      <c r="Z34" s="113">
        <v>0</v>
      </c>
      <c r="AA34" s="113">
        <v>121137</v>
      </c>
      <c r="AB34" s="113">
        <f t="shared" si="0"/>
        <v>39.873930217248187</v>
      </c>
    </row>
    <row r="35" spans="1:28" ht="15.75" thickBot="1" x14ac:dyDescent="0.3">
      <c r="A35" s="44" t="s">
        <v>1195</v>
      </c>
      <c r="B35" s="107" t="s">
        <v>1196</v>
      </c>
      <c r="C35" s="110" t="s">
        <v>817</v>
      </c>
      <c r="D35" s="110" t="s">
        <v>2073</v>
      </c>
      <c r="E35" s="111" t="s">
        <v>804</v>
      </c>
      <c r="F35" s="111" t="s">
        <v>805</v>
      </c>
      <c r="G35" s="112">
        <v>3730</v>
      </c>
      <c r="H35" s="112">
        <v>3730</v>
      </c>
      <c r="I35" s="113">
        <v>5170</v>
      </c>
      <c r="J35" s="113">
        <v>0</v>
      </c>
      <c r="K35" s="113">
        <v>36484</v>
      </c>
      <c r="L35" s="113">
        <v>0</v>
      </c>
      <c r="M35" s="113">
        <v>41654</v>
      </c>
      <c r="N35" s="113">
        <v>0</v>
      </c>
      <c r="O35" s="115">
        <v>0</v>
      </c>
      <c r="P35" s="114">
        <v>0</v>
      </c>
      <c r="Q35" s="114">
        <v>0</v>
      </c>
      <c r="R35" s="114">
        <v>0</v>
      </c>
      <c r="S35" s="114">
        <v>0</v>
      </c>
      <c r="T35" s="114">
        <v>0</v>
      </c>
      <c r="U35" s="114">
        <v>0</v>
      </c>
      <c r="V35" s="113">
        <v>41654</v>
      </c>
      <c r="W35" s="113">
        <v>0</v>
      </c>
      <c r="X35" s="113">
        <v>41654</v>
      </c>
      <c r="Y35" s="113">
        <v>1596</v>
      </c>
      <c r="Z35" s="113">
        <v>0</v>
      </c>
      <c r="AA35" s="113">
        <v>43250</v>
      </c>
      <c r="AB35" s="113">
        <f t="shared" si="0"/>
        <v>11.595174262734584</v>
      </c>
    </row>
    <row r="36" spans="1:28" ht="15.75" thickBot="1" x14ac:dyDescent="0.3">
      <c r="A36" s="44" t="s">
        <v>1203</v>
      </c>
      <c r="B36" s="107" t="s">
        <v>1204</v>
      </c>
      <c r="C36" s="110" t="s">
        <v>817</v>
      </c>
      <c r="D36" s="110" t="s">
        <v>1964</v>
      </c>
      <c r="E36" s="111" t="s">
        <v>885</v>
      </c>
      <c r="F36" s="111" t="s">
        <v>886</v>
      </c>
      <c r="G36" s="112">
        <v>2735</v>
      </c>
      <c r="H36" s="112">
        <v>767</v>
      </c>
      <c r="I36" s="113">
        <v>3284</v>
      </c>
      <c r="J36" s="113">
        <v>0</v>
      </c>
      <c r="K36" s="113">
        <v>10000</v>
      </c>
      <c r="L36" s="113">
        <v>3100</v>
      </c>
      <c r="M36" s="113">
        <v>16384</v>
      </c>
      <c r="N36" s="113">
        <v>7003</v>
      </c>
      <c r="O36" s="116">
        <v>1968</v>
      </c>
      <c r="P36" s="113">
        <v>0</v>
      </c>
      <c r="Q36" s="113">
        <v>0</v>
      </c>
      <c r="R36" s="113">
        <v>0</v>
      </c>
      <c r="S36" s="113">
        <v>1200</v>
      </c>
      <c r="T36" s="113">
        <v>1200</v>
      </c>
      <c r="U36" s="113">
        <v>0</v>
      </c>
      <c r="V36" s="113">
        <v>17584</v>
      </c>
      <c r="W36" s="113">
        <v>7003</v>
      </c>
      <c r="X36" s="113">
        <v>24587</v>
      </c>
      <c r="Y36" s="113">
        <v>2851</v>
      </c>
      <c r="Z36" s="113">
        <v>0</v>
      </c>
      <c r="AA36" s="113">
        <v>27438</v>
      </c>
      <c r="AB36" s="113">
        <f t="shared" si="0"/>
        <v>10.032175502742231</v>
      </c>
    </row>
    <row r="37" spans="1:28" ht="15.75" thickBot="1" x14ac:dyDescent="0.3">
      <c r="A37" s="44" t="s">
        <v>1205</v>
      </c>
      <c r="B37" s="107" t="s">
        <v>1206</v>
      </c>
      <c r="C37" s="110" t="s">
        <v>817</v>
      </c>
      <c r="D37" s="110" t="s">
        <v>2385</v>
      </c>
      <c r="E37" s="111" t="s">
        <v>1037</v>
      </c>
      <c r="F37" s="111" t="s">
        <v>1038</v>
      </c>
      <c r="G37" s="112">
        <v>1900</v>
      </c>
      <c r="H37" s="112">
        <v>1900</v>
      </c>
      <c r="I37" s="113">
        <v>14891</v>
      </c>
      <c r="J37" s="113">
        <v>107000</v>
      </c>
      <c r="K37" s="113">
        <v>0</v>
      </c>
      <c r="L37" s="114">
        <v>0</v>
      </c>
      <c r="M37" s="113">
        <v>121891</v>
      </c>
      <c r="N37" s="113">
        <v>2075</v>
      </c>
      <c r="O37" s="115">
        <v>0</v>
      </c>
      <c r="P37" s="114">
        <v>0</v>
      </c>
      <c r="Q37" s="114">
        <v>0</v>
      </c>
      <c r="R37" s="114">
        <v>0</v>
      </c>
      <c r="S37" s="114">
        <v>0</v>
      </c>
      <c r="T37" s="114">
        <v>0</v>
      </c>
      <c r="U37" s="114">
        <v>0</v>
      </c>
      <c r="V37" s="113">
        <v>121891</v>
      </c>
      <c r="W37" s="113">
        <v>2075</v>
      </c>
      <c r="X37" s="113">
        <v>123966</v>
      </c>
      <c r="Y37" s="113">
        <v>1800</v>
      </c>
      <c r="Z37" s="113">
        <v>0</v>
      </c>
      <c r="AA37" s="113">
        <v>125766</v>
      </c>
      <c r="AB37" s="113">
        <f t="shared" si="0"/>
        <v>66.19263157894737</v>
      </c>
    </row>
    <row r="38" spans="1:28" ht="15.75" thickBot="1" x14ac:dyDescent="0.3">
      <c r="A38" s="44" t="s">
        <v>1209</v>
      </c>
      <c r="B38" s="107" t="s">
        <v>1210</v>
      </c>
      <c r="C38" s="110" t="s">
        <v>817</v>
      </c>
      <c r="D38" s="110" t="s">
        <v>2334</v>
      </c>
      <c r="E38" s="111" t="s">
        <v>844</v>
      </c>
      <c r="F38" s="111" t="s">
        <v>845</v>
      </c>
      <c r="G38" s="112">
        <v>2027</v>
      </c>
      <c r="H38" s="112">
        <v>2027</v>
      </c>
      <c r="I38" s="113">
        <v>3675</v>
      </c>
      <c r="J38" s="113">
        <v>0</v>
      </c>
      <c r="K38" s="113">
        <v>130784</v>
      </c>
      <c r="L38" s="113">
        <v>0</v>
      </c>
      <c r="M38" s="113">
        <v>134459</v>
      </c>
      <c r="N38" s="113">
        <v>11763</v>
      </c>
      <c r="O38" s="115">
        <v>0</v>
      </c>
      <c r="P38" s="114">
        <v>0</v>
      </c>
      <c r="Q38" s="114">
        <v>0</v>
      </c>
      <c r="R38" s="114">
        <v>0</v>
      </c>
      <c r="S38" s="114">
        <v>0</v>
      </c>
      <c r="T38" s="114">
        <v>0</v>
      </c>
      <c r="U38" s="114">
        <v>0</v>
      </c>
      <c r="V38" s="113">
        <v>134459</v>
      </c>
      <c r="W38" s="113">
        <v>11763</v>
      </c>
      <c r="X38" s="113">
        <v>146222</v>
      </c>
      <c r="Y38" s="113">
        <v>1486</v>
      </c>
      <c r="Z38" s="113">
        <v>0</v>
      </c>
      <c r="AA38" s="113">
        <v>147708</v>
      </c>
      <c r="AB38" s="113">
        <f t="shared" si="0"/>
        <v>72.870251603354717</v>
      </c>
    </row>
    <row r="39" spans="1:28" ht="15.75" thickBot="1" x14ac:dyDescent="0.3">
      <c r="A39" s="44" t="s">
        <v>1219</v>
      </c>
      <c r="B39" s="107" t="s">
        <v>1220</v>
      </c>
      <c r="C39" s="110" t="s">
        <v>817</v>
      </c>
      <c r="D39" s="110" t="s">
        <v>2259</v>
      </c>
      <c r="E39" s="111" t="s">
        <v>804</v>
      </c>
      <c r="F39" s="111" t="s">
        <v>805</v>
      </c>
      <c r="G39" s="112">
        <v>2835</v>
      </c>
      <c r="H39" s="112">
        <v>2585</v>
      </c>
      <c r="I39" s="113">
        <v>13218</v>
      </c>
      <c r="J39" s="113">
        <v>0</v>
      </c>
      <c r="K39" s="113">
        <v>0</v>
      </c>
      <c r="L39" s="113">
        <v>1171</v>
      </c>
      <c r="M39" s="113">
        <v>14389</v>
      </c>
      <c r="N39" s="113">
        <v>5750</v>
      </c>
      <c r="O39" s="116">
        <v>250</v>
      </c>
      <c r="P39" s="113">
        <v>1279</v>
      </c>
      <c r="Q39" s="114">
        <v>0</v>
      </c>
      <c r="R39" s="114">
        <v>0</v>
      </c>
      <c r="S39" s="114">
        <v>0</v>
      </c>
      <c r="T39" s="113">
        <v>1279</v>
      </c>
      <c r="U39" s="114">
        <v>0</v>
      </c>
      <c r="V39" s="113">
        <v>15668</v>
      </c>
      <c r="W39" s="113">
        <v>5750</v>
      </c>
      <c r="X39" s="113">
        <v>21418</v>
      </c>
      <c r="Y39" s="113">
        <v>1171</v>
      </c>
      <c r="Z39" s="113">
        <v>0</v>
      </c>
      <c r="AA39" s="113">
        <v>22589</v>
      </c>
      <c r="AB39" s="113">
        <f t="shared" si="0"/>
        <v>7.9679012345679014</v>
      </c>
    </row>
    <row r="40" spans="1:28" ht="15.75" thickBot="1" x14ac:dyDescent="0.3">
      <c r="A40" s="44" t="s">
        <v>1225</v>
      </c>
      <c r="B40" s="107" t="s">
        <v>1226</v>
      </c>
      <c r="C40" s="110" t="s">
        <v>817</v>
      </c>
      <c r="D40" s="110" t="s">
        <v>2076</v>
      </c>
      <c r="E40" s="111" t="s">
        <v>844</v>
      </c>
      <c r="F40" s="111" t="s">
        <v>845</v>
      </c>
      <c r="G40" s="112">
        <v>2372</v>
      </c>
      <c r="H40" s="112">
        <v>2372</v>
      </c>
      <c r="I40" s="113">
        <v>7789</v>
      </c>
      <c r="J40" s="113">
        <v>70539</v>
      </c>
      <c r="K40" s="113">
        <v>0</v>
      </c>
      <c r="L40" s="113">
        <v>39887</v>
      </c>
      <c r="M40" s="113">
        <v>118215</v>
      </c>
      <c r="N40" s="113">
        <v>45904</v>
      </c>
      <c r="O40" s="115">
        <v>0</v>
      </c>
      <c r="P40" s="114">
        <v>0</v>
      </c>
      <c r="Q40" s="114">
        <v>0</v>
      </c>
      <c r="R40" s="114">
        <v>0</v>
      </c>
      <c r="S40" s="114">
        <v>0</v>
      </c>
      <c r="T40" s="114">
        <v>0</v>
      </c>
      <c r="U40" s="114">
        <v>0</v>
      </c>
      <c r="V40" s="113">
        <v>118215</v>
      </c>
      <c r="W40" s="113">
        <v>45904</v>
      </c>
      <c r="X40" s="113">
        <v>164119</v>
      </c>
      <c r="Y40" s="113">
        <v>0</v>
      </c>
      <c r="Z40" s="113">
        <v>0</v>
      </c>
      <c r="AA40" s="113">
        <v>164119</v>
      </c>
      <c r="AB40" s="113">
        <f t="shared" si="0"/>
        <v>69.190134907251263</v>
      </c>
    </row>
    <row r="41" spans="1:28" ht="15.75" thickBot="1" x14ac:dyDescent="0.3">
      <c r="A41" s="44" t="s">
        <v>1237</v>
      </c>
      <c r="B41" s="107" t="s">
        <v>1238</v>
      </c>
      <c r="C41" s="110" t="s">
        <v>817</v>
      </c>
      <c r="D41" s="110" t="s">
        <v>1944</v>
      </c>
      <c r="E41" s="111" t="s">
        <v>1037</v>
      </c>
      <c r="F41" s="111" t="s">
        <v>1038</v>
      </c>
      <c r="G41" s="112">
        <v>3667</v>
      </c>
      <c r="H41" s="112">
        <v>3465</v>
      </c>
      <c r="I41" s="113">
        <v>22438</v>
      </c>
      <c r="J41" s="113">
        <v>118324</v>
      </c>
      <c r="K41" s="114">
        <v>0</v>
      </c>
      <c r="L41" s="114">
        <v>0</v>
      </c>
      <c r="M41" s="113">
        <v>140762</v>
      </c>
      <c r="N41" s="113">
        <v>3238</v>
      </c>
      <c r="O41" s="116">
        <v>202</v>
      </c>
      <c r="P41" s="114">
        <v>0</v>
      </c>
      <c r="Q41" s="114">
        <v>0</v>
      </c>
      <c r="R41" s="114">
        <v>0</v>
      </c>
      <c r="S41" s="114">
        <v>0</v>
      </c>
      <c r="T41" s="114">
        <v>0</v>
      </c>
      <c r="U41" s="114">
        <v>0</v>
      </c>
      <c r="V41" s="113">
        <v>140762</v>
      </c>
      <c r="W41" s="113">
        <v>3238</v>
      </c>
      <c r="X41" s="113">
        <v>144000</v>
      </c>
      <c r="Y41" s="113">
        <v>2939</v>
      </c>
      <c r="Z41" s="113">
        <v>0</v>
      </c>
      <c r="AA41" s="113">
        <v>146939</v>
      </c>
      <c r="AB41" s="113">
        <f t="shared" si="0"/>
        <v>40.070629942732481</v>
      </c>
    </row>
    <row r="42" spans="1:28" ht="15.75" thickBot="1" x14ac:dyDescent="0.3">
      <c r="A42" s="44" t="s">
        <v>1243</v>
      </c>
      <c r="B42" s="107" t="s">
        <v>1244</v>
      </c>
      <c r="C42" s="110" t="s">
        <v>817</v>
      </c>
      <c r="D42" s="110" t="s">
        <v>2507</v>
      </c>
      <c r="E42" s="111" t="s">
        <v>844</v>
      </c>
      <c r="F42" s="111" t="s">
        <v>845</v>
      </c>
      <c r="G42" s="112">
        <v>492</v>
      </c>
      <c r="H42" s="112">
        <v>492</v>
      </c>
      <c r="I42" s="113">
        <v>9220</v>
      </c>
      <c r="J42" s="113">
        <v>0</v>
      </c>
      <c r="K42" s="113">
        <v>37785</v>
      </c>
      <c r="L42" s="113">
        <v>0</v>
      </c>
      <c r="M42" s="113">
        <v>47005</v>
      </c>
      <c r="N42" s="113">
        <v>41151</v>
      </c>
      <c r="O42" s="115">
        <v>0</v>
      </c>
      <c r="P42" s="114">
        <v>0</v>
      </c>
      <c r="Q42" s="114">
        <v>0</v>
      </c>
      <c r="R42" s="114">
        <v>0</v>
      </c>
      <c r="S42" s="114">
        <v>0</v>
      </c>
      <c r="T42" s="114">
        <v>0</v>
      </c>
      <c r="U42" s="114">
        <v>0</v>
      </c>
      <c r="V42" s="113">
        <v>47005</v>
      </c>
      <c r="W42" s="113">
        <v>41151</v>
      </c>
      <c r="X42" s="113">
        <v>88156</v>
      </c>
      <c r="Y42" s="113">
        <v>360</v>
      </c>
      <c r="Z42" s="113">
        <v>0</v>
      </c>
      <c r="AA42" s="113">
        <v>88516</v>
      </c>
      <c r="AB42" s="113">
        <f t="shared" si="0"/>
        <v>179.91056910569105</v>
      </c>
    </row>
    <row r="43" spans="1:28" ht="15.75" thickBot="1" x14ac:dyDescent="0.3">
      <c r="A43" s="44" t="s">
        <v>1259</v>
      </c>
      <c r="B43" s="107" t="s">
        <v>1260</v>
      </c>
      <c r="C43" s="110" t="s">
        <v>817</v>
      </c>
      <c r="D43" s="110" t="s">
        <v>1980</v>
      </c>
      <c r="E43" s="111" t="s">
        <v>799</v>
      </c>
      <c r="F43" s="111" t="s">
        <v>800</v>
      </c>
      <c r="G43" s="112">
        <v>3115</v>
      </c>
      <c r="H43" s="112">
        <v>672</v>
      </c>
      <c r="I43" s="113">
        <v>0</v>
      </c>
      <c r="J43" s="113">
        <v>6722</v>
      </c>
      <c r="K43" s="113">
        <v>0</v>
      </c>
      <c r="L43" s="113">
        <v>0</v>
      </c>
      <c r="M43" s="113">
        <v>6722</v>
      </c>
      <c r="N43" s="113">
        <v>6571</v>
      </c>
      <c r="O43" s="116">
        <v>2443</v>
      </c>
      <c r="P43" s="113">
        <v>15397</v>
      </c>
      <c r="Q43" s="113">
        <v>0</v>
      </c>
      <c r="R43" s="113">
        <v>4000</v>
      </c>
      <c r="S43" s="113">
        <v>0</v>
      </c>
      <c r="T43" s="113">
        <v>19397</v>
      </c>
      <c r="U43" s="113">
        <v>0</v>
      </c>
      <c r="V43" s="113">
        <v>26119</v>
      </c>
      <c r="W43" s="113">
        <v>6571</v>
      </c>
      <c r="X43" s="113">
        <v>32690</v>
      </c>
      <c r="Y43" s="113">
        <v>2284</v>
      </c>
      <c r="Z43" s="113">
        <v>0</v>
      </c>
      <c r="AA43" s="113">
        <v>34974</v>
      </c>
      <c r="AB43" s="113">
        <f t="shared" si="0"/>
        <v>11.22760834670947</v>
      </c>
    </row>
    <row r="44" spans="1:28" ht="15.75" thickBot="1" x14ac:dyDescent="0.3">
      <c r="A44" s="44" t="s">
        <v>1275</v>
      </c>
      <c r="B44" s="107" t="s">
        <v>1276</v>
      </c>
      <c r="C44" s="110" t="s">
        <v>817</v>
      </c>
      <c r="D44" s="110" t="s">
        <v>2088</v>
      </c>
      <c r="E44" s="111" t="s">
        <v>844</v>
      </c>
      <c r="F44" s="111" t="s">
        <v>845</v>
      </c>
      <c r="G44" s="112">
        <v>2440</v>
      </c>
      <c r="H44" s="112">
        <v>478</v>
      </c>
      <c r="I44" s="113">
        <v>2572</v>
      </c>
      <c r="J44" s="113">
        <v>6663</v>
      </c>
      <c r="K44" s="113">
        <v>0</v>
      </c>
      <c r="L44" s="113">
        <v>26719</v>
      </c>
      <c r="M44" s="113">
        <v>35954</v>
      </c>
      <c r="N44" s="113">
        <v>1000</v>
      </c>
      <c r="O44" s="116">
        <v>1962</v>
      </c>
      <c r="P44" s="113">
        <v>10667</v>
      </c>
      <c r="Q44" s="114">
        <v>0</v>
      </c>
      <c r="R44" s="114">
        <v>0</v>
      </c>
      <c r="S44" s="114">
        <v>0</v>
      </c>
      <c r="T44" s="113">
        <v>10667</v>
      </c>
      <c r="U44" s="114">
        <v>0</v>
      </c>
      <c r="V44" s="113">
        <v>46621</v>
      </c>
      <c r="W44" s="113">
        <v>1000</v>
      </c>
      <c r="X44" s="113">
        <v>47621</v>
      </c>
      <c r="Y44" s="113">
        <v>1789</v>
      </c>
      <c r="Z44" s="113">
        <v>0</v>
      </c>
      <c r="AA44" s="113">
        <v>49410</v>
      </c>
      <c r="AB44" s="113">
        <f t="shared" si="0"/>
        <v>20.25</v>
      </c>
    </row>
    <row r="45" spans="1:28" ht="15.75" thickBot="1" x14ac:dyDescent="0.3">
      <c r="A45" s="44" t="s">
        <v>1283</v>
      </c>
      <c r="B45" s="107" t="s">
        <v>1284</v>
      </c>
      <c r="C45" s="110" t="s">
        <v>817</v>
      </c>
      <c r="D45" s="110" t="s">
        <v>2043</v>
      </c>
      <c r="E45" s="111" t="s">
        <v>799</v>
      </c>
      <c r="F45" s="111" t="s">
        <v>800</v>
      </c>
      <c r="G45" s="112">
        <v>3433</v>
      </c>
      <c r="H45" s="112">
        <v>2696</v>
      </c>
      <c r="I45" s="113">
        <v>7728</v>
      </c>
      <c r="J45" s="113">
        <v>62946</v>
      </c>
      <c r="K45" s="113">
        <v>0</v>
      </c>
      <c r="L45" s="113">
        <v>7541</v>
      </c>
      <c r="M45" s="113">
        <v>78215</v>
      </c>
      <c r="N45" s="113">
        <v>7041</v>
      </c>
      <c r="O45" s="116">
        <v>737</v>
      </c>
      <c r="P45" s="113">
        <v>2114</v>
      </c>
      <c r="Q45" s="113">
        <v>0</v>
      </c>
      <c r="R45" s="113">
        <v>0</v>
      </c>
      <c r="S45" s="113">
        <v>0</v>
      </c>
      <c r="T45" s="113">
        <v>2114</v>
      </c>
      <c r="U45" s="113">
        <v>750</v>
      </c>
      <c r="V45" s="113">
        <v>80329</v>
      </c>
      <c r="W45" s="113">
        <v>7791</v>
      </c>
      <c r="X45" s="113">
        <v>88120</v>
      </c>
      <c r="Y45" s="113">
        <v>2517</v>
      </c>
      <c r="Z45" s="113">
        <v>0</v>
      </c>
      <c r="AA45" s="113">
        <v>90637</v>
      </c>
      <c r="AB45" s="113">
        <f t="shared" si="0"/>
        <v>26.401689484415964</v>
      </c>
    </row>
    <row r="46" spans="1:28" ht="15.75" thickBot="1" x14ac:dyDescent="0.3">
      <c r="A46" s="44" t="s">
        <v>1303</v>
      </c>
      <c r="B46" s="107" t="s">
        <v>1304</v>
      </c>
      <c r="C46" s="110" t="s">
        <v>817</v>
      </c>
      <c r="D46" s="110" t="s">
        <v>1999</v>
      </c>
      <c r="E46" s="111" t="s">
        <v>844</v>
      </c>
      <c r="F46" s="111" t="s">
        <v>845</v>
      </c>
      <c r="G46" s="112">
        <v>1848</v>
      </c>
      <c r="H46" s="112">
        <v>1848</v>
      </c>
      <c r="I46" s="113">
        <v>5968</v>
      </c>
      <c r="J46" s="113">
        <v>65094</v>
      </c>
      <c r="K46" s="114">
        <v>0</v>
      </c>
      <c r="L46" s="114">
        <v>0</v>
      </c>
      <c r="M46" s="113">
        <v>71062</v>
      </c>
      <c r="N46" s="114">
        <v>0</v>
      </c>
      <c r="O46" s="115">
        <v>0</v>
      </c>
      <c r="P46" s="114">
        <v>0</v>
      </c>
      <c r="Q46" s="114">
        <v>0</v>
      </c>
      <c r="R46" s="114">
        <v>0</v>
      </c>
      <c r="S46" s="114">
        <v>0</v>
      </c>
      <c r="T46" s="114">
        <v>0</v>
      </c>
      <c r="U46" s="114">
        <v>0</v>
      </c>
      <c r="V46" s="113">
        <v>71062</v>
      </c>
      <c r="W46" s="114">
        <v>0</v>
      </c>
      <c r="X46" s="113">
        <v>71062</v>
      </c>
      <c r="Y46" s="113">
        <v>672</v>
      </c>
      <c r="Z46" s="113">
        <v>0</v>
      </c>
      <c r="AA46" s="113">
        <v>71734</v>
      </c>
      <c r="AB46" s="113">
        <f t="shared" si="0"/>
        <v>38.817099567099568</v>
      </c>
    </row>
    <row r="47" spans="1:28" ht="15.75" thickBot="1" x14ac:dyDescent="0.3">
      <c r="A47" s="44" t="s">
        <v>1319</v>
      </c>
      <c r="B47" s="107" t="s">
        <v>1320</v>
      </c>
      <c r="C47" s="110" t="s">
        <v>817</v>
      </c>
      <c r="D47" s="110" t="s">
        <v>1936</v>
      </c>
      <c r="E47" s="111" t="s">
        <v>804</v>
      </c>
      <c r="F47" s="111" t="s">
        <v>805</v>
      </c>
      <c r="G47" s="112">
        <v>3645</v>
      </c>
      <c r="H47" s="112">
        <v>3645</v>
      </c>
      <c r="I47" s="113">
        <v>10018</v>
      </c>
      <c r="J47" s="113">
        <v>99845</v>
      </c>
      <c r="K47" s="114">
        <v>0</v>
      </c>
      <c r="L47" s="113">
        <v>0</v>
      </c>
      <c r="M47" s="113">
        <v>109863</v>
      </c>
      <c r="N47" s="113">
        <v>120832</v>
      </c>
      <c r="O47" s="115">
        <v>0</v>
      </c>
      <c r="P47" s="114">
        <v>0</v>
      </c>
      <c r="Q47" s="114">
        <v>0</v>
      </c>
      <c r="R47" s="114">
        <v>0</v>
      </c>
      <c r="S47" s="114">
        <v>0</v>
      </c>
      <c r="T47" s="114">
        <v>0</v>
      </c>
      <c r="U47" s="114">
        <v>0</v>
      </c>
      <c r="V47" s="113">
        <v>109863</v>
      </c>
      <c r="W47" s="113">
        <v>120832</v>
      </c>
      <c r="X47" s="113">
        <v>230695</v>
      </c>
      <c r="Y47" s="113">
        <v>3380</v>
      </c>
      <c r="Z47" s="113">
        <v>0</v>
      </c>
      <c r="AA47" s="113">
        <v>234075</v>
      </c>
      <c r="AB47" s="113">
        <f t="shared" si="0"/>
        <v>64.218106995884767</v>
      </c>
    </row>
    <row r="48" spans="1:28" ht="15.75" thickBot="1" x14ac:dyDescent="0.3">
      <c r="A48" s="44" t="s">
        <v>1333</v>
      </c>
      <c r="B48" s="107" t="s">
        <v>1334</v>
      </c>
      <c r="C48" s="110" t="s">
        <v>817</v>
      </c>
      <c r="D48" s="110" t="s">
        <v>2088</v>
      </c>
      <c r="E48" s="111" t="s">
        <v>895</v>
      </c>
      <c r="F48" s="111" t="s">
        <v>896</v>
      </c>
      <c r="G48" s="112">
        <v>3679</v>
      </c>
      <c r="H48" s="112">
        <v>2579</v>
      </c>
      <c r="I48" s="113">
        <v>14363</v>
      </c>
      <c r="J48" s="113">
        <v>35878</v>
      </c>
      <c r="K48" s="114">
        <v>0</v>
      </c>
      <c r="L48" s="113">
        <v>216</v>
      </c>
      <c r="M48" s="113">
        <v>50457</v>
      </c>
      <c r="N48" s="113">
        <v>4358</v>
      </c>
      <c r="O48" s="116">
        <v>1100</v>
      </c>
      <c r="P48" s="113">
        <v>6126</v>
      </c>
      <c r="Q48" s="114">
        <v>0</v>
      </c>
      <c r="R48" s="114">
        <v>0</v>
      </c>
      <c r="S48" s="114">
        <v>0</v>
      </c>
      <c r="T48" s="113">
        <v>6126</v>
      </c>
      <c r="U48" s="114">
        <v>0</v>
      </c>
      <c r="V48" s="113">
        <v>56583</v>
      </c>
      <c r="W48" s="113">
        <v>4358</v>
      </c>
      <c r="X48" s="113">
        <v>60941</v>
      </c>
      <c r="Y48" s="113">
        <v>4047</v>
      </c>
      <c r="Z48" s="113">
        <v>0</v>
      </c>
      <c r="AA48" s="113">
        <v>64988</v>
      </c>
      <c r="AB48" s="113">
        <f t="shared" si="0"/>
        <v>17.664582767056267</v>
      </c>
    </row>
    <row r="49" spans="1:28" ht="15.75" thickBot="1" x14ac:dyDescent="0.3">
      <c r="A49" s="44" t="s">
        <v>1337</v>
      </c>
      <c r="B49" s="107" t="s">
        <v>1338</v>
      </c>
      <c r="C49" s="110" t="s">
        <v>817</v>
      </c>
      <c r="D49" s="110" t="s">
        <v>2073</v>
      </c>
      <c r="E49" s="111" t="s">
        <v>804</v>
      </c>
      <c r="F49" s="111" t="s">
        <v>805</v>
      </c>
      <c r="G49" s="112">
        <v>1830</v>
      </c>
      <c r="H49" s="112">
        <v>1830</v>
      </c>
      <c r="I49" s="113">
        <v>2662</v>
      </c>
      <c r="J49" s="114">
        <v>0</v>
      </c>
      <c r="K49" s="113">
        <v>14254</v>
      </c>
      <c r="L49" s="114">
        <v>0</v>
      </c>
      <c r="M49" s="113">
        <v>16916</v>
      </c>
      <c r="N49" s="114">
        <v>0</v>
      </c>
      <c r="O49" s="115">
        <v>0</v>
      </c>
      <c r="P49" s="114">
        <v>0</v>
      </c>
      <c r="Q49" s="114">
        <v>0</v>
      </c>
      <c r="R49" s="114">
        <v>0</v>
      </c>
      <c r="S49" s="114">
        <v>0</v>
      </c>
      <c r="T49" s="114">
        <v>0</v>
      </c>
      <c r="U49" s="114">
        <v>0</v>
      </c>
      <c r="V49" s="113">
        <v>16916</v>
      </c>
      <c r="W49" s="114">
        <v>0</v>
      </c>
      <c r="X49" s="113">
        <v>16916</v>
      </c>
      <c r="Y49" s="113">
        <v>1402</v>
      </c>
      <c r="Z49" s="113">
        <v>0</v>
      </c>
      <c r="AA49" s="113">
        <v>18318</v>
      </c>
      <c r="AB49" s="113">
        <f t="shared" si="0"/>
        <v>10.00983606557377</v>
      </c>
    </row>
    <row r="50" spans="1:28" ht="15.75" thickBot="1" x14ac:dyDescent="0.3">
      <c r="A50" s="44" t="s">
        <v>1359</v>
      </c>
      <c r="B50" s="107" t="s">
        <v>1360</v>
      </c>
      <c r="C50" s="110" t="s">
        <v>817</v>
      </c>
      <c r="D50" s="110" t="s">
        <v>2382</v>
      </c>
      <c r="E50" s="111" t="s">
        <v>844</v>
      </c>
      <c r="F50" s="111" t="s">
        <v>845</v>
      </c>
      <c r="G50" s="112">
        <v>1939</v>
      </c>
      <c r="H50" s="112">
        <v>1515</v>
      </c>
      <c r="I50" s="113">
        <v>13133</v>
      </c>
      <c r="J50" s="113">
        <v>179327</v>
      </c>
      <c r="K50" s="114">
        <v>0</v>
      </c>
      <c r="L50" s="114">
        <v>0</v>
      </c>
      <c r="M50" s="113">
        <v>192460</v>
      </c>
      <c r="N50" s="113">
        <v>7177</v>
      </c>
      <c r="O50" s="116">
        <v>424</v>
      </c>
      <c r="P50" s="113">
        <v>848</v>
      </c>
      <c r="Q50" s="114">
        <v>0</v>
      </c>
      <c r="R50" s="114">
        <v>0</v>
      </c>
      <c r="S50" s="114">
        <v>0</v>
      </c>
      <c r="T50" s="113">
        <v>848</v>
      </c>
      <c r="U50" s="114">
        <v>0</v>
      </c>
      <c r="V50" s="113">
        <v>193308</v>
      </c>
      <c r="W50" s="113">
        <v>7177</v>
      </c>
      <c r="X50" s="113">
        <v>200485</v>
      </c>
      <c r="Y50" s="113">
        <v>1422</v>
      </c>
      <c r="Z50" s="113">
        <v>1414</v>
      </c>
      <c r="AA50" s="113">
        <v>203321</v>
      </c>
      <c r="AB50" s="113">
        <f t="shared" si="0"/>
        <v>104.85869004641567</v>
      </c>
    </row>
    <row r="51" spans="1:28" ht="15.75" thickBot="1" x14ac:dyDescent="0.3">
      <c r="A51" s="44" t="s">
        <v>1397</v>
      </c>
      <c r="B51" s="107" t="s">
        <v>1398</v>
      </c>
      <c r="C51" s="110" t="s">
        <v>817</v>
      </c>
      <c r="D51" s="110" t="s">
        <v>1952</v>
      </c>
      <c r="E51" s="111" t="s">
        <v>844</v>
      </c>
      <c r="F51" s="111" t="s">
        <v>845</v>
      </c>
      <c r="G51" s="112">
        <v>3739</v>
      </c>
      <c r="H51" s="112">
        <v>3739</v>
      </c>
      <c r="I51" s="113">
        <v>3237</v>
      </c>
      <c r="J51" s="113">
        <v>60328</v>
      </c>
      <c r="K51" s="113">
        <v>0</v>
      </c>
      <c r="L51" s="113">
        <v>15589</v>
      </c>
      <c r="M51" s="113">
        <v>79154</v>
      </c>
      <c r="N51" s="113">
        <v>0</v>
      </c>
      <c r="O51" s="115">
        <v>0</v>
      </c>
      <c r="P51" s="113">
        <v>0</v>
      </c>
      <c r="Q51" s="113">
        <v>0</v>
      </c>
      <c r="R51" s="113">
        <v>0</v>
      </c>
      <c r="S51" s="113">
        <v>0</v>
      </c>
      <c r="T51" s="113">
        <v>0</v>
      </c>
      <c r="U51" s="113">
        <v>0</v>
      </c>
      <c r="V51" s="113">
        <v>79154</v>
      </c>
      <c r="W51" s="113">
        <v>0</v>
      </c>
      <c r="X51" s="113">
        <v>79154</v>
      </c>
      <c r="Y51" s="113">
        <v>0</v>
      </c>
      <c r="Z51" s="113">
        <v>0</v>
      </c>
      <c r="AA51" s="113">
        <v>79154</v>
      </c>
      <c r="AB51" s="113">
        <f t="shared" si="0"/>
        <v>21.169831505750199</v>
      </c>
    </row>
    <row r="52" spans="1:28" ht="15.75" thickBot="1" x14ac:dyDescent="0.3">
      <c r="A52" s="44" t="s">
        <v>1407</v>
      </c>
      <c r="B52" s="107" t="s">
        <v>1408</v>
      </c>
      <c r="C52" s="110" t="s">
        <v>817</v>
      </c>
      <c r="D52" s="110" t="s">
        <v>2292</v>
      </c>
      <c r="E52" s="111" t="s">
        <v>804</v>
      </c>
      <c r="F52" s="111" t="s">
        <v>805</v>
      </c>
      <c r="G52" s="112">
        <v>1508</v>
      </c>
      <c r="H52" s="112">
        <v>1508</v>
      </c>
      <c r="I52" s="113">
        <v>4010</v>
      </c>
      <c r="J52" s="114">
        <v>0</v>
      </c>
      <c r="K52" s="113">
        <v>23365</v>
      </c>
      <c r="L52" s="113">
        <v>6000</v>
      </c>
      <c r="M52" s="113">
        <v>33375</v>
      </c>
      <c r="N52" s="113">
        <v>823</v>
      </c>
      <c r="O52" s="115">
        <v>0</v>
      </c>
      <c r="P52" s="113">
        <v>0</v>
      </c>
      <c r="Q52" s="114">
        <v>0</v>
      </c>
      <c r="R52" s="114">
        <v>0</v>
      </c>
      <c r="S52" s="114">
        <v>0</v>
      </c>
      <c r="T52" s="113">
        <v>0</v>
      </c>
      <c r="U52" s="114">
        <v>0</v>
      </c>
      <c r="V52" s="113">
        <v>33375</v>
      </c>
      <c r="W52" s="113">
        <v>823</v>
      </c>
      <c r="X52" s="113">
        <v>34198</v>
      </c>
      <c r="Y52" s="113">
        <v>1155</v>
      </c>
      <c r="Z52" s="113">
        <v>0</v>
      </c>
      <c r="AA52" s="113">
        <v>35353</v>
      </c>
      <c r="AB52" s="113">
        <f t="shared" si="0"/>
        <v>23.443633952254643</v>
      </c>
    </row>
    <row r="53" spans="1:28" ht="15.75" thickBot="1" x14ac:dyDescent="0.3">
      <c r="A53" s="44" t="s">
        <v>1409</v>
      </c>
      <c r="B53" s="107" t="s">
        <v>1410</v>
      </c>
      <c r="C53" s="110" t="s">
        <v>817</v>
      </c>
      <c r="D53" s="110" t="s">
        <v>2415</v>
      </c>
      <c r="E53" s="111" t="s">
        <v>844</v>
      </c>
      <c r="F53" s="111" t="s">
        <v>845</v>
      </c>
      <c r="G53" s="112">
        <v>3731</v>
      </c>
      <c r="H53" s="112">
        <v>3731</v>
      </c>
      <c r="I53" s="113">
        <v>32547</v>
      </c>
      <c r="J53" s="113">
        <v>0</v>
      </c>
      <c r="K53" s="113">
        <v>8863</v>
      </c>
      <c r="L53" s="113">
        <v>2736</v>
      </c>
      <c r="M53" s="113">
        <v>44146</v>
      </c>
      <c r="N53" s="113">
        <v>7452</v>
      </c>
      <c r="O53" s="115">
        <v>0</v>
      </c>
      <c r="P53" s="114">
        <v>0</v>
      </c>
      <c r="Q53" s="114">
        <v>0</v>
      </c>
      <c r="R53" s="114">
        <v>0</v>
      </c>
      <c r="S53" s="114">
        <v>0</v>
      </c>
      <c r="T53" s="114">
        <v>0</v>
      </c>
      <c r="U53" s="114">
        <v>0</v>
      </c>
      <c r="V53" s="113">
        <v>44146</v>
      </c>
      <c r="W53" s="113">
        <v>7452</v>
      </c>
      <c r="X53" s="113">
        <v>51598</v>
      </c>
      <c r="Y53" s="113">
        <v>2736</v>
      </c>
      <c r="Z53" s="113">
        <v>847</v>
      </c>
      <c r="AA53" s="113">
        <v>55181</v>
      </c>
      <c r="AB53" s="113">
        <f t="shared" si="0"/>
        <v>14.789868667917448</v>
      </c>
    </row>
    <row r="54" spans="1:28" ht="15.75" thickBot="1" x14ac:dyDescent="0.3">
      <c r="A54" s="44" t="s">
        <v>1413</v>
      </c>
      <c r="B54" s="107" t="s">
        <v>1414</v>
      </c>
      <c r="C54" s="110" t="s">
        <v>817</v>
      </c>
      <c r="D54" s="110" t="s">
        <v>2091</v>
      </c>
      <c r="E54" s="111" t="s">
        <v>844</v>
      </c>
      <c r="F54" s="111" t="s">
        <v>845</v>
      </c>
      <c r="G54" s="112">
        <v>3674</v>
      </c>
      <c r="H54" s="112">
        <v>2778</v>
      </c>
      <c r="I54" s="113">
        <v>16418</v>
      </c>
      <c r="J54" s="113">
        <v>38327</v>
      </c>
      <c r="K54" s="113">
        <v>0</v>
      </c>
      <c r="L54" s="113">
        <v>0</v>
      </c>
      <c r="M54" s="113">
        <v>54745</v>
      </c>
      <c r="N54" s="113">
        <v>10825</v>
      </c>
      <c r="O54" s="116">
        <v>896</v>
      </c>
      <c r="P54" s="113">
        <v>5296</v>
      </c>
      <c r="Q54" s="113">
        <v>12362</v>
      </c>
      <c r="R54" s="113">
        <v>0</v>
      </c>
      <c r="S54" s="113">
        <v>0</v>
      </c>
      <c r="T54" s="113">
        <v>17658</v>
      </c>
      <c r="U54" s="113">
        <v>0</v>
      </c>
      <c r="V54" s="113">
        <v>72403</v>
      </c>
      <c r="W54" s="113">
        <v>10825</v>
      </c>
      <c r="X54" s="113">
        <v>83228</v>
      </c>
      <c r="Y54" s="113">
        <v>4500</v>
      </c>
      <c r="Z54" s="113">
        <v>0</v>
      </c>
      <c r="AA54" s="113">
        <v>87728</v>
      </c>
      <c r="AB54" s="113">
        <f t="shared" si="0"/>
        <v>23.878062057702778</v>
      </c>
    </row>
    <row r="55" spans="1:28" ht="15.75" thickBot="1" x14ac:dyDescent="0.3">
      <c r="A55" s="44" t="s">
        <v>1415</v>
      </c>
      <c r="B55" s="107" t="s">
        <v>1416</v>
      </c>
      <c r="C55" s="110" t="s">
        <v>817</v>
      </c>
      <c r="D55" s="110" t="s">
        <v>2292</v>
      </c>
      <c r="E55" s="111" t="s">
        <v>844</v>
      </c>
      <c r="F55" s="111" t="s">
        <v>845</v>
      </c>
      <c r="G55" s="112">
        <v>882</v>
      </c>
      <c r="H55" s="112">
        <v>882</v>
      </c>
      <c r="I55" s="113">
        <v>2140</v>
      </c>
      <c r="J55" s="113">
        <v>0</v>
      </c>
      <c r="K55" s="113">
        <v>26301</v>
      </c>
      <c r="L55" s="113">
        <v>0</v>
      </c>
      <c r="M55" s="113">
        <v>28441</v>
      </c>
      <c r="N55" s="113">
        <v>2537</v>
      </c>
      <c r="O55" s="115">
        <v>0</v>
      </c>
      <c r="P55" s="114">
        <v>0</v>
      </c>
      <c r="Q55" s="114">
        <v>0</v>
      </c>
      <c r="R55" s="114">
        <v>0</v>
      </c>
      <c r="S55" s="114">
        <v>0</v>
      </c>
      <c r="T55" s="114">
        <v>0</v>
      </c>
      <c r="U55" s="114">
        <v>0</v>
      </c>
      <c r="V55" s="113">
        <v>28441</v>
      </c>
      <c r="W55" s="113">
        <v>2537</v>
      </c>
      <c r="X55" s="113">
        <v>30978</v>
      </c>
      <c r="Y55" s="113">
        <v>646</v>
      </c>
      <c r="Z55" s="113">
        <v>0</v>
      </c>
      <c r="AA55" s="113">
        <v>31624</v>
      </c>
      <c r="AB55" s="113">
        <f t="shared" si="0"/>
        <v>35.854875283446709</v>
      </c>
    </row>
    <row r="56" spans="1:28" ht="15.75" thickBot="1" x14ac:dyDescent="0.3">
      <c r="A56" s="44" t="s">
        <v>1459</v>
      </c>
      <c r="B56" s="107" t="s">
        <v>1460</v>
      </c>
      <c r="C56" s="110" t="s">
        <v>817</v>
      </c>
      <c r="D56" s="110" t="s">
        <v>1964</v>
      </c>
      <c r="E56" s="111" t="s">
        <v>1037</v>
      </c>
      <c r="F56" s="111" t="s">
        <v>1038</v>
      </c>
      <c r="G56" s="112">
        <v>3775</v>
      </c>
      <c r="H56" s="112">
        <v>1525</v>
      </c>
      <c r="I56" s="113">
        <v>7287</v>
      </c>
      <c r="J56" s="113">
        <v>38458</v>
      </c>
      <c r="K56" s="113">
        <v>407</v>
      </c>
      <c r="L56" s="113">
        <v>74863</v>
      </c>
      <c r="M56" s="113">
        <v>121015</v>
      </c>
      <c r="N56" s="113">
        <v>22368</v>
      </c>
      <c r="O56" s="116">
        <v>2250</v>
      </c>
      <c r="P56" s="113">
        <v>0</v>
      </c>
      <c r="Q56" s="113">
        <v>48694</v>
      </c>
      <c r="R56" s="113">
        <v>0</v>
      </c>
      <c r="S56" s="113">
        <v>0</v>
      </c>
      <c r="T56" s="113">
        <v>48694</v>
      </c>
      <c r="U56" s="113">
        <v>0</v>
      </c>
      <c r="V56" s="113">
        <v>169709</v>
      </c>
      <c r="W56" s="113">
        <v>22368</v>
      </c>
      <c r="X56" s="113">
        <v>192077</v>
      </c>
      <c r="Y56" s="113">
        <v>4388</v>
      </c>
      <c r="Z56" s="113">
        <v>0</v>
      </c>
      <c r="AA56" s="113">
        <v>196465</v>
      </c>
      <c r="AB56" s="113">
        <f t="shared" si="0"/>
        <v>52.043708609271526</v>
      </c>
    </row>
    <row r="57" spans="1:28" ht="15.75" thickBot="1" x14ac:dyDescent="0.3">
      <c r="A57" s="44" t="s">
        <v>1465</v>
      </c>
      <c r="B57" s="107" t="s">
        <v>1466</v>
      </c>
      <c r="C57" s="110" t="s">
        <v>817</v>
      </c>
      <c r="D57" s="110" t="s">
        <v>1930</v>
      </c>
      <c r="E57" s="111" t="s">
        <v>844</v>
      </c>
      <c r="F57" s="111" t="s">
        <v>845</v>
      </c>
      <c r="G57" s="112">
        <v>3138</v>
      </c>
      <c r="H57" s="112">
        <v>2173</v>
      </c>
      <c r="I57" s="113">
        <v>18044</v>
      </c>
      <c r="J57" s="113">
        <v>50719</v>
      </c>
      <c r="K57" s="114">
        <v>0</v>
      </c>
      <c r="L57" s="114">
        <v>0</v>
      </c>
      <c r="M57" s="113">
        <v>68763</v>
      </c>
      <c r="N57" s="114">
        <v>0</v>
      </c>
      <c r="O57" s="116">
        <v>965</v>
      </c>
      <c r="P57" s="113">
        <v>5039</v>
      </c>
      <c r="Q57" s="114">
        <v>0</v>
      </c>
      <c r="R57" s="114">
        <v>0</v>
      </c>
      <c r="S57" s="114">
        <v>0</v>
      </c>
      <c r="T57" s="113">
        <v>5039</v>
      </c>
      <c r="U57" s="114">
        <v>0</v>
      </c>
      <c r="V57" s="113">
        <v>73802</v>
      </c>
      <c r="W57" s="114">
        <v>0</v>
      </c>
      <c r="X57" s="113">
        <v>73802</v>
      </c>
      <c r="Y57" s="113">
        <v>2301</v>
      </c>
      <c r="Z57" s="113">
        <v>0</v>
      </c>
      <c r="AA57" s="113">
        <v>76103</v>
      </c>
      <c r="AB57" s="113">
        <f t="shared" si="0"/>
        <v>24.252071383046527</v>
      </c>
    </row>
    <row r="58" spans="1:28" ht="15.75" thickBot="1" x14ac:dyDescent="0.3">
      <c r="A58" s="44" t="s">
        <v>1476</v>
      </c>
      <c r="B58" s="107" t="s">
        <v>1477</v>
      </c>
      <c r="C58" s="110" t="s">
        <v>817</v>
      </c>
      <c r="D58" s="110" t="s">
        <v>1970</v>
      </c>
      <c r="E58" s="111" t="s">
        <v>1037</v>
      </c>
      <c r="F58" s="111" t="s">
        <v>1038</v>
      </c>
      <c r="G58" s="112">
        <v>3428</v>
      </c>
      <c r="H58" s="112">
        <v>858</v>
      </c>
      <c r="I58" s="113">
        <v>2770</v>
      </c>
      <c r="J58" s="113">
        <v>28002</v>
      </c>
      <c r="K58" s="113">
        <v>0</v>
      </c>
      <c r="L58" s="113">
        <v>3577</v>
      </c>
      <c r="M58" s="113">
        <v>34349</v>
      </c>
      <c r="N58" s="113">
        <v>27439</v>
      </c>
      <c r="O58" s="116">
        <v>2570</v>
      </c>
      <c r="P58" s="113">
        <v>8043</v>
      </c>
      <c r="Q58" s="113">
        <v>12847</v>
      </c>
      <c r="R58" s="114">
        <v>0</v>
      </c>
      <c r="S58" s="113">
        <v>7495</v>
      </c>
      <c r="T58" s="113">
        <v>28385</v>
      </c>
      <c r="U58" s="113">
        <v>2600</v>
      </c>
      <c r="V58" s="113">
        <v>62734</v>
      </c>
      <c r="W58" s="113">
        <v>30039</v>
      </c>
      <c r="X58" s="113">
        <v>92773</v>
      </c>
      <c r="Y58" s="113">
        <v>2474</v>
      </c>
      <c r="Z58" s="113">
        <v>0</v>
      </c>
      <c r="AA58" s="113">
        <v>95247</v>
      </c>
      <c r="AB58" s="113">
        <f t="shared" si="0"/>
        <v>27.785005834305718</v>
      </c>
    </row>
    <row r="59" spans="1:28" ht="15.75" thickBot="1" x14ac:dyDescent="0.3">
      <c r="A59" s="44" t="s">
        <v>1478</v>
      </c>
      <c r="B59" s="107" t="s">
        <v>1479</v>
      </c>
      <c r="C59" s="110" t="s">
        <v>817</v>
      </c>
      <c r="D59" s="110" t="s">
        <v>2001</v>
      </c>
      <c r="E59" s="111" t="s">
        <v>844</v>
      </c>
      <c r="F59" s="111" t="s">
        <v>845</v>
      </c>
      <c r="G59" s="112">
        <v>1932</v>
      </c>
      <c r="H59" s="112">
        <v>1932</v>
      </c>
      <c r="I59" s="113">
        <v>14224</v>
      </c>
      <c r="J59" s="113">
        <v>28797</v>
      </c>
      <c r="K59" s="113">
        <v>1418</v>
      </c>
      <c r="L59" s="113">
        <v>3835</v>
      </c>
      <c r="M59" s="113">
        <v>48274</v>
      </c>
      <c r="N59" s="114">
        <v>0</v>
      </c>
      <c r="O59" s="115">
        <v>0</v>
      </c>
      <c r="P59" s="114">
        <v>0</v>
      </c>
      <c r="Q59" s="114">
        <v>0</v>
      </c>
      <c r="R59" s="114">
        <v>0</v>
      </c>
      <c r="S59" s="114">
        <v>0</v>
      </c>
      <c r="T59" s="114">
        <v>0</v>
      </c>
      <c r="U59" s="114">
        <v>0</v>
      </c>
      <c r="V59" s="113">
        <v>48274</v>
      </c>
      <c r="W59" s="114">
        <v>0</v>
      </c>
      <c r="X59" s="113">
        <v>48274</v>
      </c>
      <c r="Y59" s="113">
        <v>1417</v>
      </c>
      <c r="Z59" s="113">
        <v>0</v>
      </c>
      <c r="AA59" s="113">
        <v>49691</v>
      </c>
      <c r="AB59" s="113">
        <f t="shared" si="0"/>
        <v>25.719979296066253</v>
      </c>
    </row>
    <row r="60" spans="1:28" ht="15.75" thickBot="1" x14ac:dyDescent="0.3">
      <c r="A60" s="44" t="s">
        <v>1500</v>
      </c>
      <c r="B60" s="107" t="s">
        <v>1501</v>
      </c>
      <c r="C60" s="110" t="s">
        <v>817</v>
      </c>
      <c r="D60" s="110" t="s">
        <v>1999</v>
      </c>
      <c r="E60" s="111" t="s">
        <v>799</v>
      </c>
      <c r="F60" s="111" t="s">
        <v>800</v>
      </c>
      <c r="G60" s="112">
        <v>2387</v>
      </c>
      <c r="H60" s="112">
        <v>1997</v>
      </c>
      <c r="I60" s="113">
        <v>6453</v>
      </c>
      <c r="J60" s="113">
        <v>40601</v>
      </c>
      <c r="K60" s="113">
        <v>1500</v>
      </c>
      <c r="L60" s="113">
        <v>0</v>
      </c>
      <c r="M60" s="113">
        <v>48554</v>
      </c>
      <c r="N60" s="113">
        <v>7892</v>
      </c>
      <c r="O60" s="116">
        <v>390</v>
      </c>
      <c r="P60" s="113">
        <v>2590</v>
      </c>
      <c r="Q60" s="113">
        <v>0</v>
      </c>
      <c r="R60" s="113">
        <v>0</v>
      </c>
      <c r="S60" s="113">
        <v>0</v>
      </c>
      <c r="T60" s="113">
        <v>2590</v>
      </c>
      <c r="U60" s="113">
        <v>0</v>
      </c>
      <c r="V60" s="113">
        <v>51144</v>
      </c>
      <c r="W60" s="113">
        <v>7892</v>
      </c>
      <c r="X60" s="113">
        <v>59036</v>
      </c>
      <c r="Y60" s="113">
        <v>1750</v>
      </c>
      <c r="Z60" s="113">
        <v>0</v>
      </c>
      <c r="AA60" s="113">
        <v>60786</v>
      </c>
      <c r="AB60" s="113">
        <f t="shared" si="0"/>
        <v>25.465437788018434</v>
      </c>
    </row>
    <row r="61" spans="1:28" ht="15.75" thickBot="1" x14ac:dyDescent="0.3">
      <c r="A61" s="44" t="s">
        <v>1518</v>
      </c>
      <c r="B61" s="107" t="s">
        <v>1519</v>
      </c>
      <c r="C61" s="110" t="s">
        <v>817</v>
      </c>
      <c r="D61" s="110" t="s">
        <v>1905</v>
      </c>
      <c r="E61" s="111" t="s">
        <v>844</v>
      </c>
      <c r="F61" s="111" t="s">
        <v>845</v>
      </c>
      <c r="G61" s="112">
        <v>1873</v>
      </c>
      <c r="H61" s="112">
        <v>1645</v>
      </c>
      <c r="I61" s="113">
        <v>3008</v>
      </c>
      <c r="J61" s="113">
        <v>48440</v>
      </c>
      <c r="K61" s="114">
        <v>0</v>
      </c>
      <c r="L61" s="114">
        <v>0</v>
      </c>
      <c r="M61" s="113">
        <v>51448</v>
      </c>
      <c r="N61" s="113">
        <v>5710</v>
      </c>
      <c r="O61" s="116">
        <v>228</v>
      </c>
      <c r="P61" s="113">
        <v>410</v>
      </c>
      <c r="Q61" s="113">
        <v>49</v>
      </c>
      <c r="R61" s="114">
        <v>0</v>
      </c>
      <c r="S61" s="114">
        <v>0</v>
      </c>
      <c r="T61" s="113">
        <v>459</v>
      </c>
      <c r="U61" s="114">
        <v>0</v>
      </c>
      <c r="V61" s="113">
        <v>51907</v>
      </c>
      <c r="W61" s="113">
        <v>5710</v>
      </c>
      <c r="X61" s="113">
        <v>57617</v>
      </c>
      <c r="Y61" s="113">
        <v>1373</v>
      </c>
      <c r="Z61" s="113">
        <v>0</v>
      </c>
      <c r="AA61" s="113">
        <v>58990</v>
      </c>
      <c r="AB61" s="113">
        <f t="shared" si="0"/>
        <v>31.494927923117991</v>
      </c>
    </row>
    <row r="62" spans="1:28" ht="15.75" thickBot="1" x14ac:dyDescent="0.3">
      <c r="A62" s="44" t="s">
        <v>1536</v>
      </c>
      <c r="B62" s="107" t="s">
        <v>1537</v>
      </c>
      <c r="C62" s="110" t="s">
        <v>817</v>
      </c>
      <c r="D62" s="110" t="s">
        <v>2120</v>
      </c>
      <c r="E62" s="111" t="s">
        <v>844</v>
      </c>
      <c r="F62" s="111" t="s">
        <v>845</v>
      </c>
      <c r="G62" s="112">
        <v>1652</v>
      </c>
      <c r="H62" s="112">
        <v>1312</v>
      </c>
      <c r="I62" s="113">
        <v>8224</v>
      </c>
      <c r="J62" s="113">
        <v>0</v>
      </c>
      <c r="K62" s="113">
        <v>30000</v>
      </c>
      <c r="L62" s="113">
        <v>0</v>
      </c>
      <c r="M62" s="113">
        <v>38224</v>
      </c>
      <c r="N62" s="113">
        <v>0</v>
      </c>
      <c r="O62" s="116">
        <v>340</v>
      </c>
      <c r="P62" s="113">
        <v>2889</v>
      </c>
      <c r="Q62" s="113">
        <v>0</v>
      </c>
      <c r="R62" s="113">
        <v>0</v>
      </c>
      <c r="S62" s="113">
        <v>0</v>
      </c>
      <c r="T62" s="113">
        <v>2889</v>
      </c>
      <c r="U62" s="113">
        <v>0</v>
      </c>
      <c r="V62" s="113">
        <v>41113</v>
      </c>
      <c r="W62" s="113">
        <v>0</v>
      </c>
      <c r="X62" s="113">
        <v>41113</v>
      </c>
      <c r="Y62" s="113">
        <v>962</v>
      </c>
      <c r="Z62" s="113">
        <v>0</v>
      </c>
      <c r="AA62" s="113">
        <v>42075</v>
      </c>
      <c r="AB62" s="113">
        <f t="shared" si="0"/>
        <v>25.469128329297821</v>
      </c>
    </row>
    <row r="63" spans="1:28" ht="15.75" thickBot="1" x14ac:dyDescent="0.3">
      <c r="A63" s="44" t="s">
        <v>1548</v>
      </c>
      <c r="B63" s="107" t="s">
        <v>1549</v>
      </c>
      <c r="C63" s="110" t="s">
        <v>817</v>
      </c>
      <c r="D63" s="110" t="s">
        <v>1999</v>
      </c>
      <c r="E63" s="111" t="s">
        <v>844</v>
      </c>
      <c r="F63" s="111" t="s">
        <v>845</v>
      </c>
      <c r="G63" s="112">
        <v>3895</v>
      </c>
      <c r="H63" s="112">
        <v>2053</v>
      </c>
      <c r="I63" s="113">
        <v>4592</v>
      </c>
      <c r="J63" s="113">
        <v>54514</v>
      </c>
      <c r="K63" s="113">
        <v>0</v>
      </c>
      <c r="L63" s="113">
        <v>500</v>
      </c>
      <c r="M63" s="113">
        <v>59606</v>
      </c>
      <c r="N63" s="113">
        <v>7161</v>
      </c>
      <c r="O63" s="116">
        <v>1842</v>
      </c>
      <c r="P63" s="113">
        <v>4126</v>
      </c>
      <c r="Q63" s="113">
        <v>0</v>
      </c>
      <c r="R63" s="113">
        <v>0</v>
      </c>
      <c r="S63" s="113">
        <v>6940</v>
      </c>
      <c r="T63" s="113">
        <v>11066</v>
      </c>
      <c r="U63" s="113">
        <v>0</v>
      </c>
      <c r="V63" s="113">
        <v>70672</v>
      </c>
      <c r="W63" s="113">
        <v>7161</v>
      </c>
      <c r="X63" s="113">
        <v>77833</v>
      </c>
      <c r="Y63" s="113">
        <v>2856</v>
      </c>
      <c r="Z63" s="113">
        <v>0</v>
      </c>
      <c r="AA63" s="113">
        <v>80689</v>
      </c>
      <c r="AB63" s="113">
        <f t="shared" si="0"/>
        <v>20.716046213093708</v>
      </c>
    </row>
    <row r="64" spans="1:28" ht="15.75" thickBot="1" x14ac:dyDescent="0.3">
      <c r="A64" s="44" t="s">
        <v>1554</v>
      </c>
      <c r="B64" s="107" t="s">
        <v>1555</v>
      </c>
      <c r="C64" s="110" t="s">
        <v>817</v>
      </c>
      <c r="D64" s="110" t="s">
        <v>2017</v>
      </c>
      <c r="E64" s="111" t="s">
        <v>804</v>
      </c>
      <c r="F64" s="111" t="s">
        <v>805</v>
      </c>
      <c r="G64" s="112">
        <v>2156</v>
      </c>
      <c r="H64" s="112">
        <v>1851</v>
      </c>
      <c r="I64" s="113">
        <v>12151</v>
      </c>
      <c r="J64" s="113">
        <v>49728</v>
      </c>
      <c r="K64" s="113">
        <v>18000</v>
      </c>
      <c r="L64" s="113">
        <v>0</v>
      </c>
      <c r="M64" s="113">
        <v>79879</v>
      </c>
      <c r="N64" s="113">
        <v>3583</v>
      </c>
      <c r="O64" s="116">
        <v>305</v>
      </c>
      <c r="P64" s="113">
        <v>2002</v>
      </c>
      <c r="Q64" s="114">
        <v>0</v>
      </c>
      <c r="R64" s="114">
        <v>0</v>
      </c>
      <c r="S64" s="113">
        <v>3050</v>
      </c>
      <c r="T64" s="113">
        <v>5052</v>
      </c>
      <c r="U64" s="114">
        <v>0</v>
      </c>
      <c r="V64" s="113">
        <v>84931</v>
      </c>
      <c r="W64" s="113">
        <v>3583</v>
      </c>
      <c r="X64" s="113">
        <v>88514</v>
      </c>
      <c r="Y64" s="113">
        <v>1652</v>
      </c>
      <c r="Z64" s="113">
        <v>82</v>
      </c>
      <c r="AA64" s="113">
        <v>90248</v>
      </c>
      <c r="AB64" s="113">
        <f t="shared" si="0"/>
        <v>41.85899814471243</v>
      </c>
    </row>
    <row r="65" spans="1:28" ht="15.75" thickBot="1" x14ac:dyDescent="0.3">
      <c r="A65" s="44" t="s">
        <v>1556</v>
      </c>
      <c r="B65" s="107" t="s">
        <v>1557</v>
      </c>
      <c r="C65" s="110" t="s">
        <v>817</v>
      </c>
      <c r="D65" s="110" t="s">
        <v>2076</v>
      </c>
      <c r="E65" s="111" t="s">
        <v>1031</v>
      </c>
      <c r="F65" s="111" t="s">
        <v>1032</v>
      </c>
      <c r="G65" s="112">
        <v>2475</v>
      </c>
      <c r="H65" s="112">
        <v>1655</v>
      </c>
      <c r="I65" s="113">
        <v>4490</v>
      </c>
      <c r="J65" s="113">
        <v>49196</v>
      </c>
      <c r="K65" s="114">
        <v>0</v>
      </c>
      <c r="L65" s="114">
        <v>0</v>
      </c>
      <c r="M65" s="113">
        <v>53686</v>
      </c>
      <c r="N65" s="113">
        <v>15970</v>
      </c>
      <c r="O65" s="116">
        <v>820</v>
      </c>
      <c r="P65" s="113">
        <v>2359</v>
      </c>
      <c r="Q65" s="113">
        <v>0</v>
      </c>
      <c r="R65" s="113">
        <v>350</v>
      </c>
      <c r="S65" s="114">
        <v>0</v>
      </c>
      <c r="T65" s="113">
        <v>2709</v>
      </c>
      <c r="U65" s="114">
        <v>0</v>
      </c>
      <c r="V65" s="113">
        <v>56395</v>
      </c>
      <c r="W65" s="113">
        <v>15970</v>
      </c>
      <c r="X65" s="113">
        <v>72365</v>
      </c>
      <c r="Y65" s="113">
        <v>1984</v>
      </c>
      <c r="Z65" s="113">
        <v>0</v>
      </c>
      <c r="AA65" s="113">
        <v>74349</v>
      </c>
      <c r="AB65" s="113">
        <f t="shared" si="0"/>
        <v>30.04</v>
      </c>
    </row>
    <row r="66" spans="1:28" ht="15.75" thickBot="1" x14ac:dyDescent="0.3">
      <c r="A66" s="44" t="s">
        <v>1558</v>
      </c>
      <c r="B66" s="107" t="s">
        <v>1559</v>
      </c>
      <c r="C66" s="110" t="s">
        <v>817</v>
      </c>
      <c r="D66" s="110" t="s">
        <v>2382</v>
      </c>
      <c r="E66" s="111" t="s">
        <v>804</v>
      </c>
      <c r="F66" s="111" t="s">
        <v>805</v>
      </c>
      <c r="G66" s="112">
        <v>1968</v>
      </c>
      <c r="H66" s="112">
        <v>1560</v>
      </c>
      <c r="I66" s="113">
        <v>11427</v>
      </c>
      <c r="J66" s="113">
        <v>0</v>
      </c>
      <c r="K66" s="113">
        <v>6389</v>
      </c>
      <c r="L66" s="113">
        <v>4068</v>
      </c>
      <c r="M66" s="113">
        <v>21884</v>
      </c>
      <c r="N66" s="113">
        <v>1251</v>
      </c>
      <c r="O66" s="116">
        <v>408</v>
      </c>
      <c r="P66" s="114">
        <v>0</v>
      </c>
      <c r="Q66" s="114">
        <v>0</v>
      </c>
      <c r="R66" s="114">
        <v>0</v>
      </c>
      <c r="S66" s="114">
        <v>0</v>
      </c>
      <c r="T66" s="114">
        <v>0</v>
      </c>
      <c r="U66" s="114">
        <v>0</v>
      </c>
      <c r="V66" s="113">
        <v>21884</v>
      </c>
      <c r="W66" s="113">
        <v>1251</v>
      </c>
      <c r="X66" s="113">
        <v>23135</v>
      </c>
      <c r="Y66" s="113">
        <v>1577</v>
      </c>
      <c r="Z66" s="113">
        <v>0</v>
      </c>
      <c r="AA66" s="113">
        <v>24712</v>
      </c>
      <c r="AB66" s="113">
        <f t="shared" si="0"/>
        <v>12.556910569105691</v>
      </c>
    </row>
    <row r="67" spans="1:28" ht="15.75" thickBot="1" x14ac:dyDescent="0.3">
      <c r="A67" s="44" t="s">
        <v>1568</v>
      </c>
      <c r="B67" s="107" t="s">
        <v>1569</v>
      </c>
      <c r="C67" s="110" t="s">
        <v>817</v>
      </c>
      <c r="D67" s="110" t="s">
        <v>2064</v>
      </c>
      <c r="E67" s="111" t="s">
        <v>844</v>
      </c>
      <c r="F67" s="111" t="s">
        <v>845</v>
      </c>
      <c r="G67" s="112">
        <v>2202</v>
      </c>
      <c r="H67" s="112">
        <v>2202</v>
      </c>
      <c r="I67" s="113">
        <v>11502</v>
      </c>
      <c r="J67" s="113">
        <v>0</v>
      </c>
      <c r="K67" s="113">
        <v>0</v>
      </c>
      <c r="L67" s="113">
        <v>5000</v>
      </c>
      <c r="M67" s="113">
        <v>16502</v>
      </c>
      <c r="N67" s="113">
        <v>1821</v>
      </c>
      <c r="O67" s="115">
        <v>0</v>
      </c>
      <c r="P67" s="114">
        <v>0</v>
      </c>
      <c r="Q67" s="114">
        <v>0</v>
      </c>
      <c r="R67" s="114">
        <v>0</v>
      </c>
      <c r="S67" s="114">
        <v>0</v>
      </c>
      <c r="T67" s="114">
        <v>0</v>
      </c>
      <c r="U67" s="114">
        <v>0</v>
      </c>
      <c r="V67" s="113">
        <v>16502</v>
      </c>
      <c r="W67" s="113">
        <v>1821</v>
      </c>
      <c r="X67" s="113">
        <v>18323</v>
      </c>
      <c r="Y67" s="113">
        <v>1765</v>
      </c>
      <c r="Z67" s="113">
        <v>0</v>
      </c>
      <c r="AA67" s="113">
        <v>20088</v>
      </c>
      <c r="AB67" s="113">
        <f t="shared" si="0"/>
        <v>9.122615803814714</v>
      </c>
    </row>
    <row r="68" spans="1:28" ht="15.75" thickBot="1" x14ac:dyDescent="0.3">
      <c r="A68" s="44" t="s">
        <v>1580</v>
      </c>
      <c r="B68" s="107" t="s">
        <v>1581</v>
      </c>
      <c r="C68" s="110" t="s">
        <v>817</v>
      </c>
      <c r="D68" s="110" t="s">
        <v>1976</v>
      </c>
      <c r="E68" s="111" t="s">
        <v>804</v>
      </c>
      <c r="F68" s="111" t="s">
        <v>805</v>
      </c>
      <c r="G68" s="112">
        <v>2913</v>
      </c>
      <c r="H68" s="112">
        <v>1403</v>
      </c>
      <c r="I68" s="113">
        <v>16160</v>
      </c>
      <c r="J68" s="113">
        <v>50562</v>
      </c>
      <c r="K68" s="114">
        <v>0</v>
      </c>
      <c r="L68" s="113">
        <v>0</v>
      </c>
      <c r="M68" s="113">
        <v>66722</v>
      </c>
      <c r="N68" s="113">
        <v>3009</v>
      </c>
      <c r="O68" s="116">
        <v>1510</v>
      </c>
      <c r="P68" s="114">
        <v>0</v>
      </c>
      <c r="Q68" s="114">
        <v>0</v>
      </c>
      <c r="R68" s="114">
        <v>0</v>
      </c>
      <c r="S68" s="114">
        <v>0</v>
      </c>
      <c r="T68" s="114">
        <v>0</v>
      </c>
      <c r="U68" s="114">
        <v>0</v>
      </c>
      <c r="V68" s="113">
        <v>66722</v>
      </c>
      <c r="W68" s="113">
        <v>3009</v>
      </c>
      <c r="X68" s="113">
        <v>69731</v>
      </c>
      <c r="Y68" s="113">
        <v>2232</v>
      </c>
      <c r="Z68" s="113">
        <v>0</v>
      </c>
      <c r="AA68" s="113">
        <v>71963</v>
      </c>
      <c r="AB68" s="113">
        <f t="shared" ref="AB68:AB131" si="1">AA68/G68</f>
        <v>24.704085135599041</v>
      </c>
    </row>
    <row r="69" spans="1:28" ht="15.75" thickBot="1" x14ac:dyDescent="0.3">
      <c r="A69" s="44" t="s">
        <v>1592</v>
      </c>
      <c r="B69" s="107" t="s">
        <v>1593</v>
      </c>
      <c r="C69" s="110" t="s">
        <v>817</v>
      </c>
      <c r="D69" s="110" t="s">
        <v>2207</v>
      </c>
      <c r="E69" s="111" t="s">
        <v>804</v>
      </c>
      <c r="F69" s="111" t="s">
        <v>805</v>
      </c>
      <c r="G69" s="112">
        <v>575</v>
      </c>
      <c r="H69" s="112">
        <v>575</v>
      </c>
      <c r="I69" s="113">
        <v>1577</v>
      </c>
      <c r="J69" s="113">
        <v>39206</v>
      </c>
      <c r="K69" s="113">
        <v>0</v>
      </c>
      <c r="L69" s="113">
        <v>212</v>
      </c>
      <c r="M69" s="113">
        <v>40995</v>
      </c>
      <c r="N69" s="113">
        <v>3568</v>
      </c>
      <c r="O69" s="115">
        <v>0</v>
      </c>
      <c r="P69" s="113">
        <v>0</v>
      </c>
      <c r="Q69" s="113">
        <v>0</v>
      </c>
      <c r="R69" s="113">
        <v>0</v>
      </c>
      <c r="S69" s="113">
        <v>0</v>
      </c>
      <c r="T69" s="113">
        <v>0</v>
      </c>
      <c r="U69" s="113">
        <v>0</v>
      </c>
      <c r="V69" s="113">
        <v>40995</v>
      </c>
      <c r="W69" s="113">
        <v>3568</v>
      </c>
      <c r="X69" s="113">
        <v>44563</v>
      </c>
      <c r="Y69" s="113">
        <v>212</v>
      </c>
      <c r="Z69" s="113">
        <v>0</v>
      </c>
      <c r="AA69" s="113">
        <v>44775</v>
      </c>
      <c r="AB69" s="113">
        <f t="shared" si="1"/>
        <v>77.869565217391298</v>
      </c>
    </row>
    <row r="70" spans="1:28" ht="15.75" thickBot="1" x14ac:dyDescent="0.3">
      <c r="A70" s="44" t="s">
        <v>1600</v>
      </c>
      <c r="B70" s="107" t="s">
        <v>1601</v>
      </c>
      <c r="C70" s="110" t="s">
        <v>817</v>
      </c>
      <c r="D70" s="110" t="s">
        <v>2120</v>
      </c>
      <c r="E70" s="111" t="s">
        <v>804</v>
      </c>
      <c r="F70" s="111" t="s">
        <v>805</v>
      </c>
      <c r="G70" s="112">
        <v>2738</v>
      </c>
      <c r="H70" s="112">
        <v>2738</v>
      </c>
      <c r="I70" s="113">
        <v>18419</v>
      </c>
      <c r="J70" s="113">
        <v>54525</v>
      </c>
      <c r="K70" s="114">
        <v>0</v>
      </c>
      <c r="L70" s="113">
        <v>8042</v>
      </c>
      <c r="M70" s="113">
        <v>80986</v>
      </c>
      <c r="N70" s="113">
        <v>5250</v>
      </c>
      <c r="O70" s="115">
        <v>0</v>
      </c>
      <c r="P70" s="114">
        <v>0</v>
      </c>
      <c r="Q70" s="114">
        <v>0</v>
      </c>
      <c r="R70" s="114">
        <v>0</v>
      </c>
      <c r="S70" s="114">
        <v>0</v>
      </c>
      <c r="T70" s="114">
        <v>0</v>
      </c>
      <c r="U70" s="114">
        <v>0</v>
      </c>
      <c r="V70" s="113">
        <v>80986</v>
      </c>
      <c r="W70" s="113">
        <v>5250</v>
      </c>
      <c r="X70" s="113">
        <v>86236</v>
      </c>
      <c r="Y70" s="113">
        <v>2098</v>
      </c>
      <c r="Z70" s="113">
        <v>0</v>
      </c>
      <c r="AA70" s="113">
        <v>88334</v>
      </c>
      <c r="AB70" s="113">
        <f t="shared" si="1"/>
        <v>32.262235208181153</v>
      </c>
    </row>
    <row r="71" spans="1:28" ht="15.75" thickBot="1" x14ac:dyDescent="0.3">
      <c r="A71" s="44" t="s">
        <v>796</v>
      </c>
      <c r="B71" s="107" t="s">
        <v>797</v>
      </c>
      <c r="C71" s="110" t="s">
        <v>798</v>
      </c>
      <c r="D71" s="110" t="s">
        <v>1885</v>
      </c>
      <c r="E71" s="111" t="s">
        <v>799</v>
      </c>
      <c r="F71" s="111" t="s">
        <v>800</v>
      </c>
      <c r="G71" s="112">
        <v>6351</v>
      </c>
      <c r="H71" s="112">
        <v>6351</v>
      </c>
      <c r="I71" s="113">
        <v>13280.81</v>
      </c>
      <c r="J71" s="113">
        <v>247605</v>
      </c>
      <c r="K71" s="113">
        <v>0</v>
      </c>
      <c r="L71" s="113">
        <v>0</v>
      </c>
      <c r="M71" s="113">
        <v>260885.81</v>
      </c>
      <c r="N71" s="113">
        <v>0</v>
      </c>
      <c r="O71" s="115">
        <v>0</v>
      </c>
      <c r="P71" s="113">
        <v>0</v>
      </c>
      <c r="Q71" s="113">
        <v>0</v>
      </c>
      <c r="R71" s="113">
        <v>0</v>
      </c>
      <c r="S71" s="113">
        <v>0</v>
      </c>
      <c r="T71" s="113">
        <v>0</v>
      </c>
      <c r="U71" s="113">
        <v>0</v>
      </c>
      <c r="V71" s="113">
        <v>260885.81</v>
      </c>
      <c r="W71" s="113">
        <v>0</v>
      </c>
      <c r="X71" s="113">
        <v>260885.81</v>
      </c>
      <c r="Y71" s="113">
        <v>4657</v>
      </c>
      <c r="Z71" s="113">
        <v>2489</v>
      </c>
      <c r="AA71" s="113">
        <v>268031.81</v>
      </c>
      <c r="AB71" s="113">
        <f t="shared" si="1"/>
        <v>42.203087702723977</v>
      </c>
    </row>
    <row r="72" spans="1:28" ht="15.75" thickBot="1" x14ac:dyDescent="0.3">
      <c r="A72" s="44" t="s">
        <v>827</v>
      </c>
      <c r="B72" s="107" t="s">
        <v>828</v>
      </c>
      <c r="C72" s="110" t="s">
        <v>798</v>
      </c>
      <c r="D72" s="110" t="s">
        <v>1936</v>
      </c>
      <c r="E72" s="111" t="s">
        <v>829</v>
      </c>
      <c r="F72" s="111" t="s">
        <v>830</v>
      </c>
      <c r="G72" s="112">
        <v>6583</v>
      </c>
      <c r="H72" s="112">
        <v>6583</v>
      </c>
      <c r="I72" s="113">
        <v>18133</v>
      </c>
      <c r="J72" s="113">
        <v>290750</v>
      </c>
      <c r="K72" s="113">
        <v>0</v>
      </c>
      <c r="L72" s="113">
        <v>4781</v>
      </c>
      <c r="M72" s="113">
        <v>313664</v>
      </c>
      <c r="N72" s="113">
        <v>12977</v>
      </c>
      <c r="O72" s="115">
        <v>0</v>
      </c>
      <c r="P72" s="114">
        <v>0</v>
      </c>
      <c r="Q72" s="114">
        <v>0</v>
      </c>
      <c r="R72" s="114">
        <v>0</v>
      </c>
      <c r="S72" s="114">
        <v>0</v>
      </c>
      <c r="T72" s="114">
        <v>0</v>
      </c>
      <c r="U72" s="114">
        <v>0</v>
      </c>
      <c r="V72" s="113">
        <v>313664</v>
      </c>
      <c r="W72" s="113">
        <v>12977</v>
      </c>
      <c r="X72" s="113">
        <v>326641</v>
      </c>
      <c r="Y72" s="113">
        <v>4827</v>
      </c>
      <c r="Z72" s="113">
        <v>0</v>
      </c>
      <c r="AA72" s="113">
        <v>331468</v>
      </c>
      <c r="AB72" s="113">
        <f t="shared" si="1"/>
        <v>50.3521190946377</v>
      </c>
    </row>
    <row r="73" spans="1:28" ht="15.75" thickBot="1" x14ac:dyDescent="0.3">
      <c r="A73" s="44" t="s">
        <v>838</v>
      </c>
      <c r="B73" s="107" t="s">
        <v>839</v>
      </c>
      <c r="C73" s="110" t="s">
        <v>798</v>
      </c>
      <c r="D73" s="110" t="s">
        <v>1952</v>
      </c>
      <c r="E73" s="111" t="s">
        <v>799</v>
      </c>
      <c r="F73" s="111" t="s">
        <v>800</v>
      </c>
      <c r="G73" s="112">
        <v>5379</v>
      </c>
      <c r="H73" s="112">
        <v>5379</v>
      </c>
      <c r="I73" s="113">
        <v>4658</v>
      </c>
      <c r="J73" s="113">
        <v>316239</v>
      </c>
      <c r="K73" s="113">
        <v>0</v>
      </c>
      <c r="L73" s="113">
        <v>11173</v>
      </c>
      <c r="M73" s="113">
        <v>332070</v>
      </c>
      <c r="N73" s="113">
        <v>16731</v>
      </c>
      <c r="O73" s="115">
        <v>0</v>
      </c>
      <c r="P73" s="114">
        <v>0</v>
      </c>
      <c r="Q73" s="114">
        <v>0</v>
      </c>
      <c r="R73" s="114">
        <v>0</v>
      </c>
      <c r="S73" s="114">
        <v>0</v>
      </c>
      <c r="T73" s="114">
        <v>0</v>
      </c>
      <c r="U73" s="114">
        <v>0</v>
      </c>
      <c r="V73" s="113">
        <v>332070</v>
      </c>
      <c r="W73" s="113">
        <v>16731</v>
      </c>
      <c r="X73" s="113">
        <v>348801</v>
      </c>
      <c r="Y73" s="113">
        <v>3944</v>
      </c>
      <c r="Z73" s="113">
        <v>0</v>
      </c>
      <c r="AA73" s="113">
        <v>352745</v>
      </c>
      <c r="AB73" s="113">
        <f t="shared" si="1"/>
        <v>65.578174381855362</v>
      </c>
    </row>
    <row r="74" spans="1:28" ht="15.75" thickBot="1" x14ac:dyDescent="0.3">
      <c r="A74" s="44" t="s">
        <v>842</v>
      </c>
      <c r="B74" s="107" t="s">
        <v>843</v>
      </c>
      <c r="C74" s="110" t="s">
        <v>798</v>
      </c>
      <c r="D74" s="110" t="s">
        <v>1905</v>
      </c>
      <c r="E74" s="111" t="s">
        <v>844</v>
      </c>
      <c r="F74" s="111" t="s">
        <v>845</v>
      </c>
      <c r="G74" s="112">
        <v>4265</v>
      </c>
      <c r="H74" s="112">
        <v>2554</v>
      </c>
      <c r="I74" s="113">
        <v>7783</v>
      </c>
      <c r="J74" s="114">
        <v>0</v>
      </c>
      <c r="K74" s="113">
        <v>35340</v>
      </c>
      <c r="L74" s="113">
        <v>5000</v>
      </c>
      <c r="M74" s="113">
        <v>48123</v>
      </c>
      <c r="N74" s="113">
        <v>9001</v>
      </c>
      <c r="O74" s="116">
        <v>1711</v>
      </c>
      <c r="P74" s="114">
        <v>0</v>
      </c>
      <c r="Q74" s="114">
        <v>0</v>
      </c>
      <c r="R74" s="114">
        <v>0</v>
      </c>
      <c r="S74" s="114">
        <v>0</v>
      </c>
      <c r="T74" s="114">
        <v>0</v>
      </c>
      <c r="U74" s="114">
        <v>0</v>
      </c>
      <c r="V74" s="113">
        <v>48123</v>
      </c>
      <c r="W74" s="113">
        <v>9001</v>
      </c>
      <c r="X74" s="113">
        <v>57124</v>
      </c>
      <c r="Y74" s="113">
        <v>3127</v>
      </c>
      <c r="Z74" s="113">
        <v>0</v>
      </c>
      <c r="AA74" s="113">
        <v>60251</v>
      </c>
      <c r="AB74" s="113">
        <f t="shared" si="1"/>
        <v>14.126846424384524</v>
      </c>
    </row>
    <row r="75" spans="1:28" ht="15.75" thickBot="1" x14ac:dyDescent="0.3">
      <c r="A75" s="44" t="s">
        <v>853</v>
      </c>
      <c r="B75" s="107" t="s">
        <v>854</v>
      </c>
      <c r="C75" s="110" t="s">
        <v>798</v>
      </c>
      <c r="D75" s="110" t="s">
        <v>1970</v>
      </c>
      <c r="E75" s="111" t="s">
        <v>804</v>
      </c>
      <c r="F75" s="111" t="s">
        <v>805</v>
      </c>
      <c r="G75" s="112">
        <v>6621</v>
      </c>
      <c r="H75" s="112">
        <v>6621</v>
      </c>
      <c r="I75" s="113">
        <v>20552</v>
      </c>
      <c r="J75" s="113">
        <v>210800</v>
      </c>
      <c r="K75" s="113">
        <v>0</v>
      </c>
      <c r="L75" s="113">
        <v>5216</v>
      </c>
      <c r="M75" s="113">
        <v>236568</v>
      </c>
      <c r="N75" s="113">
        <v>23730</v>
      </c>
      <c r="O75" s="115">
        <v>0</v>
      </c>
      <c r="P75" s="114">
        <v>0</v>
      </c>
      <c r="Q75" s="114">
        <v>0</v>
      </c>
      <c r="R75" s="114">
        <v>0</v>
      </c>
      <c r="S75" s="114">
        <v>0</v>
      </c>
      <c r="T75" s="114">
        <v>0</v>
      </c>
      <c r="U75" s="114">
        <v>0</v>
      </c>
      <c r="V75" s="113">
        <v>236568</v>
      </c>
      <c r="W75" s="113">
        <v>23730</v>
      </c>
      <c r="X75" s="113">
        <v>260298</v>
      </c>
      <c r="Y75" s="113">
        <v>5073</v>
      </c>
      <c r="Z75" s="113">
        <v>0</v>
      </c>
      <c r="AA75" s="113">
        <v>265371</v>
      </c>
      <c r="AB75" s="113">
        <f t="shared" si="1"/>
        <v>40.080199365654735</v>
      </c>
    </row>
    <row r="76" spans="1:28" ht="15.75" thickBot="1" x14ac:dyDescent="0.3">
      <c r="A76" s="44" t="s">
        <v>857</v>
      </c>
      <c r="B76" s="107" t="s">
        <v>858</v>
      </c>
      <c r="C76" s="110" t="s">
        <v>798</v>
      </c>
      <c r="D76" s="110" t="s">
        <v>1976</v>
      </c>
      <c r="E76" s="111" t="s">
        <v>804</v>
      </c>
      <c r="F76" s="111" t="s">
        <v>805</v>
      </c>
      <c r="G76" s="112">
        <v>4075</v>
      </c>
      <c r="H76" s="112">
        <v>2816</v>
      </c>
      <c r="I76" s="113">
        <v>15622</v>
      </c>
      <c r="J76" s="113">
        <v>104529</v>
      </c>
      <c r="K76" s="114">
        <v>0</v>
      </c>
      <c r="L76" s="114">
        <v>0</v>
      </c>
      <c r="M76" s="113">
        <v>120151</v>
      </c>
      <c r="N76" s="113">
        <v>10041</v>
      </c>
      <c r="O76" s="116">
        <v>1259</v>
      </c>
      <c r="P76" s="113">
        <v>6301</v>
      </c>
      <c r="Q76" s="114">
        <v>0</v>
      </c>
      <c r="R76" s="114">
        <v>0</v>
      </c>
      <c r="S76" s="114">
        <v>0</v>
      </c>
      <c r="T76" s="113">
        <v>6301</v>
      </c>
      <c r="U76" s="114">
        <v>0</v>
      </c>
      <c r="V76" s="113">
        <v>126452</v>
      </c>
      <c r="W76" s="113">
        <v>10041</v>
      </c>
      <c r="X76" s="113">
        <v>136493</v>
      </c>
      <c r="Y76" s="113">
        <v>3122</v>
      </c>
      <c r="Z76" s="113">
        <v>0</v>
      </c>
      <c r="AA76" s="113">
        <v>139615</v>
      </c>
      <c r="AB76" s="113">
        <f t="shared" si="1"/>
        <v>34.261349693251532</v>
      </c>
    </row>
    <row r="77" spans="1:28" ht="15.75" thickBot="1" x14ac:dyDescent="0.3">
      <c r="A77" s="44" t="s">
        <v>881</v>
      </c>
      <c r="B77" s="107" t="s">
        <v>882</v>
      </c>
      <c r="C77" s="110" t="s">
        <v>798</v>
      </c>
      <c r="D77" s="110" t="s">
        <v>2017</v>
      </c>
      <c r="E77" s="111" t="s">
        <v>804</v>
      </c>
      <c r="F77" s="111" t="s">
        <v>805</v>
      </c>
      <c r="G77" s="112">
        <v>5414</v>
      </c>
      <c r="H77" s="112">
        <v>1905</v>
      </c>
      <c r="I77" s="113">
        <v>12506</v>
      </c>
      <c r="J77" s="113">
        <v>28720</v>
      </c>
      <c r="K77" s="113">
        <v>30173</v>
      </c>
      <c r="L77" s="114">
        <v>0</v>
      </c>
      <c r="M77" s="113">
        <v>71399</v>
      </c>
      <c r="N77" s="113">
        <v>9494</v>
      </c>
      <c r="O77" s="116">
        <v>3509</v>
      </c>
      <c r="P77" s="113">
        <v>23036</v>
      </c>
      <c r="Q77" s="113">
        <v>0</v>
      </c>
      <c r="R77" s="113">
        <v>0</v>
      </c>
      <c r="S77" s="113">
        <v>0</v>
      </c>
      <c r="T77" s="113">
        <v>23036</v>
      </c>
      <c r="U77" s="113">
        <v>0</v>
      </c>
      <c r="V77" s="113">
        <v>94435</v>
      </c>
      <c r="W77" s="113">
        <v>9494</v>
      </c>
      <c r="X77" s="113">
        <v>103929</v>
      </c>
      <c r="Y77" s="113">
        <v>4339</v>
      </c>
      <c r="Z77" s="113">
        <v>0</v>
      </c>
      <c r="AA77" s="113">
        <v>108268</v>
      </c>
      <c r="AB77" s="113">
        <f t="shared" si="1"/>
        <v>19.997783524196528</v>
      </c>
    </row>
    <row r="78" spans="1:28" ht="15.75" thickBot="1" x14ac:dyDescent="0.3">
      <c r="A78" s="44" t="s">
        <v>903</v>
      </c>
      <c r="B78" s="107" t="s">
        <v>904</v>
      </c>
      <c r="C78" s="110" t="s">
        <v>798</v>
      </c>
      <c r="D78" s="110" t="s">
        <v>2001</v>
      </c>
      <c r="E78" s="111" t="s">
        <v>804</v>
      </c>
      <c r="F78" s="111" t="s">
        <v>805</v>
      </c>
      <c r="G78" s="112">
        <v>6296</v>
      </c>
      <c r="H78" s="112">
        <v>2291</v>
      </c>
      <c r="I78" s="113">
        <v>18400</v>
      </c>
      <c r="J78" s="113">
        <v>190101</v>
      </c>
      <c r="K78" s="113">
        <v>0</v>
      </c>
      <c r="L78" s="114">
        <v>0</v>
      </c>
      <c r="M78" s="113">
        <v>208501</v>
      </c>
      <c r="N78" s="113">
        <v>40992</v>
      </c>
      <c r="O78" s="116">
        <v>4005</v>
      </c>
      <c r="P78" s="113">
        <v>34222</v>
      </c>
      <c r="Q78" s="113">
        <v>0</v>
      </c>
      <c r="R78" s="113">
        <v>10000</v>
      </c>
      <c r="S78" s="113">
        <v>135353</v>
      </c>
      <c r="T78" s="113">
        <v>179575</v>
      </c>
      <c r="U78" s="113">
        <v>0</v>
      </c>
      <c r="V78" s="113">
        <v>388076</v>
      </c>
      <c r="W78" s="113">
        <v>40992</v>
      </c>
      <c r="X78" s="113">
        <v>429068</v>
      </c>
      <c r="Y78" s="113">
        <v>4075</v>
      </c>
      <c r="Z78" s="113">
        <v>0</v>
      </c>
      <c r="AA78" s="113">
        <v>433143</v>
      </c>
      <c r="AB78" s="113">
        <f t="shared" si="1"/>
        <v>68.796537484116897</v>
      </c>
    </row>
    <row r="79" spans="1:28" ht="15.75" thickBot="1" x14ac:dyDescent="0.3">
      <c r="A79" s="44" t="s">
        <v>909</v>
      </c>
      <c r="B79" s="107" t="s">
        <v>910</v>
      </c>
      <c r="C79" s="110" t="s">
        <v>798</v>
      </c>
      <c r="D79" s="110" t="s">
        <v>1898</v>
      </c>
      <c r="E79" s="111" t="s">
        <v>895</v>
      </c>
      <c r="F79" s="111" t="s">
        <v>896</v>
      </c>
      <c r="G79" s="112">
        <v>4005</v>
      </c>
      <c r="H79" s="112">
        <v>1325</v>
      </c>
      <c r="I79" s="113">
        <v>7166</v>
      </c>
      <c r="J79" s="113">
        <v>6088</v>
      </c>
      <c r="K79" s="114">
        <v>0</v>
      </c>
      <c r="L79" s="113">
        <v>0</v>
      </c>
      <c r="M79" s="113">
        <v>13254</v>
      </c>
      <c r="N79" s="113">
        <v>4372</v>
      </c>
      <c r="O79" s="116">
        <v>2680</v>
      </c>
      <c r="P79" s="113">
        <v>7985</v>
      </c>
      <c r="Q79" s="113">
        <v>12327</v>
      </c>
      <c r="R79" s="114">
        <v>0</v>
      </c>
      <c r="S79" s="114">
        <v>0</v>
      </c>
      <c r="T79" s="113">
        <v>20312</v>
      </c>
      <c r="U79" s="114">
        <v>0</v>
      </c>
      <c r="V79" s="113">
        <v>33566</v>
      </c>
      <c r="W79" s="113">
        <v>4372</v>
      </c>
      <c r="X79" s="113">
        <v>37938</v>
      </c>
      <c r="Y79" s="113">
        <v>2936</v>
      </c>
      <c r="Z79" s="113">
        <v>0</v>
      </c>
      <c r="AA79" s="113">
        <v>40874</v>
      </c>
      <c r="AB79" s="113">
        <f t="shared" si="1"/>
        <v>10.205742821473159</v>
      </c>
    </row>
    <row r="80" spans="1:28" ht="15.75" thickBot="1" x14ac:dyDescent="0.3">
      <c r="A80" s="44" t="s">
        <v>921</v>
      </c>
      <c r="B80" s="107" t="s">
        <v>922</v>
      </c>
      <c r="C80" s="110" t="s">
        <v>798</v>
      </c>
      <c r="D80" s="110" t="s">
        <v>2076</v>
      </c>
      <c r="E80" s="111" t="s">
        <v>844</v>
      </c>
      <c r="F80" s="111" t="s">
        <v>845</v>
      </c>
      <c r="G80" s="112">
        <v>4191</v>
      </c>
      <c r="H80" s="112">
        <v>2047</v>
      </c>
      <c r="I80" s="113">
        <v>6723</v>
      </c>
      <c r="J80" s="113">
        <v>27370</v>
      </c>
      <c r="K80" s="113">
        <v>0</v>
      </c>
      <c r="L80" s="113">
        <v>1100</v>
      </c>
      <c r="M80" s="113">
        <v>35193</v>
      </c>
      <c r="N80" s="113">
        <v>5456</v>
      </c>
      <c r="O80" s="116">
        <v>2144</v>
      </c>
      <c r="P80" s="113">
        <v>8693</v>
      </c>
      <c r="Q80" s="114">
        <v>0</v>
      </c>
      <c r="R80" s="114">
        <v>0</v>
      </c>
      <c r="S80" s="113">
        <v>1100</v>
      </c>
      <c r="T80" s="113">
        <v>9793</v>
      </c>
      <c r="U80" s="114">
        <v>0</v>
      </c>
      <c r="V80" s="113">
        <v>44986</v>
      </c>
      <c r="W80" s="113">
        <v>5456</v>
      </c>
      <c r="X80" s="113">
        <v>50442</v>
      </c>
      <c r="Y80" s="113">
        <v>3073</v>
      </c>
      <c r="Z80" s="113">
        <v>0</v>
      </c>
      <c r="AA80" s="113">
        <v>53515</v>
      </c>
      <c r="AB80" s="113">
        <f t="shared" si="1"/>
        <v>12.769028871391075</v>
      </c>
    </row>
    <row r="81" spans="1:28" ht="15.75" thickBot="1" x14ac:dyDescent="0.3">
      <c r="A81" s="44" t="s">
        <v>963</v>
      </c>
      <c r="B81" s="107" t="s">
        <v>964</v>
      </c>
      <c r="C81" s="110" t="s">
        <v>798</v>
      </c>
      <c r="D81" s="110" t="s">
        <v>2140</v>
      </c>
      <c r="E81" s="111" t="s">
        <v>799</v>
      </c>
      <c r="F81" s="111" t="s">
        <v>800</v>
      </c>
      <c r="G81" s="112">
        <v>4622</v>
      </c>
      <c r="H81" s="112">
        <v>4418</v>
      </c>
      <c r="I81" s="113">
        <v>7150</v>
      </c>
      <c r="J81" s="113">
        <v>109301</v>
      </c>
      <c r="K81" s="113">
        <v>17978</v>
      </c>
      <c r="L81" s="114">
        <v>0</v>
      </c>
      <c r="M81" s="113">
        <v>134429</v>
      </c>
      <c r="N81" s="113">
        <v>20222</v>
      </c>
      <c r="O81" s="116">
        <v>204</v>
      </c>
      <c r="P81" s="113">
        <v>327</v>
      </c>
      <c r="Q81" s="114">
        <v>0</v>
      </c>
      <c r="R81" s="113">
        <v>825</v>
      </c>
      <c r="S81" s="113">
        <v>1793</v>
      </c>
      <c r="T81" s="113">
        <v>2945</v>
      </c>
      <c r="U81" s="113">
        <v>929</v>
      </c>
      <c r="V81" s="113">
        <v>137374</v>
      </c>
      <c r="W81" s="113">
        <v>21151</v>
      </c>
      <c r="X81" s="113">
        <v>158525</v>
      </c>
      <c r="Y81" s="113">
        <v>3390</v>
      </c>
      <c r="Z81" s="113">
        <v>0</v>
      </c>
      <c r="AA81" s="113">
        <v>161915</v>
      </c>
      <c r="AB81" s="113">
        <f t="shared" si="1"/>
        <v>35.031371700562524</v>
      </c>
    </row>
    <row r="82" spans="1:28" ht="15.75" thickBot="1" x14ac:dyDescent="0.3">
      <c r="A82" s="44" t="s">
        <v>977</v>
      </c>
      <c r="B82" s="107" t="s">
        <v>978</v>
      </c>
      <c r="C82" s="110" t="s">
        <v>798</v>
      </c>
      <c r="D82" s="110" t="s">
        <v>2068</v>
      </c>
      <c r="E82" s="111" t="s">
        <v>799</v>
      </c>
      <c r="F82" s="111" t="s">
        <v>800</v>
      </c>
      <c r="G82" s="112">
        <v>4986</v>
      </c>
      <c r="H82" s="112">
        <v>4217</v>
      </c>
      <c r="I82" s="113">
        <v>12754</v>
      </c>
      <c r="J82" s="113">
        <v>134653</v>
      </c>
      <c r="K82" s="113">
        <v>0</v>
      </c>
      <c r="L82" s="113">
        <v>3500</v>
      </c>
      <c r="M82" s="113">
        <v>150907</v>
      </c>
      <c r="N82" s="113">
        <v>12033</v>
      </c>
      <c r="O82" s="116">
        <v>769</v>
      </c>
      <c r="P82" s="113">
        <v>2326</v>
      </c>
      <c r="Q82" s="113">
        <v>0</v>
      </c>
      <c r="R82" s="113">
        <v>2125</v>
      </c>
      <c r="S82" s="113">
        <v>0</v>
      </c>
      <c r="T82" s="113">
        <v>4451</v>
      </c>
      <c r="U82" s="113">
        <v>0</v>
      </c>
      <c r="V82" s="113">
        <v>155358</v>
      </c>
      <c r="W82" s="113">
        <v>12033</v>
      </c>
      <c r="X82" s="113">
        <v>167391</v>
      </c>
      <c r="Y82" s="113">
        <v>3656</v>
      </c>
      <c r="Z82" s="113">
        <v>0</v>
      </c>
      <c r="AA82" s="113">
        <v>171047</v>
      </c>
      <c r="AB82" s="113">
        <f t="shared" si="1"/>
        <v>34.305455274769358</v>
      </c>
    </row>
    <row r="83" spans="1:28" ht="15.75" thickBot="1" x14ac:dyDescent="0.3">
      <c r="A83" s="44" t="s">
        <v>999</v>
      </c>
      <c r="B83" s="107" t="s">
        <v>1000</v>
      </c>
      <c r="C83" s="110" t="s">
        <v>798</v>
      </c>
      <c r="D83" s="110" t="s">
        <v>1898</v>
      </c>
      <c r="E83" s="111" t="s">
        <v>844</v>
      </c>
      <c r="F83" s="111" t="s">
        <v>845</v>
      </c>
      <c r="G83" s="112">
        <v>4514</v>
      </c>
      <c r="H83" s="112">
        <v>830</v>
      </c>
      <c r="I83" s="113">
        <v>2483</v>
      </c>
      <c r="J83" s="113">
        <v>10253</v>
      </c>
      <c r="K83" s="113">
        <v>0</v>
      </c>
      <c r="L83" s="113">
        <v>0</v>
      </c>
      <c r="M83" s="113">
        <v>12736</v>
      </c>
      <c r="N83" s="113">
        <v>1049</v>
      </c>
      <c r="O83" s="116">
        <v>3684</v>
      </c>
      <c r="P83" s="113">
        <v>11019</v>
      </c>
      <c r="Q83" s="113">
        <v>45507</v>
      </c>
      <c r="R83" s="113">
        <v>0</v>
      </c>
      <c r="S83" s="113">
        <v>0</v>
      </c>
      <c r="T83" s="113">
        <v>56526</v>
      </c>
      <c r="U83" s="113">
        <v>4656</v>
      </c>
      <c r="V83" s="113">
        <v>69262</v>
      </c>
      <c r="W83" s="113">
        <v>5705</v>
      </c>
      <c r="X83" s="113">
        <v>74967</v>
      </c>
      <c r="Y83" s="113">
        <v>3410</v>
      </c>
      <c r="Z83" s="113">
        <v>0</v>
      </c>
      <c r="AA83" s="113">
        <v>78377</v>
      </c>
      <c r="AB83" s="113">
        <f t="shared" si="1"/>
        <v>17.363092600797518</v>
      </c>
    </row>
    <row r="84" spans="1:28" ht="15.75" thickBot="1" x14ac:dyDescent="0.3">
      <c r="A84" s="44" t="s">
        <v>1013</v>
      </c>
      <c r="B84" s="107" t="s">
        <v>1014</v>
      </c>
      <c r="C84" s="110" t="s">
        <v>798</v>
      </c>
      <c r="D84" s="110" t="s">
        <v>1999</v>
      </c>
      <c r="E84" s="111" t="s">
        <v>799</v>
      </c>
      <c r="F84" s="111" t="s">
        <v>800</v>
      </c>
      <c r="G84" s="112">
        <v>6838</v>
      </c>
      <c r="H84" s="112">
        <v>6838</v>
      </c>
      <c r="I84" s="113">
        <v>22095</v>
      </c>
      <c r="J84" s="113">
        <v>0</v>
      </c>
      <c r="K84" s="113">
        <v>50000</v>
      </c>
      <c r="L84" s="113">
        <v>59897</v>
      </c>
      <c r="M84" s="113">
        <v>131992</v>
      </c>
      <c r="N84" s="113">
        <v>6356</v>
      </c>
      <c r="O84" s="115">
        <v>0</v>
      </c>
      <c r="P84" s="114">
        <v>0</v>
      </c>
      <c r="Q84" s="114">
        <v>0</v>
      </c>
      <c r="R84" s="114">
        <v>0</v>
      </c>
      <c r="S84" s="114">
        <v>0</v>
      </c>
      <c r="T84" s="114">
        <v>0</v>
      </c>
      <c r="U84" s="114">
        <v>0</v>
      </c>
      <c r="V84" s="113">
        <v>131992</v>
      </c>
      <c r="W84" s="113">
        <v>6356</v>
      </c>
      <c r="X84" s="113">
        <v>138348</v>
      </c>
      <c r="Y84" s="113">
        <v>5014</v>
      </c>
      <c r="Z84" s="113">
        <v>0</v>
      </c>
      <c r="AA84" s="113">
        <v>143362</v>
      </c>
      <c r="AB84" s="113">
        <f t="shared" si="1"/>
        <v>20.965486984498391</v>
      </c>
    </row>
    <row r="85" spans="1:28" ht="15.75" thickBot="1" x14ac:dyDescent="0.3">
      <c r="A85" s="44" t="s">
        <v>1019</v>
      </c>
      <c r="B85" s="107" t="s">
        <v>1020</v>
      </c>
      <c r="C85" s="110" t="s">
        <v>798</v>
      </c>
      <c r="D85" s="110" t="s">
        <v>2205</v>
      </c>
      <c r="E85" s="111" t="s">
        <v>844</v>
      </c>
      <c r="F85" s="111" t="s">
        <v>845</v>
      </c>
      <c r="G85" s="112">
        <v>4869</v>
      </c>
      <c r="H85" s="112">
        <v>1861</v>
      </c>
      <c r="I85" s="113">
        <v>1030</v>
      </c>
      <c r="J85" s="113">
        <v>15509</v>
      </c>
      <c r="K85" s="113">
        <v>0</v>
      </c>
      <c r="L85" s="113">
        <v>0</v>
      </c>
      <c r="M85" s="113">
        <v>16539</v>
      </c>
      <c r="N85" s="113">
        <v>4586</v>
      </c>
      <c r="O85" s="116">
        <v>3008</v>
      </c>
      <c r="P85" s="113">
        <v>1666</v>
      </c>
      <c r="Q85" s="113">
        <v>30767</v>
      </c>
      <c r="R85" s="113">
        <v>0</v>
      </c>
      <c r="S85" s="113">
        <v>0</v>
      </c>
      <c r="T85" s="113">
        <v>32433</v>
      </c>
      <c r="U85" s="113">
        <v>0</v>
      </c>
      <c r="V85" s="113">
        <v>48972</v>
      </c>
      <c r="W85" s="113">
        <v>4586</v>
      </c>
      <c r="X85" s="113">
        <v>53558</v>
      </c>
      <c r="Y85" s="113">
        <v>3571</v>
      </c>
      <c r="Z85" s="113">
        <v>0</v>
      </c>
      <c r="AA85" s="113">
        <v>57129</v>
      </c>
      <c r="AB85" s="113">
        <f t="shared" si="1"/>
        <v>11.7332101047443</v>
      </c>
    </row>
    <row r="86" spans="1:28" ht="15.75" thickBot="1" x14ac:dyDescent="0.3">
      <c r="A86" s="44" t="s">
        <v>1021</v>
      </c>
      <c r="B86" s="107" t="s">
        <v>1022</v>
      </c>
      <c r="C86" s="110" t="s">
        <v>798</v>
      </c>
      <c r="D86" s="110" t="s">
        <v>1936</v>
      </c>
      <c r="E86" s="111" t="s">
        <v>804</v>
      </c>
      <c r="F86" s="111" t="s">
        <v>805</v>
      </c>
      <c r="G86" s="112">
        <v>4768</v>
      </c>
      <c r="H86" s="112">
        <v>4768</v>
      </c>
      <c r="I86" s="113">
        <v>13335</v>
      </c>
      <c r="J86" s="113">
        <v>72366</v>
      </c>
      <c r="K86" s="113">
        <v>0</v>
      </c>
      <c r="L86" s="113">
        <v>0</v>
      </c>
      <c r="M86" s="113">
        <v>85701</v>
      </c>
      <c r="N86" s="113">
        <v>12803</v>
      </c>
      <c r="O86" s="115">
        <v>0</v>
      </c>
      <c r="P86" s="113">
        <v>0</v>
      </c>
      <c r="Q86" s="113">
        <v>0</v>
      </c>
      <c r="R86" s="113">
        <v>0</v>
      </c>
      <c r="S86" s="113">
        <v>0</v>
      </c>
      <c r="T86" s="113">
        <v>0</v>
      </c>
      <c r="U86" s="113">
        <v>0</v>
      </c>
      <c r="V86" s="113">
        <v>85701</v>
      </c>
      <c r="W86" s="113">
        <v>12803</v>
      </c>
      <c r="X86" s="113">
        <v>98504</v>
      </c>
      <c r="Y86" s="113">
        <v>3822</v>
      </c>
      <c r="Z86" s="113">
        <v>0</v>
      </c>
      <c r="AA86" s="113">
        <v>102326</v>
      </c>
      <c r="AB86" s="113">
        <f t="shared" si="1"/>
        <v>21.460989932885905</v>
      </c>
    </row>
    <row r="87" spans="1:28" ht="15.75" thickBot="1" x14ac:dyDescent="0.3">
      <c r="A87" s="44" t="s">
        <v>1035</v>
      </c>
      <c r="B87" s="107" t="s">
        <v>1036</v>
      </c>
      <c r="C87" s="110" t="s">
        <v>798</v>
      </c>
      <c r="D87" s="110" t="s">
        <v>1915</v>
      </c>
      <c r="E87" s="111" t="s">
        <v>1037</v>
      </c>
      <c r="F87" s="111" t="s">
        <v>1038</v>
      </c>
      <c r="G87" s="112">
        <v>5432</v>
      </c>
      <c r="H87" s="112">
        <v>4835</v>
      </c>
      <c r="I87" s="113">
        <v>14310</v>
      </c>
      <c r="J87" s="113">
        <v>304023</v>
      </c>
      <c r="K87" s="114">
        <v>0</v>
      </c>
      <c r="L87" s="114">
        <v>0</v>
      </c>
      <c r="M87" s="113">
        <v>318333</v>
      </c>
      <c r="N87" s="113">
        <v>17744</v>
      </c>
      <c r="O87" s="116">
        <v>597</v>
      </c>
      <c r="P87" s="113">
        <v>1767</v>
      </c>
      <c r="Q87" s="114">
        <v>0</v>
      </c>
      <c r="R87" s="114">
        <v>0</v>
      </c>
      <c r="S87" s="113">
        <v>3500</v>
      </c>
      <c r="T87" s="113">
        <v>5267</v>
      </c>
      <c r="U87" s="114">
        <v>0</v>
      </c>
      <c r="V87" s="113">
        <v>323600</v>
      </c>
      <c r="W87" s="113">
        <v>17744</v>
      </c>
      <c r="X87" s="113">
        <v>341344</v>
      </c>
      <c r="Y87" s="113">
        <v>3983</v>
      </c>
      <c r="Z87" s="113">
        <v>0</v>
      </c>
      <c r="AA87" s="113">
        <v>345327</v>
      </c>
      <c r="AB87" s="113">
        <f t="shared" si="1"/>
        <v>63.572717231222384</v>
      </c>
    </row>
    <row r="88" spans="1:28" ht="15.75" thickBot="1" x14ac:dyDescent="0.3">
      <c r="A88" s="44" t="s">
        <v>1065</v>
      </c>
      <c r="B88" s="107" t="s">
        <v>1066</v>
      </c>
      <c r="C88" s="110" t="s">
        <v>798</v>
      </c>
      <c r="D88" s="110" t="s">
        <v>2292</v>
      </c>
      <c r="E88" s="111" t="s">
        <v>844</v>
      </c>
      <c r="F88" s="111" t="s">
        <v>845</v>
      </c>
      <c r="G88" s="112">
        <v>6164</v>
      </c>
      <c r="H88" s="112">
        <v>6164</v>
      </c>
      <c r="I88" s="113">
        <v>17652</v>
      </c>
      <c r="J88" s="113">
        <v>91280</v>
      </c>
      <c r="K88" s="113">
        <v>50000</v>
      </c>
      <c r="L88" s="113">
        <v>5817</v>
      </c>
      <c r="M88" s="113">
        <v>164749</v>
      </c>
      <c r="N88" s="113">
        <v>6039</v>
      </c>
      <c r="O88" s="115">
        <v>0</v>
      </c>
      <c r="P88" s="114">
        <v>0</v>
      </c>
      <c r="Q88" s="114">
        <v>0</v>
      </c>
      <c r="R88" s="114">
        <v>0</v>
      </c>
      <c r="S88" s="114">
        <v>0</v>
      </c>
      <c r="T88" s="114">
        <v>0</v>
      </c>
      <c r="U88" s="114">
        <v>0</v>
      </c>
      <c r="V88" s="113">
        <v>164749</v>
      </c>
      <c r="W88" s="113">
        <v>6039</v>
      </c>
      <c r="X88" s="113">
        <v>170788</v>
      </c>
      <c r="Y88" s="113">
        <v>4520</v>
      </c>
      <c r="Z88" s="113">
        <v>0</v>
      </c>
      <c r="AA88" s="113">
        <v>175308</v>
      </c>
      <c r="AB88" s="113">
        <f t="shared" si="1"/>
        <v>28.44062297209604</v>
      </c>
    </row>
    <row r="89" spans="1:28" ht="15.75" thickBot="1" x14ac:dyDescent="0.3">
      <c r="A89" s="44" t="s">
        <v>1075</v>
      </c>
      <c r="B89" s="107" t="s">
        <v>1076</v>
      </c>
      <c r="C89" s="110" t="s">
        <v>798</v>
      </c>
      <c r="D89" s="110" t="s">
        <v>2205</v>
      </c>
      <c r="E89" s="111" t="s">
        <v>804</v>
      </c>
      <c r="F89" s="111" t="s">
        <v>805</v>
      </c>
      <c r="G89" s="112">
        <v>5641</v>
      </c>
      <c r="H89" s="112">
        <v>5641</v>
      </c>
      <c r="I89" s="113">
        <v>3124</v>
      </c>
      <c r="J89" s="113">
        <v>95712</v>
      </c>
      <c r="K89" s="113">
        <v>0</v>
      </c>
      <c r="L89" s="113">
        <v>0</v>
      </c>
      <c r="M89" s="113">
        <v>98836</v>
      </c>
      <c r="N89" s="113">
        <v>9830</v>
      </c>
      <c r="O89" s="115">
        <v>0</v>
      </c>
      <c r="P89" s="113">
        <v>0</v>
      </c>
      <c r="Q89" s="113">
        <v>0</v>
      </c>
      <c r="R89" s="113">
        <v>0</v>
      </c>
      <c r="S89" s="113">
        <v>0</v>
      </c>
      <c r="T89" s="113">
        <v>0</v>
      </c>
      <c r="U89" s="113">
        <v>0</v>
      </c>
      <c r="V89" s="113">
        <v>98836</v>
      </c>
      <c r="W89" s="113">
        <v>9830</v>
      </c>
      <c r="X89" s="113">
        <v>108666</v>
      </c>
      <c r="Y89" s="113">
        <v>4521</v>
      </c>
      <c r="Z89" s="113">
        <v>0</v>
      </c>
      <c r="AA89" s="113">
        <v>113187</v>
      </c>
      <c r="AB89" s="113">
        <f t="shared" si="1"/>
        <v>20.065059386633575</v>
      </c>
    </row>
    <row r="90" spans="1:28" ht="15.75" thickBot="1" x14ac:dyDescent="0.3">
      <c r="A90" s="44" t="s">
        <v>1119</v>
      </c>
      <c r="B90" s="107" t="s">
        <v>1120</v>
      </c>
      <c r="C90" s="110" t="s">
        <v>798</v>
      </c>
      <c r="D90" s="110" t="s">
        <v>1970</v>
      </c>
      <c r="E90" s="111" t="s">
        <v>804</v>
      </c>
      <c r="F90" s="111" t="s">
        <v>805</v>
      </c>
      <c r="G90" s="112">
        <v>6119</v>
      </c>
      <c r="H90" s="112">
        <v>4585</v>
      </c>
      <c r="I90" s="113">
        <v>14181</v>
      </c>
      <c r="J90" s="113">
        <v>447400</v>
      </c>
      <c r="K90" s="114">
        <v>0</v>
      </c>
      <c r="L90" s="113">
        <v>85486</v>
      </c>
      <c r="M90" s="113">
        <v>547067</v>
      </c>
      <c r="N90" s="114">
        <v>0</v>
      </c>
      <c r="O90" s="116">
        <v>1534</v>
      </c>
      <c r="P90" s="113">
        <v>4761</v>
      </c>
      <c r="Q90" s="114">
        <v>0</v>
      </c>
      <c r="R90" s="114">
        <v>0</v>
      </c>
      <c r="S90" s="114">
        <v>0</v>
      </c>
      <c r="T90" s="113">
        <v>4761</v>
      </c>
      <c r="U90" s="114">
        <v>0</v>
      </c>
      <c r="V90" s="113">
        <v>551828</v>
      </c>
      <c r="W90" s="114">
        <v>0</v>
      </c>
      <c r="X90" s="113">
        <v>551828</v>
      </c>
      <c r="Y90" s="113">
        <v>4689</v>
      </c>
      <c r="Z90" s="113">
        <v>0</v>
      </c>
      <c r="AA90" s="113">
        <v>556517</v>
      </c>
      <c r="AB90" s="113">
        <f t="shared" si="1"/>
        <v>90.949011276352351</v>
      </c>
    </row>
    <row r="91" spans="1:28" ht="15.75" thickBot="1" x14ac:dyDescent="0.3">
      <c r="A91" s="44" t="s">
        <v>1129</v>
      </c>
      <c r="B91" s="107" t="s">
        <v>1130</v>
      </c>
      <c r="C91" s="110" t="s">
        <v>798</v>
      </c>
      <c r="D91" s="110" t="s">
        <v>2385</v>
      </c>
      <c r="E91" s="111" t="s">
        <v>799</v>
      </c>
      <c r="F91" s="111" t="s">
        <v>800</v>
      </c>
      <c r="G91" s="112">
        <v>6582</v>
      </c>
      <c r="H91" s="112">
        <v>5962</v>
      </c>
      <c r="I91" s="113">
        <v>23762</v>
      </c>
      <c r="J91" s="113">
        <v>160315</v>
      </c>
      <c r="K91" s="113">
        <v>0</v>
      </c>
      <c r="L91" s="113">
        <v>0</v>
      </c>
      <c r="M91" s="113">
        <v>184077</v>
      </c>
      <c r="N91" s="113">
        <v>40926</v>
      </c>
      <c r="O91" s="116">
        <v>620</v>
      </c>
      <c r="P91" s="113">
        <v>2292</v>
      </c>
      <c r="Q91" s="113">
        <v>0</v>
      </c>
      <c r="R91" s="113">
        <v>0</v>
      </c>
      <c r="S91" s="113">
        <v>0</v>
      </c>
      <c r="T91" s="113">
        <v>2292</v>
      </c>
      <c r="U91" s="113">
        <v>0</v>
      </c>
      <c r="V91" s="113">
        <v>186369</v>
      </c>
      <c r="W91" s="113">
        <v>40926</v>
      </c>
      <c r="X91" s="113">
        <v>227295</v>
      </c>
      <c r="Y91" s="113">
        <v>4866</v>
      </c>
      <c r="Z91" s="113">
        <v>0</v>
      </c>
      <c r="AA91" s="113">
        <v>232161</v>
      </c>
      <c r="AB91" s="113">
        <f t="shared" si="1"/>
        <v>35.272105742935281</v>
      </c>
    </row>
    <row r="92" spans="1:28" ht="15.75" thickBot="1" x14ac:dyDescent="0.3">
      <c r="A92" s="44" t="s">
        <v>1139</v>
      </c>
      <c r="B92" s="107" t="s">
        <v>1140</v>
      </c>
      <c r="C92" s="110" t="s">
        <v>798</v>
      </c>
      <c r="D92" s="110" t="s">
        <v>2180</v>
      </c>
      <c r="E92" s="111" t="s">
        <v>804</v>
      </c>
      <c r="F92" s="111" t="s">
        <v>805</v>
      </c>
      <c r="G92" s="112">
        <v>5933</v>
      </c>
      <c r="H92" s="112">
        <v>5933</v>
      </c>
      <c r="I92" s="113">
        <v>31735</v>
      </c>
      <c r="J92" s="113">
        <v>125840</v>
      </c>
      <c r="K92" s="114">
        <v>0</v>
      </c>
      <c r="L92" s="114">
        <v>0</v>
      </c>
      <c r="M92" s="113">
        <v>157575</v>
      </c>
      <c r="N92" s="113">
        <v>49991</v>
      </c>
      <c r="O92" s="115">
        <v>0</v>
      </c>
      <c r="P92" s="114">
        <v>0</v>
      </c>
      <c r="Q92" s="114">
        <v>0</v>
      </c>
      <c r="R92" s="114">
        <v>0</v>
      </c>
      <c r="S92" s="114">
        <v>0</v>
      </c>
      <c r="T92" s="114">
        <v>0</v>
      </c>
      <c r="U92" s="114">
        <v>0</v>
      </c>
      <c r="V92" s="113">
        <v>157575</v>
      </c>
      <c r="W92" s="113">
        <v>49991</v>
      </c>
      <c r="X92" s="113">
        <v>207566</v>
      </c>
      <c r="Y92" s="113">
        <v>4546</v>
      </c>
      <c r="Z92" s="113">
        <v>0</v>
      </c>
      <c r="AA92" s="113">
        <v>212112</v>
      </c>
      <c r="AB92" s="113">
        <f t="shared" si="1"/>
        <v>35.75122197876285</v>
      </c>
    </row>
    <row r="93" spans="1:28" ht="15.75" thickBot="1" x14ac:dyDescent="0.3">
      <c r="A93" s="44" t="s">
        <v>1147</v>
      </c>
      <c r="B93" s="107" t="s">
        <v>1148</v>
      </c>
      <c r="C93" s="110" t="s">
        <v>798</v>
      </c>
      <c r="D93" s="110" t="s">
        <v>2091</v>
      </c>
      <c r="E93" s="111" t="s">
        <v>804</v>
      </c>
      <c r="F93" s="111" t="s">
        <v>805</v>
      </c>
      <c r="G93" s="112">
        <v>4220</v>
      </c>
      <c r="H93" s="112">
        <v>2542</v>
      </c>
      <c r="I93" s="113">
        <v>15023</v>
      </c>
      <c r="J93" s="113">
        <v>36256</v>
      </c>
      <c r="K93" s="113">
        <v>0</v>
      </c>
      <c r="L93" s="113">
        <v>2074</v>
      </c>
      <c r="M93" s="113">
        <v>53353</v>
      </c>
      <c r="N93" s="113">
        <v>27885</v>
      </c>
      <c r="O93" s="116">
        <v>1678</v>
      </c>
      <c r="P93" s="113">
        <v>9917</v>
      </c>
      <c r="Q93" s="113">
        <v>23933</v>
      </c>
      <c r="R93" s="114">
        <v>0</v>
      </c>
      <c r="S93" s="114">
        <v>0</v>
      </c>
      <c r="T93" s="113">
        <v>33850</v>
      </c>
      <c r="U93" s="114">
        <v>0</v>
      </c>
      <c r="V93" s="113">
        <v>87203</v>
      </c>
      <c r="W93" s="113">
        <v>27885</v>
      </c>
      <c r="X93" s="113">
        <v>115088</v>
      </c>
      <c r="Y93" s="113">
        <v>3233</v>
      </c>
      <c r="Z93" s="113">
        <v>2649</v>
      </c>
      <c r="AA93" s="113">
        <v>120970</v>
      </c>
      <c r="AB93" s="113">
        <f t="shared" si="1"/>
        <v>28.665876777251185</v>
      </c>
    </row>
    <row r="94" spans="1:28" ht="15.75" thickBot="1" x14ac:dyDescent="0.3">
      <c r="A94" s="44" t="s">
        <v>1151</v>
      </c>
      <c r="B94" s="107" t="s">
        <v>1152</v>
      </c>
      <c r="C94" s="110" t="s">
        <v>798</v>
      </c>
      <c r="D94" s="110" t="s">
        <v>1919</v>
      </c>
      <c r="E94" s="111" t="s">
        <v>799</v>
      </c>
      <c r="F94" s="111" t="s">
        <v>800</v>
      </c>
      <c r="G94" s="112">
        <v>4610</v>
      </c>
      <c r="H94" s="112">
        <v>4610</v>
      </c>
      <c r="I94" s="113">
        <v>30953</v>
      </c>
      <c r="J94" s="113">
        <v>91685</v>
      </c>
      <c r="K94" s="113">
        <v>0</v>
      </c>
      <c r="L94" s="113">
        <v>0</v>
      </c>
      <c r="M94" s="113">
        <v>122638</v>
      </c>
      <c r="N94" s="113">
        <v>5968</v>
      </c>
      <c r="O94" s="115">
        <v>0</v>
      </c>
      <c r="P94" s="114">
        <v>0</v>
      </c>
      <c r="Q94" s="114">
        <v>0</v>
      </c>
      <c r="R94" s="114">
        <v>0</v>
      </c>
      <c r="S94" s="114">
        <v>0</v>
      </c>
      <c r="T94" s="114">
        <v>0</v>
      </c>
      <c r="U94" s="114">
        <v>0</v>
      </c>
      <c r="V94" s="113">
        <v>122638</v>
      </c>
      <c r="W94" s="113">
        <v>5968</v>
      </c>
      <c r="X94" s="113">
        <v>128606</v>
      </c>
      <c r="Y94" s="113">
        <v>4904</v>
      </c>
      <c r="Z94" s="113">
        <v>0</v>
      </c>
      <c r="AA94" s="113">
        <v>133510</v>
      </c>
      <c r="AB94" s="113">
        <f t="shared" si="1"/>
        <v>28.960954446854664</v>
      </c>
    </row>
    <row r="95" spans="1:28" ht="15.75" thickBot="1" x14ac:dyDescent="0.3">
      <c r="A95" s="44" t="s">
        <v>1157</v>
      </c>
      <c r="B95" s="107" t="s">
        <v>1158</v>
      </c>
      <c r="C95" s="110" t="s">
        <v>798</v>
      </c>
      <c r="D95" s="110" t="s">
        <v>1930</v>
      </c>
      <c r="E95" s="111" t="s">
        <v>1037</v>
      </c>
      <c r="F95" s="111" t="s">
        <v>1038</v>
      </c>
      <c r="G95" s="112">
        <v>5531</v>
      </c>
      <c r="H95" s="112">
        <v>1328</v>
      </c>
      <c r="I95" s="113">
        <v>9769</v>
      </c>
      <c r="J95" s="113">
        <v>21464</v>
      </c>
      <c r="K95" s="114">
        <v>0</v>
      </c>
      <c r="L95" s="113">
        <v>0</v>
      </c>
      <c r="M95" s="113">
        <v>31233</v>
      </c>
      <c r="N95" s="113">
        <v>31789</v>
      </c>
      <c r="O95" s="116">
        <v>4203</v>
      </c>
      <c r="P95" s="113">
        <v>20882</v>
      </c>
      <c r="Q95" s="113">
        <v>39665</v>
      </c>
      <c r="R95" s="114">
        <v>0</v>
      </c>
      <c r="S95" s="113">
        <v>1500</v>
      </c>
      <c r="T95" s="113">
        <v>62047</v>
      </c>
      <c r="U95" s="114">
        <v>0</v>
      </c>
      <c r="V95" s="113">
        <v>93280</v>
      </c>
      <c r="W95" s="113">
        <v>31789</v>
      </c>
      <c r="X95" s="113">
        <v>125069</v>
      </c>
      <c r="Y95" s="113">
        <v>4056</v>
      </c>
      <c r="Z95" s="113">
        <v>0</v>
      </c>
      <c r="AA95" s="113">
        <v>129125</v>
      </c>
      <c r="AB95" s="113">
        <f t="shared" si="1"/>
        <v>23.345687940697886</v>
      </c>
    </row>
    <row r="96" spans="1:28" ht="15.75" thickBot="1" x14ac:dyDescent="0.3">
      <c r="A96" s="44" t="s">
        <v>1161</v>
      </c>
      <c r="B96" s="107" t="s">
        <v>1162</v>
      </c>
      <c r="C96" s="110" t="s">
        <v>798</v>
      </c>
      <c r="D96" s="110" t="s">
        <v>1892</v>
      </c>
      <c r="E96" s="111" t="s">
        <v>804</v>
      </c>
      <c r="F96" s="111" t="s">
        <v>886</v>
      </c>
      <c r="G96" s="112">
        <v>5107</v>
      </c>
      <c r="H96" s="112">
        <v>4978</v>
      </c>
      <c r="I96" s="113">
        <v>15971</v>
      </c>
      <c r="J96" s="113">
        <v>111468</v>
      </c>
      <c r="K96" s="114">
        <v>0</v>
      </c>
      <c r="L96" s="113">
        <v>4868</v>
      </c>
      <c r="M96" s="113">
        <v>132307</v>
      </c>
      <c r="N96" s="113">
        <v>12020</v>
      </c>
      <c r="O96" s="116">
        <v>129</v>
      </c>
      <c r="P96" s="113">
        <v>416</v>
      </c>
      <c r="Q96" s="114">
        <v>0</v>
      </c>
      <c r="R96" s="114">
        <v>0</v>
      </c>
      <c r="S96" s="114">
        <v>0</v>
      </c>
      <c r="T96" s="113">
        <v>416</v>
      </c>
      <c r="U96" s="114">
        <v>0</v>
      </c>
      <c r="V96" s="113">
        <v>132723</v>
      </c>
      <c r="W96" s="113">
        <v>12020</v>
      </c>
      <c r="X96" s="113">
        <v>144743</v>
      </c>
      <c r="Y96" s="113">
        <v>3913</v>
      </c>
      <c r="Z96" s="113">
        <v>0</v>
      </c>
      <c r="AA96" s="113">
        <v>148656</v>
      </c>
      <c r="AB96" s="113">
        <f t="shared" si="1"/>
        <v>29.10828274916781</v>
      </c>
    </row>
    <row r="97" spans="1:28" ht="15.75" thickBot="1" x14ac:dyDescent="0.3">
      <c r="A97" s="44" t="s">
        <v>1167</v>
      </c>
      <c r="B97" s="107" t="s">
        <v>1168</v>
      </c>
      <c r="C97" s="110" t="s">
        <v>798</v>
      </c>
      <c r="D97" s="110" t="s">
        <v>2277</v>
      </c>
      <c r="E97" s="111" t="s">
        <v>799</v>
      </c>
      <c r="F97" s="111" t="s">
        <v>800</v>
      </c>
      <c r="G97" s="112">
        <v>5784</v>
      </c>
      <c r="H97" s="112">
        <v>5784</v>
      </c>
      <c r="I97" s="113">
        <v>13671</v>
      </c>
      <c r="J97" s="113">
        <v>0</v>
      </c>
      <c r="K97" s="113">
        <v>0</v>
      </c>
      <c r="L97" s="113">
        <v>184000</v>
      </c>
      <c r="M97" s="113">
        <v>197671</v>
      </c>
      <c r="N97" s="113">
        <v>22099</v>
      </c>
      <c r="O97" s="115">
        <v>0</v>
      </c>
      <c r="P97" s="114">
        <v>0</v>
      </c>
      <c r="Q97" s="114">
        <v>0</v>
      </c>
      <c r="R97" s="114">
        <v>0</v>
      </c>
      <c r="S97" s="114">
        <v>0</v>
      </c>
      <c r="T97" s="114">
        <v>0</v>
      </c>
      <c r="U97" s="114">
        <v>0</v>
      </c>
      <c r="V97" s="113">
        <v>197671</v>
      </c>
      <c r="W97" s="113">
        <v>22099</v>
      </c>
      <c r="X97" s="113">
        <v>219770</v>
      </c>
      <c r="Y97" s="113">
        <v>4242</v>
      </c>
      <c r="Z97" s="113">
        <v>0</v>
      </c>
      <c r="AA97" s="113">
        <v>224012</v>
      </c>
      <c r="AB97" s="113">
        <f t="shared" si="1"/>
        <v>38.729598893499308</v>
      </c>
    </row>
    <row r="98" spans="1:28" ht="15.75" thickBot="1" x14ac:dyDescent="0.3">
      <c r="A98" s="44" t="s">
        <v>1173</v>
      </c>
      <c r="B98" s="107" t="s">
        <v>1174</v>
      </c>
      <c r="C98" s="110" t="s">
        <v>798</v>
      </c>
      <c r="D98" s="110" t="s">
        <v>2017</v>
      </c>
      <c r="E98" s="111" t="s">
        <v>804</v>
      </c>
      <c r="F98" s="111" t="s">
        <v>805</v>
      </c>
      <c r="G98" s="112">
        <v>5713</v>
      </c>
      <c r="H98" s="112">
        <v>5387</v>
      </c>
      <c r="I98" s="113">
        <v>35365</v>
      </c>
      <c r="J98" s="113">
        <v>88871</v>
      </c>
      <c r="K98" s="113">
        <v>274</v>
      </c>
      <c r="L98" s="113">
        <v>0</v>
      </c>
      <c r="M98" s="113">
        <v>124510</v>
      </c>
      <c r="N98" s="113">
        <v>36035</v>
      </c>
      <c r="O98" s="116">
        <v>326</v>
      </c>
      <c r="P98" s="113">
        <v>2140</v>
      </c>
      <c r="Q98" s="114">
        <v>0</v>
      </c>
      <c r="R98" s="114">
        <v>0</v>
      </c>
      <c r="S98" s="113">
        <v>1100</v>
      </c>
      <c r="T98" s="113">
        <v>3240</v>
      </c>
      <c r="U98" s="114">
        <v>0</v>
      </c>
      <c r="V98" s="113">
        <v>127750</v>
      </c>
      <c r="W98" s="113">
        <v>36035</v>
      </c>
      <c r="X98" s="113">
        <v>163785</v>
      </c>
      <c r="Y98" s="113">
        <v>4377</v>
      </c>
      <c r="Z98" s="113">
        <v>0</v>
      </c>
      <c r="AA98" s="113">
        <v>168162</v>
      </c>
      <c r="AB98" s="113">
        <f t="shared" si="1"/>
        <v>29.434972868895503</v>
      </c>
    </row>
    <row r="99" spans="1:28" ht="15.75" thickBot="1" x14ac:dyDescent="0.3">
      <c r="A99" s="44" t="s">
        <v>1177</v>
      </c>
      <c r="B99" s="107" t="s">
        <v>1178</v>
      </c>
      <c r="C99" s="110" t="s">
        <v>798</v>
      </c>
      <c r="D99" s="110" t="s">
        <v>1919</v>
      </c>
      <c r="E99" s="111" t="s">
        <v>804</v>
      </c>
      <c r="F99" s="111" t="s">
        <v>805</v>
      </c>
      <c r="G99" s="112">
        <v>6443</v>
      </c>
      <c r="H99" s="112">
        <v>2629</v>
      </c>
      <c r="I99" s="113">
        <v>21623</v>
      </c>
      <c r="J99" s="114">
        <v>0</v>
      </c>
      <c r="K99" s="114">
        <v>0</v>
      </c>
      <c r="L99" s="113">
        <v>0</v>
      </c>
      <c r="M99" s="113">
        <v>21623</v>
      </c>
      <c r="N99" s="113">
        <v>29541</v>
      </c>
      <c r="O99" s="116">
        <v>3814</v>
      </c>
      <c r="P99" s="113">
        <v>1732</v>
      </c>
      <c r="Q99" s="114">
        <v>0</v>
      </c>
      <c r="R99" s="114">
        <v>0</v>
      </c>
      <c r="S99" s="113">
        <v>7000</v>
      </c>
      <c r="T99" s="113">
        <v>8732</v>
      </c>
      <c r="U99" s="113">
        <v>1000</v>
      </c>
      <c r="V99" s="113">
        <v>30355</v>
      </c>
      <c r="W99" s="113">
        <v>30541</v>
      </c>
      <c r="X99" s="113">
        <v>60896</v>
      </c>
      <c r="Y99" s="113">
        <v>5987</v>
      </c>
      <c r="Z99" s="113">
        <v>0</v>
      </c>
      <c r="AA99" s="113">
        <v>66883</v>
      </c>
      <c r="AB99" s="113">
        <f t="shared" si="1"/>
        <v>10.380723265559523</v>
      </c>
    </row>
    <row r="100" spans="1:28" ht="15.75" thickBot="1" x14ac:dyDescent="0.3">
      <c r="A100" s="44" t="s">
        <v>1181</v>
      </c>
      <c r="B100" s="107" t="s">
        <v>1182</v>
      </c>
      <c r="C100" s="110" t="s">
        <v>798</v>
      </c>
      <c r="D100" s="110" t="s">
        <v>2064</v>
      </c>
      <c r="E100" s="111" t="s">
        <v>804</v>
      </c>
      <c r="F100" s="111" t="s">
        <v>805</v>
      </c>
      <c r="G100" s="112">
        <v>4080</v>
      </c>
      <c r="H100" s="112">
        <v>3581</v>
      </c>
      <c r="I100" s="113">
        <v>16174</v>
      </c>
      <c r="J100" s="113">
        <v>0</v>
      </c>
      <c r="K100" s="113">
        <v>0</v>
      </c>
      <c r="L100" s="113">
        <v>2720</v>
      </c>
      <c r="M100" s="113">
        <v>18894</v>
      </c>
      <c r="N100" s="113">
        <v>18410</v>
      </c>
      <c r="O100" s="116">
        <v>499</v>
      </c>
      <c r="P100" s="113">
        <v>2417</v>
      </c>
      <c r="Q100" s="113">
        <v>0</v>
      </c>
      <c r="R100" s="113">
        <v>0</v>
      </c>
      <c r="S100" s="113">
        <v>0</v>
      </c>
      <c r="T100" s="113">
        <v>2417</v>
      </c>
      <c r="U100" s="113">
        <v>3157</v>
      </c>
      <c r="V100" s="113">
        <v>21311</v>
      </c>
      <c r="W100" s="113">
        <v>21567</v>
      </c>
      <c r="X100" s="113">
        <v>42878</v>
      </c>
      <c r="Y100" s="113">
        <v>3126</v>
      </c>
      <c r="Z100" s="113">
        <v>0</v>
      </c>
      <c r="AA100" s="113">
        <v>46004</v>
      </c>
      <c r="AB100" s="113">
        <f t="shared" si="1"/>
        <v>11.275490196078431</v>
      </c>
    </row>
    <row r="101" spans="1:28" ht="15.75" thickBot="1" x14ac:dyDescent="0.3">
      <c r="A101" s="44" t="s">
        <v>1183</v>
      </c>
      <c r="B101" s="107" t="s">
        <v>1184</v>
      </c>
      <c r="C101" s="110" t="s">
        <v>798</v>
      </c>
      <c r="D101" s="110" t="s">
        <v>2076</v>
      </c>
      <c r="E101" s="111" t="s">
        <v>799</v>
      </c>
      <c r="F101" s="111" t="s">
        <v>800</v>
      </c>
      <c r="G101" s="112">
        <v>5210</v>
      </c>
      <c r="H101" s="112">
        <v>3326</v>
      </c>
      <c r="I101" s="113">
        <v>10923</v>
      </c>
      <c r="J101" s="113">
        <v>94943</v>
      </c>
      <c r="K101" s="114">
        <v>0</v>
      </c>
      <c r="L101" s="113">
        <v>25721</v>
      </c>
      <c r="M101" s="113">
        <v>131587</v>
      </c>
      <c r="N101" s="113">
        <v>30765</v>
      </c>
      <c r="O101" s="116">
        <v>1884</v>
      </c>
      <c r="P101" s="113">
        <v>6187</v>
      </c>
      <c r="Q101" s="114">
        <v>0</v>
      </c>
      <c r="R101" s="114">
        <v>0</v>
      </c>
      <c r="S101" s="113">
        <v>1000</v>
      </c>
      <c r="T101" s="113">
        <v>7187</v>
      </c>
      <c r="U101" s="114">
        <v>0</v>
      </c>
      <c r="V101" s="113">
        <v>138774</v>
      </c>
      <c r="W101" s="113">
        <v>30765</v>
      </c>
      <c r="X101" s="113">
        <v>169539</v>
      </c>
      <c r="Y101" s="113">
        <v>3821</v>
      </c>
      <c r="Z101" s="113">
        <v>0</v>
      </c>
      <c r="AA101" s="113">
        <v>173360</v>
      </c>
      <c r="AB101" s="113">
        <f t="shared" si="1"/>
        <v>33.274472168905952</v>
      </c>
    </row>
    <row r="102" spans="1:28" ht="15.75" thickBot="1" x14ac:dyDescent="0.3">
      <c r="A102" s="44" t="s">
        <v>1185</v>
      </c>
      <c r="B102" s="107" t="s">
        <v>1186</v>
      </c>
      <c r="C102" s="110" t="s">
        <v>798</v>
      </c>
      <c r="D102" s="110" t="s">
        <v>1988</v>
      </c>
      <c r="E102" s="111" t="s">
        <v>804</v>
      </c>
      <c r="F102" s="111" t="s">
        <v>805</v>
      </c>
      <c r="G102" s="112">
        <v>6997</v>
      </c>
      <c r="H102" s="112">
        <v>6752</v>
      </c>
      <c r="I102" s="113">
        <v>24500</v>
      </c>
      <c r="J102" s="113">
        <v>325996</v>
      </c>
      <c r="K102" s="113">
        <v>0</v>
      </c>
      <c r="L102" s="113">
        <v>5361</v>
      </c>
      <c r="M102" s="113">
        <v>355857</v>
      </c>
      <c r="N102" s="113">
        <v>11532</v>
      </c>
      <c r="O102" s="116">
        <v>245</v>
      </c>
      <c r="P102" s="114">
        <v>0</v>
      </c>
      <c r="Q102" s="114">
        <v>0</v>
      </c>
      <c r="R102" s="114">
        <v>0</v>
      </c>
      <c r="S102" s="114">
        <v>0</v>
      </c>
      <c r="T102" s="114">
        <v>0</v>
      </c>
      <c r="U102" s="114">
        <v>0</v>
      </c>
      <c r="V102" s="113">
        <v>355857</v>
      </c>
      <c r="W102" s="113">
        <v>11532</v>
      </c>
      <c r="X102" s="113">
        <v>367389</v>
      </c>
      <c r="Y102" s="113">
        <v>5361</v>
      </c>
      <c r="Z102" s="113">
        <v>0</v>
      </c>
      <c r="AA102" s="113">
        <v>372750</v>
      </c>
      <c r="AB102" s="113">
        <f t="shared" si="1"/>
        <v>53.27283121337716</v>
      </c>
    </row>
    <row r="103" spans="1:28" ht="15.75" thickBot="1" x14ac:dyDescent="0.3">
      <c r="A103" s="44" t="s">
        <v>1197</v>
      </c>
      <c r="B103" s="107" t="s">
        <v>1198</v>
      </c>
      <c r="C103" s="110" t="s">
        <v>798</v>
      </c>
      <c r="D103" s="110" t="s">
        <v>1944</v>
      </c>
      <c r="E103" s="111" t="s">
        <v>1037</v>
      </c>
      <c r="F103" s="111" t="s">
        <v>1038</v>
      </c>
      <c r="G103" s="112">
        <v>4168</v>
      </c>
      <c r="H103" s="112">
        <v>3778</v>
      </c>
      <c r="I103" s="113">
        <v>27682</v>
      </c>
      <c r="J103" s="113">
        <v>237847</v>
      </c>
      <c r="K103" s="114">
        <v>0</v>
      </c>
      <c r="L103" s="113">
        <v>0</v>
      </c>
      <c r="M103" s="113">
        <v>265529</v>
      </c>
      <c r="N103" s="113">
        <v>28012</v>
      </c>
      <c r="O103" s="116">
        <v>390</v>
      </c>
      <c r="P103" s="114">
        <v>0</v>
      </c>
      <c r="Q103" s="113">
        <v>24184</v>
      </c>
      <c r="R103" s="114">
        <v>0</v>
      </c>
      <c r="S103" s="114">
        <v>0</v>
      </c>
      <c r="T103" s="113">
        <v>24184</v>
      </c>
      <c r="U103" s="113">
        <v>0</v>
      </c>
      <c r="V103" s="113">
        <v>289713</v>
      </c>
      <c r="W103" s="113">
        <v>28012</v>
      </c>
      <c r="X103" s="113">
        <v>317725</v>
      </c>
      <c r="Y103" s="113">
        <v>3056</v>
      </c>
      <c r="Z103" s="113">
        <v>0</v>
      </c>
      <c r="AA103" s="113">
        <v>320781</v>
      </c>
      <c r="AB103" s="113">
        <f t="shared" si="1"/>
        <v>76.962811900191937</v>
      </c>
    </row>
    <row r="104" spans="1:28" ht="15.75" thickBot="1" x14ac:dyDescent="0.3">
      <c r="A104" s="44" t="s">
        <v>1211</v>
      </c>
      <c r="B104" s="107" t="s">
        <v>1212</v>
      </c>
      <c r="C104" s="110" t="s">
        <v>798</v>
      </c>
      <c r="D104" s="110" t="s">
        <v>1919</v>
      </c>
      <c r="E104" s="111" t="s">
        <v>844</v>
      </c>
      <c r="F104" s="111" t="s">
        <v>845</v>
      </c>
      <c r="G104" s="112">
        <v>4934</v>
      </c>
      <c r="H104" s="112">
        <v>4934</v>
      </c>
      <c r="I104" s="113">
        <v>32039</v>
      </c>
      <c r="J104" s="113">
        <v>236944</v>
      </c>
      <c r="K104" s="114">
        <v>0</v>
      </c>
      <c r="L104" s="113">
        <v>1239</v>
      </c>
      <c r="M104" s="113">
        <v>270222</v>
      </c>
      <c r="N104" s="113">
        <v>13245</v>
      </c>
      <c r="O104" s="115">
        <v>0</v>
      </c>
      <c r="P104" s="114">
        <v>0</v>
      </c>
      <c r="Q104" s="114">
        <v>0</v>
      </c>
      <c r="R104" s="114">
        <v>0</v>
      </c>
      <c r="S104" s="114">
        <v>0</v>
      </c>
      <c r="T104" s="114">
        <v>0</v>
      </c>
      <c r="U104" s="114">
        <v>0</v>
      </c>
      <c r="V104" s="113">
        <v>270222</v>
      </c>
      <c r="W104" s="113">
        <v>13245</v>
      </c>
      <c r="X104" s="113">
        <v>283467</v>
      </c>
      <c r="Y104" s="113">
        <v>3618</v>
      </c>
      <c r="Z104" s="113">
        <v>3800</v>
      </c>
      <c r="AA104" s="113">
        <v>290885</v>
      </c>
      <c r="AB104" s="113">
        <f t="shared" si="1"/>
        <v>58.955208755573572</v>
      </c>
    </row>
    <row r="105" spans="1:28" ht="15.75" thickBot="1" x14ac:dyDescent="0.3">
      <c r="A105" s="44" t="s">
        <v>1213</v>
      </c>
      <c r="B105" s="107" t="s">
        <v>1214</v>
      </c>
      <c r="C105" s="110" t="s">
        <v>798</v>
      </c>
      <c r="D105" s="110" t="s">
        <v>2334</v>
      </c>
      <c r="E105" s="111" t="s">
        <v>844</v>
      </c>
      <c r="F105" s="111" t="s">
        <v>845</v>
      </c>
      <c r="G105" s="112">
        <v>5857</v>
      </c>
      <c r="H105" s="112">
        <v>2043</v>
      </c>
      <c r="I105" s="113">
        <v>3704</v>
      </c>
      <c r="J105" s="113">
        <v>173439</v>
      </c>
      <c r="K105" s="113">
        <v>0</v>
      </c>
      <c r="L105" s="113">
        <v>0</v>
      </c>
      <c r="M105" s="113">
        <v>177143</v>
      </c>
      <c r="N105" s="113">
        <v>61473</v>
      </c>
      <c r="O105" s="116">
        <v>3814</v>
      </c>
      <c r="P105" s="113">
        <v>6903</v>
      </c>
      <c r="Q105" s="113">
        <v>0</v>
      </c>
      <c r="R105" s="113">
        <v>0</v>
      </c>
      <c r="S105" s="113">
        <v>0</v>
      </c>
      <c r="T105" s="113">
        <v>6903</v>
      </c>
      <c r="U105" s="113">
        <v>0</v>
      </c>
      <c r="V105" s="113">
        <v>184046</v>
      </c>
      <c r="W105" s="113">
        <v>61473</v>
      </c>
      <c r="X105" s="113">
        <v>245519</v>
      </c>
      <c r="Y105" s="113">
        <v>3539</v>
      </c>
      <c r="Z105" s="113">
        <v>0</v>
      </c>
      <c r="AA105" s="113">
        <v>249058</v>
      </c>
      <c r="AB105" s="113">
        <f t="shared" si="1"/>
        <v>42.523134710602697</v>
      </c>
    </row>
    <row r="106" spans="1:28" ht="15.75" thickBot="1" x14ac:dyDescent="0.3">
      <c r="A106" s="44" t="s">
        <v>1233</v>
      </c>
      <c r="B106" s="107" t="s">
        <v>1234</v>
      </c>
      <c r="C106" s="110" t="s">
        <v>798</v>
      </c>
      <c r="D106" s="110" t="s">
        <v>2047</v>
      </c>
      <c r="E106" s="111" t="s">
        <v>844</v>
      </c>
      <c r="F106" s="111" t="s">
        <v>845</v>
      </c>
      <c r="G106" s="112">
        <v>4141</v>
      </c>
      <c r="H106" s="112">
        <v>1844</v>
      </c>
      <c r="I106" s="113">
        <v>10050</v>
      </c>
      <c r="J106" s="113">
        <v>21151</v>
      </c>
      <c r="K106" s="114">
        <v>0</v>
      </c>
      <c r="L106" s="113">
        <v>2379</v>
      </c>
      <c r="M106" s="113">
        <v>33580</v>
      </c>
      <c r="N106" s="114">
        <v>0</v>
      </c>
      <c r="O106" s="116">
        <v>2297</v>
      </c>
      <c r="P106" s="113">
        <v>14518</v>
      </c>
      <c r="Q106" s="113">
        <v>26347</v>
      </c>
      <c r="R106" s="114">
        <v>0</v>
      </c>
      <c r="S106" s="114">
        <v>0</v>
      </c>
      <c r="T106" s="113">
        <v>40865</v>
      </c>
      <c r="U106" s="113">
        <v>2964</v>
      </c>
      <c r="V106" s="113">
        <v>74445</v>
      </c>
      <c r="W106" s="113">
        <v>2964</v>
      </c>
      <c r="X106" s="113">
        <v>77409</v>
      </c>
      <c r="Y106" s="113">
        <v>3037</v>
      </c>
      <c r="Z106" s="113">
        <v>0</v>
      </c>
      <c r="AA106" s="113">
        <v>80446</v>
      </c>
      <c r="AB106" s="113">
        <f t="shared" si="1"/>
        <v>19.426708524510989</v>
      </c>
    </row>
    <row r="107" spans="1:28" ht="15.75" thickBot="1" x14ac:dyDescent="0.3">
      <c r="A107" s="44" t="s">
        <v>1239</v>
      </c>
      <c r="B107" s="107" t="s">
        <v>1240</v>
      </c>
      <c r="C107" s="110" t="s">
        <v>798</v>
      </c>
      <c r="D107" s="110" t="s">
        <v>2259</v>
      </c>
      <c r="E107" s="111" t="s">
        <v>1037</v>
      </c>
      <c r="F107" s="111" t="s">
        <v>1038</v>
      </c>
      <c r="G107" s="112">
        <v>4197</v>
      </c>
      <c r="H107" s="112">
        <v>872</v>
      </c>
      <c r="I107" s="113">
        <v>5615</v>
      </c>
      <c r="J107" s="113">
        <v>11079</v>
      </c>
      <c r="K107" s="113">
        <v>0</v>
      </c>
      <c r="L107" s="113">
        <v>0</v>
      </c>
      <c r="M107" s="113">
        <v>16694</v>
      </c>
      <c r="N107" s="113">
        <v>10899</v>
      </c>
      <c r="O107" s="116">
        <v>3325</v>
      </c>
      <c r="P107" s="113">
        <v>21848</v>
      </c>
      <c r="Q107" s="113">
        <v>0</v>
      </c>
      <c r="R107" s="113">
        <v>0</v>
      </c>
      <c r="S107" s="113">
        <v>2716</v>
      </c>
      <c r="T107" s="113">
        <v>24564</v>
      </c>
      <c r="U107" s="113">
        <v>0</v>
      </c>
      <c r="V107" s="113">
        <v>41258</v>
      </c>
      <c r="W107" s="113">
        <v>10899</v>
      </c>
      <c r="X107" s="113">
        <v>52157</v>
      </c>
      <c r="Y107" s="113">
        <v>3078</v>
      </c>
      <c r="Z107" s="113">
        <v>0</v>
      </c>
      <c r="AA107" s="113">
        <v>55235</v>
      </c>
      <c r="AB107" s="113">
        <f t="shared" si="1"/>
        <v>13.160590898260663</v>
      </c>
    </row>
    <row r="108" spans="1:28" ht="15.75" thickBot="1" x14ac:dyDescent="0.3">
      <c r="A108" s="44" t="s">
        <v>1245</v>
      </c>
      <c r="B108" s="107" t="s">
        <v>1246</v>
      </c>
      <c r="C108" s="110" t="s">
        <v>798</v>
      </c>
      <c r="D108" s="110" t="s">
        <v>1903</v>
      </c>
      <c r="E108" s="111" t="s">
        <v>804</v>
      </c>
      <c r="F108" s="111" t="s">
        <v>805</v>
      </c>
      <c r="G108" s="112">
        <v>5068</v>
      </c>
      <c r="H108" s="112">
        <v>2579</v>
      </c>
      <c r="I108" s="113">
        <v>12929</v>
      </c>
      <c r="J108" s="113">
        <v>83010</v>
      </c>
      <c r="K108" s="113">
        <v>37869</v>
      </c>
      <c r="L108" s="114">
        <v>0</v>
      </c>
      <c r="M108" s="113">
        <v>133808</v>
      </c>
      <c r="N108" s="113">
        <v>48072</v>
      </c>
      <c r="O108" s="116">
        <v>2489</v>
      </c>
      <c r="P108" s="113">
        <v>12061</v>
      </c>
      <c r="Q108" s="113">
        <v>0</v>
      </c>
      <c r="R108" s="113">
        <v>6488</v>
      </c>
      <c r="S108" s="114">
        <v>0</v>
      </c>
      <c r="T108" s="113">
        <v>18549</v>
      </c>
      <c r="U108" s="114">
        <v>0</v>
      </c>
      <c r="V108" s="113">
        <v>152357</v>
      </c>
      <c r="W108" s="113">
        <v>48072</v>
      </c>
      <c r="X108" s="113">
        <v>200429</v>
      </c>
      <c r="Y108" s="113">
        <v>3883</v>
      </c>
      <c r="Z108" s="113">
        <v>0</v>
      </c>
      <c r="AA108" s="113">
        <v>204312</v>
      </c>
      <c r="AB108" s="113">
        <f t="shared" si="1"/>
        <v>40.31412786108919</v>
      </c>
    </row>
    <row r="109" spans="1:28" ht="15.75" thickBot="1" x14ac:dyDescent="0.3">
      <c r="A109" s="44" t="s">
        <v>1249</v>
      </c>
      <c r="B109" s="107" t="s">
        <v>1250</v>
      </c>
      <c r="C109" s="110" t="s">
        <v>798</v>
      </c>
      <c r="D109" s="110" t="s">
        <v>1915</v>
      </c>
      <c r="E109" s="111" t="s">
        <v>844</v>
      </c>
      <c r="F109" s="111" t="s">
        <v>845</v>
      </c>
      <c r="G109" s="112">
        <v>4968</v>
      </c>
      <c r="H109" s="112">
        <v>4400</v>
      </c>
      <c r="I109" s="113">
        <v>13019</v>
      </c>
      <c r="J109" s="114">
        <v>0</v>
      </c>
      <c r="K109" s="114">
        <v>0</v>
      </c>
      <c r="L109" s="113">
        <v>63177</v>
      </c>
      <c r="M109" s="113">
        <v>76196</v>
      </c>
      <c r="N109" s="113">
        <v>2138</v>
      </c>
      <c r="O109" s="116">
        <v>568</v>
      </c>
      <c r="P109" s="113">
        <v>1680</v>
      </c>
      <c r="Q109" s="114">
        <v>0</v>
      </c>
      <c r="R109" s="114">
        <v>0</v>
      </c>
      <c r="S109" s="113">
        <v>4000</v>
      </c>
      <c r="T109" s="113">
        <v>5680</v>
      </c>
      <c r="U109" s="114">
        <v>0</v>
      </c>
      <c r="V109" s="113">
        <v>81876</v>
      </c>
      <c r="W109" s="113">
        <v>2138</v>
      </c>
      <c r="X109" s="113">
        <v>84014</v>
      </c>
      <c r="Y109" s="113">
        <v>1808</v>
      </c>
      <c r="Z109" s="113">
        <v>0</v>
      </c>
      <c r="AA109" s="113">
        <v>85822</v>
      </c>
      <c r="AB109" s="113">
        <f t="shared" si="1"/>
        <v>17.274959742351047</v>
      </c>
    </row>
    <row r="110" spans="1:28" ht="15.75" thickBot="1" x14ac:dyDescent="0.3">
      <c r="A110" s="44" t="s">
        <v>1261</v>
      </c>
      <c r="B110" s="107" t="s">
        <v>1262</v>
      </c>
      <c r="C110" s="110" t="s">
        <v>798</v>
      </c>
      <c r="D110" s="110" t="s">
        <v>2095</v>
      </c>
      <c r="E110" s="111" t="s">
        <v>804</v>
      </c>
      <c r="F110" s="111" t="s">
        <v>805</v>
      </c>
      <c r="G110" s="112">
        <v>4101</v>
      </c>
      <c r="H110" s="112">
        <v>2539</v>
      </c>
      <c r="I110" s="113">
        <v>7042</v>
      </c>
      <c r="J110" s="113">
        <v>174274</v>
      </c>
      <c r="K110" s="113">
        <v>0</v>
      </c>
      <c r="L110" s="113">
        <v>0</v>
      </c>
      <c r="M110" s="113">
        <v>181316</v>
      </c>
      <c r="N110" s="113">
        <v>20643</v>
      </c>
      <c r="O110" s="116">
        <v>1562</v>
      </c>
      <c r="P110" s="113">
        <v>4724</v>
      </c>
      <c r="Q110" s="113">
        <v>0</v>
      </c>
      <c r="R110" s="113">
        <v>0</v>
      </c>
      <c r="S110" s="113">
        <v>0</v>
      </c>
      <c r="T110" s="113">
        <v>4724</v>
      </c>
      <c r="U110" s="113">
        <v>0</v>
      </c>
      <c r="V110" s="113">
        <v>186040</v>
      </c>
      <c r="W110" s="113">
        <v>20643</v>
      </c>
      <c r="X110" s="113">
        <v>206683</v>
      </c>
      <c r="Y110" s="113">
        <v>3142</v>
      </c>
      <c r="Z110" s="113">
        <v>0</v>
      </c>
      <c r="AA110" s="113">
        <v>209825</v>
      </c>
      <c r="AB110" s="113">
        <f t="shared" si="1"/>
        <v>51.164350158497925</v>
      </c>
    </row>
    <row r="111" spans="1:28" ht="15.75" thickBot="1" x14ac:dyDescent="0.3">
      <c r="A111" s="44" t="s">
        <v>1263</v>
      </c>
      <c r="B111" s="107" t="s">
        <v>1264</v>
      </c>
      <c r="C111" s="110" t="s">
        <v>798</v>
      </c>
      <c r="D111" s="110" t="s">
        <v>1898</v>
      </c>
      <c r="E111" s="111" t="s">
        <v>844</v>
      </c>
      <c r="F111" s="111" t="s">
        <v>845</v>
      </c>
      <c r="G111" s="112">
        <v>5241</v>
      </c>
      <c r="H111" s="112">
        <v>3638</v>
      </c>
      <c r="I111" s="113">
        <v>10880</v>
      </c>
      <c r="J111" s="113">
        <v>25046</v>
      </c>
      <c r="K111" s="114">
        <v>0</v>
      </c>
      <c r="L111" s="114">
        <v>0</v>
      </c>
      <c r="M111" s="113">
        <v>35926</v>
      </c>
      <c r="N111" s="113">
        <v>22977</v>
      </c>
      <c r="O111" s="116">
        <v>1603</v>
      </c>
      <c r="P111" s="113">
        <v>5599</v>
      </c>
      <c r="Q111" s="114">
        <v>0</v>
      </c>
      <c r="R111" s="114">
        <v>0</v>
      </c>
      <c r="S111" s="114">
        <v>0</v>
      </c>
      <c r="T111" s="113">
        <v>5599</v>
      </c>
      <c r="U111" s="114">
        <v>0</v>
      </c>
      <c r="V111" s="113">
        <v>41525</v>
      </c>
      <c r="W111" s="113">
        <v>22977</v>
      </c>
      <c r="X111" s="113">
        <v>64502</v>
      </c>
      <c r="Y111" s="113">
        <v>3843</v>
      </c>
      <c r="Z111" s="113">
        <v>0</v>
      </c>
      <c r="AA111" s="113">
        <v>68345</v>
      </c>
      <c r="AB111" s="113">
        <f t="shared" si="1"/>
        <v>13.040450295745087</v>
      </c>
    </row>
    <row r="112" spans="1:28" ht="15.75" thickBot="1" x14ac:dyDescent="0.3">
      <c r="A112" s="44" t="s">
        <v>1271</v>
      </c>
      <c r="B112" s="107" t="s">
        <v>1272</v>
      </c>
      <c r="C112" s="110" t="s">
        <v>798</v>
      </c>
      <c r="D112" s="110" t="s">
        <v>2064</v>
      </c>
      <c r="E112" s="111" t="s">
        <v>804</v>
      </c>
      <c r="F112" s="111" t="s">
        <v>805</v>
      </c>
      <c r="G112" s="112">
        <v>5160</v>
      </c>
      <c r="H112" s="112">
        <v>5160</v>
      </c>
      <c r="I112" s="113">
        <v>24800</v>
      </c>
      <c r="J112" s="113">
        <v>93050</v>
      </c>
      <c r="K112" s="114">
        <v>0</v>
      </c>
      <c r="L112" s="113">
        <v>2228</v>
      </c>
      <c r="M112" s="113">
        <v>120078</v>
      </c>
      <c r="N112" s="113">
        <v>15428</v>
      </c>
      <c r="O112" s="115">
        <v>0</v>
      </c>
      <c r="P112" s="113">
        <v>0</v>
      </c>
      <c r="Q112" s="113">
        <v>0</v>
      </c>
      <c r="R112" s="113">
        <v>0</v>
      </c>
      <c r="S112" s="113">
        <v>0</v>
      </c>
      <c r="T112" s="113">
        <v>0</v>
      </c>
      <c r="U112" s="113">
        <v>0</v>
      </c>
      <c r="V112" s="113">
        <v>120078</v>
      </c>
      <c r="W112" s="113">
        <v>15428</v>
      </c>
      <c r="X112" s="113">
        <v>135506</v>
      </c>
      <c r="Y112" s="113">
        <v>3954</v>
      </c>
      <c r="Z112" s="113">
        <v>0</v>
      </c>
      <c r="AA112" s="113">
        <v>139460</v>
      </c>
      <c r="AB112" s="113">
        <f t="shared" si="1"/>
        <v>27.027131782945737</v>
      </c>
    </row>
    <row r="113" spans="1:28" ht="15.75" thickBot="1" x14ac:dyDescent="0.3">
      <c r="A113" s="44" t="s">
        <v>1273</v>
      </c>
      <c r="B113" s="107" t="s">
        <v>1274</v>
      </c>
      <c r="C113" s="110" t="s">
        <v>798</v>
      </c>
      <c r="D113" s="110" t="s">
        <v>2267</v>
      </c>
      <c r="E113" s="111" t="s">
        <v>804</v>
      </c>
      <c r="F113" s="111" t="s">
        <v>805</v>
      </c>
      <c r="G113" s="112">
        <v>5841</v>
      </c>
      <c r="H113" s="112">
        <v>5841</v>
      </c>
      <c r="I113" s="113">
        <v>17303</v>
      </c>
      <c r="J113" s="114">
        <v>0</v>
      </c>
      <c r="K113" s="113">
        <v>108208</v>
      </c>
      <c r="L113" s="113">
        <v>0</v>
      </c>
      <c r="M113" s="113">
        <v>125511</v>
      </c>
      <c r="N113" s="113">
        <v>4453</v>
      </c>
      <c r="O113" s="115">
        <v>0</v>
      </c>
      <c r="P113" s="114">
        <v>0</v>
      </c>
      <c r="Q113" s="114">
        <v>0</v>
      </c>
      <c r="R113" s="114">
        <v>0</v>
      </c>
      <c r="S113" s="114">
        <v>0</v>
      </c>
      <c r="T113" s="114">
        <v>0</v>
      </c>
      <c r="U113" s="114">
        <v>0</v>
      </c>
      <c r="V113" s="113">
        <v>125511</v>
      </c>
      <c r="W113" s="113">
        <v>4453</v>
      </c>
      <c r="X113" s="113">
        <v>129964</v>
      </c>
      <c r="Y113" s="113">
        <v>2238</v>
      </c>
      <c r="Z113" s="113">
        <v>0</v>
      </c>
      <c r="AA113" s="113">
        <v>132202</v>
      </c>
      <c r="AB113" s="113">
        <f t="shared" si="1"/>
        <v>22.633453175826059</v>
      </c>
    </row>
    <row r="114" spans="1:28" ht="15.75" thickBot="1" x14ac:dyDescent="0.3">
      <c r="A114" s="44" t="s">
        <v>1279</v>
      </c>
      <c r="B114" s="107" t="s">
        <v>1280</v>
      </c>
      <c r="C114" s="110" t="s">
        <v>798</v>
      </c>
      <c r="D114" s="110" t="s">
        <v>2068</v>
      </c>
      <c r="E114" s="111" t="s">
        <v>844</v>
      </c>
      <c r="F114" s="111" t="s">
        <v>845</v>
      </c>
      <c r="G114" s="112">
        <v>4730</v>
      </c>
      <c r="H114" s="112">
        <v>2719</v>
      </c>
      <c r="I114" s="113">
        <v>12810</v>
      </c>
      <c r="J114" s="113">
        <v>102597</v>
      </c>
      <c r="K114" s="113">
        <v>3904</v>
      </c>
      <c r="L114" s="114">
        <v>0</v>
      </c>
      <c r="M114" s="113">
        <v>119311</v>
      </c>
      <c r="N114" s="114">
        <v>0</v>
      </c>
      <c r="O114" s="116">
        <v>2011</v>
      </c>
      <c r="P114" s="114">
        <v>0</v>
      </c>
      <c r="Q114" s="113">
        <v>400</v>
      </c>
      <c r="R114" s="113">
        <v>0</v>
      </c>
      <c r="S114" s="113">
        <v>0</v>
      </c>
      <c r="T114" s="113">
        <v>400</v>
      </c>
      <c r="U114" s="114">
        <v>0</v>
      </c>
      <c r="V114" s="113">
        <v>119711</v>
      </c>
      <c r="W114" s="114">
        <v>0</v>
      </c>
      <c r="X114" s="113">
        <v>119711</v>
      </c>
      <c r="Y114" s="113">
        <v>3904</v>
      </c>
      <c r="Z114" s="113">
        <v>0</v>
      </c>
      <c r="AA114" s="113">
        <v>123615</v>
      </c>
      <c r="AB114" s="113">
        <f t="shared" si="1"/>
        <v>26.134249471458773</v>
      </c>
    </row>
    <row r="115" spans="1:28" ht="15.75" thickBot="1" x14ac:dyDescent="0.3">
      <c r="A115" s="44" t="s">
        <v>1297</v>
      </c>
      <c r="B115" s="107" t="s">
        <v>1298</v>
      </c>
      <c r="C115" s="110" t="s">
        <v>798</v>
      </c>
      <c r="D115" s="110" t="s">
        <v>1898</v>
      </c>
      <c r="E115" s="111" t="s">
        <v>799</v>
      </c>
      <c r="F115" s="111" t="s">
        <v>800</v>
      </c>
      <c r="G115" s="112">
        <v>5072</v>
      </c>
      <c r="H115" s="112">
        <v>5072</v>
      </c>
      <c r="I115" s="113">
        <v>15170</v>
      </c>
      <c r="J115" s="113">
        <v>172393</v>
      </c>
      <c r="K115" s="114">
        <v>0</v>
      </c>
      <c r="L115" s="114">
        <v>0</v>
      </c>
      <c r="M115" s="113">
        <v>187563</v>
      </c>
      <c r="N115" s="113">
        <v>23452</v>
      </c>
      <c r="O115" s="115">
        <v>0</v>
      </c>
      <c r="P115" s="113">
        <v>0</v>
      </c>
      <c r="Q115" s="113">
        <v>0</v>
      </c>
      <c r="R115" s="113">
        <v>0</v>
      </c>
      <c r="S115" s="113">
        <v>0</v>
      </c>
      <c r="T115" s="113">
        <v>0</v>
      </c>
      <c r="U115" s="113">
        <v>0</v>
      </c>
      <c r="V115" s="113">
        <v>187563</v>
      </c>
      <c r="W115" s="113">
        <v>23452</v>
      </c>
      <c r="X115" s="113">
        <v>211015</v>
      </c>
      <c r="Y115" s="113">
        <v>3719</v>
      </c>
      <c r="Z115" s="113">
        <v>0</v>
      </c>
      <c r="AA115" s="113">
        <v>214734</v>
      </c>
      <c r="AB115" s="113">
        <f t="shared" si="1"/>
        <v>42.337145110410091</v>
      </c>
    </row>
    <row r="116" spans="1:28" ht="15.75" thickBot="1" x14ac:dyDescent="0.3">
      <c r="A116" s="44" t="s">
        <v>1299</v>
      </c>
      <c r="B116" s="107" t="s">
        <v>1300</v>
      </c>
      <c r="C116" s="110" t="s">
        <v>798</v>
      </c>
      <c r="D116" s="110" t="s">
        <v>1976</v>
      </c>
      <c r="E116" s="111" t="s">
        <v>804</v>
      </c>
      <c r="F116" s="111" t="s">
        <v>805</v>
      </c>
      <c r="G116" s="112">
        <v>6634</v>
      </c>
      <c r="H116" s="112">
        <v>4311</v>
      </c>
      <c r="I116" s="113">
        <v>23916</v>
      </c>
      <c r="J116" s="113">
        <v>217275</v>
      </c>
      <c r="K116" s="113">
        <v>0</v>
      </c>
      <c r="L116" s="113">
        <v>0</v>
      </c>
      <c r="M116" s="113">
        <v>241191</v>
      </c>
      <c r="N116" s="113">
        <v>55421</v>
      </c>
      <c r="O116" s="116">
        <v>2323</v>
      </c>
      <c r="P116" s="113">
        <v>12887</v>
      </c>
      <c r="Q116" s="114">
        <v>0</v>
      </c>
      <c r="R116" s="114">
        <v>0</v>
      </c>
      <c r="S116" s="114">
        <v>0</v>
      </c>
      <c r="T116" s="113">
        <v>12887</v>
      </c>
      <c r="U116" s="113">
        <v>1800</v>
      </c>
      <c r="V116" s="113">
        <v>254078</v>
      </c>
      <c r="W116" s="113">
        <v>57221</v>
      </c>
      <c r="X116" s="113">
        <v>311299</v>
      </c>
      <c r="Y116" s="113">
        <v>6823</v>
      </c>
      <c r="Z116" s="113">
        <v>0</v>
      </c>
      <c r="AA116" s="113">
        <v>318122</v>
      </c>
      <c r="AB116" s="113">
        <f t="shared" si="1"/>
        <v>47.953271028037385</v>
      </c>
    </row>
    <row r="117" spans="1:28" ht="15.75" thickBot="1" x14ac:dyDescent="0.3">
      <c r="A117" s="44" t="s">
        <v>1311</v>
      </c>
      <c r="B117" s="107" t="s">
        <v>1312</v>
      </c>
      <c r="C117" s="110" t="s">
        <v>798</v>
      </c>
      <c r="D117" s="110" t="s">
        <v>2001</v>
      </c>
      <c r="E117" s="111" t="s">
        <v>799</v>
      </c>
      <c r="F117" s="111" t="s">
        <v>800</v>
      </c>
      <c r="G117" s="112">
        <v>5302</v>
      </c>
      <c r="H117" s="112">
        <v>2386</v>
      </c>
      <c r="I117" s="113">
        <v>31411</v>
      </c>
      <c r="J117" s="113">
        <v>194245</v>
      </c>
      <c r="K117" s="114">
        <v>0</v>
      </c>
      <c r="L117" s="113">
        <v>71888</v>
      </c>
      <c r="M117" s="113">
        <v>297544</v>
      </c>
      <c r="N117" s="114">
        <v>0</v>
      </c>
      <c r="O117" s="116">
        <v>2916</v>
      </c>
      <c r="P117" s="113">
        <v>7626</v>
      </c>
      <c r="Q117" s="113">
        <v>75445</v>
      </c>
      <c r="R117" s="114">
        <v>0</v>
      </c>
      <c r="S117" s="113">
        <v>10000</v>
      </c>
      <c r="T117" s="113">
        <v>93071</v>
      </c>
      <c r="U117" s="114">
        <v>0</v>
      </c>
      <c r="V117" s="113">
        <v>390615</v>
      </c>
      <c r="W117" s="114">
        <v>0</v>
      </c>
      <c r="X117" s="113">
        <v>390615</v>
      </c>
      <c r="Y117" s="113">
        <v>3888</v>
      </c>
      <c r="Z117" s="113">
        <v>0</v>
      </c>
      <c r="AA117" s="113">
        <v>394503</v>
      </c>
      <c r="AB117" s="113">
        <f t="shared" si="1"/>
        <v>74.406450396076949</v>
      </c>
    </row>
    <row r="118" spans="1:28" ht="15.75" thickBot="1" x14ac:dyDescent="0.3">
      <c r="A118" s="44" t="s">
        <v>1313</v>
      </c>
      <c r="B118" s="107" t="s">
        <v>1314</v>
      </c>
      <c r="C118" s="110" t="s">
        <v>798</v>
      </c>
      <c r="D118" s="110" t="s">
        <v>2180</v>
      </c>
      <c r="E118" s="111" t="s">
        <v>799</v>
      </c>
      <c r="F118" s="111" t="s">
        <v>800</v>
      </c>
      <c r="G118" s="112">
        <v>6834</v>
      </c>
      <c r="H118" s="112">
        <v>6834</v>
      </c>
      <c r="I118" s="113">
        <v>22841</v>
      </c>
      <c r="J118" s="113">
        <v>213945</v>
      </c>
      <c r="K118" s="114">
        <v>0</v>
      </c>
      <c r="L118" s="113">
        <v>22522</v>
      </c>
      <c r="M118" s="113">
        <v>259308</v>
      </c>
      <c r="N118" s="113">
        <v>62080</v>
      </c>
      <c r="O118" s="115">
        <v>0</v>
      </c>
      <c r="P118" s="114">
        <v>0</v>
      </c>
      <c r="Q118" s="114">
        <v>0</v>
      </c>
      <c r="R118" s="114">
        <v>0</v>
      </c>
      <c r="S118" s="114">
        <v>0</v>
      </c>
      <c r="T118" s="114">
        <v>0</v>
      </c>
      <c r="U118" s="114">
        <v>0</v>
      </c>
      <c r="V118" s="113">
        <v>259308</v>
      </c>
      <c r="W118" s="113">
        <v>62080</v>
      </c>
      <c r="X118" s="113">
        <v>321388</v>
      </c>
      <c r="Y118" s="113">
        <v>5012</v>
      </c>
      <c r="Z118" s="113">
        <v>0</v>
      </c>
      <c r="AA118" s="113">
        <v>326400</v>
      </c>
      <c r="AB118" s="113">
        <f t="shared" si="1"/>
        <v>47.761194029850749</v>
      </c>
    </row>
    <row r="119" spans="1:28" ht="15.75" thickBot="1" x14ac:dyDescent="0.3">
      <c r="A119" s="44" t="s">
        <v>1317</v>
      </c>
      <c r="B119" s="107" t="s">
        <v>1318</v>
      </c>
      <c r="C119" s="110" t="s">
        <v>798</v>
      </c>
      <c r="D119" s="110" t="s">
        <v>2076</v>
      </c>
      <c r="E119" s="111" t="s">
        <v>804</v>
      </c>
      <c r="F119" s="111" t="s">
        <v>805</v>
      </c>
      <c r="G119" s="112">
        <v>4469</v>
      </c>
      <c r="H119" s="112">
        <v>3963</v>
      </c>
      <c r="I119" s="113">
        <v>10751</v>
      </c>
      <c r="J119" s="113">
        <v>99129</v>
      </c>
      <c r="K119" s="113">
        <v>0</v>
      </c>
      <c r="L119" s="113">
        <v>20139</v>
      </c>
      <c r="M119" s="113">
        <v>130019</v>
      </c>
      <c r="N119" s="113">
        <v>9713</v>
      </c>
      <c r="O119" s="116">
        <v>506</v>
      </c>
      <c r="P119" s="113">
        <v>1373</v>
      </c>
      <c r="Q119" s="113">
        <v>0</v>
      </c>
      <c r="R119" s="113">
        <v>0</v>
      </c>
      <c r="S119" s="113">
        <v>500</v>
      </c>
      <c r="T119" s="113">
        <v>1873</v>
      </c>
      <c r="U119" s="113">
        <v>0</v>
      </c>
      <c r="V119" s="113">
        <v>131892</v>
      </c>
      <c r="W119" s="113">
        <v>9713</v>
      </c>
      <c r="X119" s="113">
        <v>141605</v>
      </c>
      <c r="Y119" s="113">
        <v>3424</v>
      </c>
      <c r="Z119" s="113">
        <v>0</v>
      </c>
      <c r="AA119" s="113">
        <v>145029</v>
      </c>
      <c r="AB119" s="113">
        <f t="shared" si="1"/>
        <v>32.452226448869993</v>
      </c>
    </row>
    <row r="120" spans="1:28" ht="15.75" thickBot="1" x14ac:dyDescent="0.3">
      <c r="A120" s="44" t="s">
        <v>1325</v>
      </c>
      <c r="B120" s="107" t="s">
        <v>1326</v>
      </c>
      <c r="C120" s="110" t="s">
        <v>798</v>
      </c>
      <c r="D120" s="110" t="s">
        <v>2068</v>
      </c>
      <c r="E120" s="111" t="s">
        <v>804</v>
      </c>
      <c r="F120" s="111" t="s">
        <v>805</v>
      </c>
      <c r="G120" s="112">
        <v>6174</v>
      </c>
      <c r="H120" s="112">
        <v>3858</v>
      </c>
      <c r="I120" s="113">
        <v>16721</v>
      </c>
      <c r="J120" s="113">
        <v>200274</v>
      </c>
      <c r="K120" s="114">
        <v>0</v>
      </c>
      <c r="L120" s="113">
        <v>8999</v>
      </c>
      <c r="M120" s="113">
        <v>225994</v>
      </c>
      <c r="N120" s="113">
        <v>5810</v>
      </c>
      <c r="O120" s="116">
        <v>2316</v>
      </c>
      <c r="P120" s="113">
        <v>0</v>
      </c>
      <c r="Q120" s="114">
        <v>0</v>
      </c>
      <c r="R120" s="114">
        <v>0</v>
      </c>
      <c r="S120" s="113">
        <v>17602</v>
      </c>
      <c r="T120" s="113">
        <v>17602</v>
      </c>
      <c r="U120" s="114">
        <v>0</v>
      </c>
      <c r="V120" s="113">
        <v>243596</v>
      </c>
      <c r="W120" s="113">
        <v>5810</v>
      </c>
      <c r="X120" s="113">
        <v>249406</v>
      </c>
      <c r="Y120" s="113">
        <v>4731</v>
      </c>
      <c r="Z120" s="113">
        <v>0</v>
      </c>
      <c r="AA120" s="113">
        <v>254137</v>
      </c>
      <c r="AB120" s="113">
        <f t="shared" si="1"/>
        <v>41.162455458373827</v>
      </c>
    </row>
    <row r="121" spans="1:28" ht="15.75" thickBot="1" x14ac:dyDescent="0.3">
      <c r="A121" s="44" t="s">
        <v>1345</v>
      </c>
      <c r="B121" s="107" t="s">
        <v>1346</v>
      </c>
      <c r="C121" s="110" t="s">
        <v>798</v>
      </c>
      <c r="D121" s="110" t="s">
        <v>1980</v>
      </c>
      <c r="E121" s="111" t="s">
        <v>804</v>
      </c>
      <c r="F121" s="111" t="s">
        <v>805</v>
      </c>
      <c r="G121" s="112">
        <v>5305</v>
      </c>
      <c r="H121" s="112">
        <v>5305</v>
      </c>
      <c r="I121" s="113">
        <v>22780</v>
      </c>
      <c r="J121" s="113">
        <v>105509</v>
      </c>
      <c r="K121" s="114">
        <v>0</v>
      </c>
      <c r="L121" s="113">
        <v>9166</v>
      </c>
      <c r="M121" s="113">
        <v>137455</v>
      </c>
      <c r="N121" s="113">
        <v>2434</v>
      </c>
      <c r="O121" s="115">
        <v>0</v>
      </c>
      <c r="P121" s="114">
        <v>0</v>
      </c>
      <c r="Q121" s="114">
        <v>0</v>
      </c>
      <c r="R121" s="114">
        <v>0</v>
      </c>
      <c r="S121" s="114">
        <v>0</v>
      </c>
      <c r="T121" s="114">
        <v>0</v>
      </c>
      <c r="U121" s="114">
        <v>0</v>
      </c>
      <c r="V121" s="113">
        <v>137455</v>
      </c>
      <c r="W121" s="113">
        <v>2434</v>
      </c>
      <c r="X121" s="113">
        <v>139889</v>
      </c>
      <c r="Y121" s="113">
        <v>10201</v>
      </c>
      <c r="Z121" s="113">
        <v>0</v>
      </c>
      <c r="AA121" s="113">
        <v>150090</v>
      </c>
      <c r="AB121" s="113">
        <f t="shared" si="1"/>
        <v>28.292177191328935</v>
      </c>
    </row>
    <row r="122" spans="1:28" ht="15.75" thickBot="1" x14ac:dyDescent="0.3">
      <c r="A122" s="44" t="s">
        <v>1351</v>
      </c>
      <c r="B122" s="107" t="s">
        <v>1352</v>
      </c>
      <c r="C122" s="110" t="s">
        <v>798</v>
      </c>
      <c r="D122" s="110" t="s">
        <v>2047</v>
      </c>
      <c r="E122" s="111" t="s">
        <v>844</v>
      </c>
      <c r="F122" s="111" t="s">
        <v>845</v>
      </c>
      <c r="G122" s="112">
        <v>6341</v>
      </c>
      <c r="H122" s="112">
        <v>2229</v>
      </c>
      <c r="I122" s="113">
        <v>24477</v>
      </c>
      <c r="J122" s="113">
        <v>128922</v>
      </c>
      <c r="K122" s="113">
        <v>0</v>
      </c>
      <c r="L122" s="113">
        <v>36078</v>
      </c>
      <c r="M122" s="113">
        <v>189477</v>
      </c>
      <c r="N122" s="113">
        <v>14000</v>
      </c>
      <c r="O122" s="116">
        <v>4112</v>
      </c>
      <c r="P122" s="113">
        <v>3063</v>
      </c>
      <c r="Q122" s="113">
        <v>0</v>
      </c>
      <c r="R122" s="113">
        <v>0</v>
      </c>
      <c r="S122" s="113">
        <v>0</v>
      </c>
      <c r="T122" s="113">
        <v>3063</v>
      </c>
      <c r="U122" s="113">
        <v>0</v>
      </c>
      <c r="V122" s="113">
        <v>192540</v>
      </c>
      <c r="W122" s="113">
        <v>14000</v>
      </c>
      <c r="X122" s="113">
        <v>206540</v>
      </c>
      <c r="Y122" s="113">
        <v>5082</v>
      </c>
      <c r="Z122" s="113">
        <v>0</v>
      </c>
      <c r="AA122" s="113">
        <v>211622</v>
      </c>
      <c r="AB122" s="113">
        <f t="shared" si="1"/>
        <v>33.373600378489201</v>
      </c>
    </row>
    <row r="123" spans="1:28" ht="15.75" thickBot="1" x14ac:dyDescent="0.3">
      <c r="A123" s="44" t="s">
        <v>1357</v>
      </c>
      <c r="B123" s="107" t="s">
        <v>1358</v>
      </c>
      <c r="C123" s="110" t="s">
        <v>798</v>
      </c>
      <c r="D123" s="110" t="s">
        <v>2277</v>
      </c>
      <c r="E123" s="111" t="s">
        <v>804</v>
      </c>
      <c r="F123" s="111" t="s">
        <v>805</v>
      </c>
      <c r="G123" s="112">
        <v>5433</v>
      </c>
      <c r="H123" s="112">
        <v>5433</v>
      </c>
      <c r="I123" s="113">
        <v>12424</v>
      </c>
      <c r="J123" s="113">
        <v>0</v>
      </c>
      <c r="K123" s="113">
        <v>0</v>
      </c>
      <c r="L123" s="113">
        <v>0</v>
      </c>
      <c r="M123" s="113">
        <v>12424</v>
      </c>
      <c r="N123" s="113">
        <v>20242</v>
      </c>
      <c r="O123" s="115">
        <v>0</v>
      </c>
      <c r="P123" s="114">
        <v>0</v>
      </c>
      <c r="Q123" s="114">
        <v>0</v>
      </c>
      <c r="R123" s="114">
        <v>0</v>
      </c>
      <c r="S123" s="113">
        <v>191208</v>
      </c>
      <c r="T123" s="113">
        <v>191208</v>
      </c>
      <c r="U123" s="114">
        <v>0</v>
      </c>
      <c r="V123" s="113">
        <v>203632</v>
      </c>
      <c r="W123" s="113">
        <v>20242</v>
      </c>
      <c r="X123" s="113">
        <v>223874</v>
      </c>
      <c r="Y123" s="113">
        <v>4163</v>
      </c>
      <c r="Z123" s="113">
        <v>0</v>
      </c>
      <c r="AA123" s="113">
        <v>228037</v>
      </c>
      <c r="AB123" s="113">
        <f t="shared" si="1"/>
        <v>41.972575004601509</v>
      </c>
    </row>
    <row r="124" spans="1:28" ht="15.75" thickBot="1" x14ac:dyDescent="0.3">
      <c r="A124" s="44" t="s">
        <v>1367</v>
      </c>
      <c r="B124" s="107" t="s">
        <v>1368</v>
      </c>
      <c r="C124" s="110" t="s">
        <v>798</v>
      </c>
      <c r="D124" s="110" t="s">
        <v>1970</v>
      </c>
      <c r="E124" s="111" t="s">
        <v>804</v>
      </c>
      <c r="F124" s="111" t="s">
        <v>805</v>
      </c>
      <c r="G124" s="112">
        <v>6654</v>
      </c>
      <c r="H124" s="112">
        <v>2824</v>
      </c>
      <c r="I124" s="113">
        <v>8889</v>
      </c>
      <c r="J124" s="113">
        <v>260076</v>
      </c>
      <c r="K124" s="114">
        <v>0</v>
      </c>
      <c r="L124" s="114">
        <v>0</v>
      </c>
      <c r="M124" s="113">
        <v>268965</v>
      </c>
      <c r="N124" s="113">
        <v>29105</v>
      </c>
      <c r="O124" s="116">
        <v>3830</v>
      </c>
      <c r="P124" s="113">
        <v>11784</v>
      </c>
      <c r="Q124" s="113">
        <v>0</v>
      </c>
      <c r="R124" s="114">
        <v>0</v>
      </c>
      <c r="S124" s="113">
        <v>54181</v>
      </c>
      <c r="T124" s="113">
        <v>65965</v>
      </c>
      <c r="U124" s="114">
        <v>0</v>
      </c>
      <c r="V124" s="113">
        <v>334930</v>
      </c>
      <c r="W124" s="113">
        <v>29105</v>
      </c>
      <c r="X124" s="113">
        <v>364035</v>
      </c>
      <c r="Y124" s="113">
        <v>5098</v>
      </c>
      <c r="Z124" s="113">
        <v>0</v>
      </c>
      <c r="AA124" s="113">
        <v>369133</v>
      </c>
      <c r="AB124" s="113">
        <f t="shared" si="1"/>
        <v>55.475353171024949</v>
      </c>
    </row>
    <row r="125" spans="1:28" ht="15.75" thickBot="1" x14ac:dyDescent="0.3">
      <c r="A125" s="44" t="s">
        <v>1371</v>
      </c>
      <c r="B125" s="107" t="s">
        <v>1372</v>
      </c>
      <c r="C125" s="110" t="s">
        <v>798</v>
      </c>
      <c r="D125" s="110" t="s">
        <v>2076</v>
      </c>
      <c r="E125" s="111" t="s">
        <v>804</v>
      </c>
      <c r="F125" s="111" t="s">
        <v>805</v>
      </c>
      <c r="G125" s="112">
        <v>4105</v>
      </c>
      <c r="H125" s="112">
        <v>1603</v>
      </c>
      <c r="I125" s="113">
        <v>5264</v>
      </c>
      <c r="J125" s="113">
        <v>42093</v>
      </c>
      <c r="K125" s="113">
        <v>0</v>
      </c>
      <c r="L125" s="113">
        <v>7400</v>
      </c>
      <c r="M125" s="113">
        <v>54757</v>
      </c>
      <c r="N125" s="113">
        <v>1616</v>
      </c>
      <c r="O125" s="116">
        <v>2502</v>
      </c>
      <c r="P125" s="113">
        <v>8215</v>
      </c>
      <c r="Q125" s="114">
        <v>0</v>
      </c>
      <c r="R125" s="114">
        <v>0</v>
      </c>
      <c r="S125" s="113">
        <v>6000</v>
      </c>
      <c r="T125" s="113">
        <v>14215</v>
      </c>
      <c r="U125" s="114">
        <v>0</v>
      </c>
      <c r="V125" s="113">
        <v>68972</v>
      </c>
      <c r="W125" s="113">
        <v>1616</v>
      </c>
      <c r="X125" s="113">
        <v>70588</v>
      </c>
      <c r="Y125" s="113">
        <v>1516</v>
      </c>
      <c r="Z125" s="113">
        <v>0</v>
      </c>
      <c r="AA125" s="113">
        <v>72104</v>
      </c>
      <c r="AB125" s="113">
        <f t="shared" si="1"/>
        <v>17.56492082825822</v>
      </c>
    </row>
    <row r="126" spans="1:28" ht="15.75" thickBot="1" x14ac:dyDescent="0.3">
      <c r="A126" s="44" t="s">
        <v>1377</v>
      </c>
      <c r="B126" s="107" t="s">
        <v>1378</v>
      </c>
      <c r="C126" s="110" t="s">
        <v>798</v>
      </c>
      <c r="D126" s="110" t="s">
        <v>1970</v>
      </c>
      <c r="E126" s="111" t="s">
        <v>844</v>
      </c>
      <c r="F126" s="111" t="s">
        <v>845</v>
      </c>
      <c r="G126" s="112">
        <v>5033</v>
      </c>
      <c r="H126" s="112">
        <v>1424</v>
      </c>
      <c r="I126" s="113">
        <v>6894</v>
      </c>
      <c r="J126" s="113">
        <v>88500</v>
      </c>
      <c r="K126" s="114">
        <v>0</v>
      </c>
      <c r="L126" s="114">
        <v>0</v>
      </c>
      <c r="M126" s="113">
        <v>95394</v>
      </c>
      <c r="N126" s="114">
        <v>0</v>
      </c>
      <c r="O126" s="116">
        <v>3609</v>
      </c>
      <c r="P126" s="113">
        <v>17467</v>
      </c>
      <c r="Q126" s="114">
        <v>0</v>
      </c>
      <c r="R126" s="114">
        <v>0</v>
      </c>
      <c r="S126" s="114">
        <v>0</v>
      </c>
      <c r="T126" s="113">
        <v>17467</v>
      </c>
      <c r="U126" s="114">
        <v>0</v>
      </c>
      <c r="V126" s="113">
        <v>112861</v>
      </c>
      <c r="W126" s="114">
        <v>0</v>
      </c>
      <c r="X126" s="113">
        <v>112861</v>
      </c>
      <c r="Y126" s="113">
        <v>3000</v>
      </c>
      <c r="Z126" s="113">
        <v>0</v>
      </c>
      <c r="AA126" s="113">
        <v>115861</v>
      </c>
      <c r="AB126" s="113">
        <f t="shared" si="1"/>
        <v>23.020266242797536</v>
      </c>
    </row>
    <row r="127" spans="1:28" ht="15.75" thickBot="1" x14ac:dyDescent="0.3">
      <c r="A127" s="44" t="s">
        <v>1385</v>
      </c>
      <c r="B127" s="107" t="s">
        <v>1386</v>
      </c>
      <c r="C127" s="110" t="s">
        <v>798</v>
      </c>
      <c r="D127" s="110" t="s">
        <v>1999</v>
      </c>
      <c r="E127" s="111" t="s">
        <v>804</v>
      </c>
      <c r="F127" s="111" t="s">
        <v>805</v>
      </c>
      <c r="G127" s="112">
        <v>5413</v>
      </c>
      <c r="H127" s="112">
        <v>5413</v>
      </c>
      <c r="I127" s="113">
        <v>12116</v>
      </c>
      <c r="J127" s="113">
        <v>71557</v>
      </c>
      <c r="K127" s="113">
        <v>0</v>
      </c>
      <c r="L127" s="113">
        <v>6339</v>
      </c>
      <c r="M127" s="113">
        <v>90012</v>
      </c>
      <c r="N127" s="113">
        <v>23928</v>
      </c>
      <c r="O127" s="115">
        <v>0</v>
      </c>
      <c r="P127" s="113">
        <v>0</v>
      </c>
      <c r="Q127" s="113">
        <v>0</v>
      </c>
      <c r="R127" s="113">
        <v>0</v>
      </c>
      <c r="S127" s="113">
        <v>0</v>
      </c>
      <c r="T127" s="113">
        <v>0</v>
      </c>
      <c r="U127" s="113">
        <v>0</v>
      </c>
      <c r="V127" s="113">
        <v>90012</v>
      </c>
      <c r="W127" s="113">
        <v>23928</v>
      </c>
      <c r="X127" s="113">
        <v>113940</v>
      </c>
      <c r="Y127" s="113">
        <v>6339</v>
      </c>
      <c r="Z127" s="113">
        <v>0</v>
      </c>
      <c r="AA127" s="113">
        <v>120279</v>
      </c>
      <c r="AB127" s="113">
        <f t="shared" si="1"/>
        <v>22.220395344540918</v>
      </c>
    </row>
    <row r="128" spans="1:28" ht="15.75" thickBot="1" x14ac:dyDescent="0.3">
      <c r="A128" s="44" t="s">
        <v>1391</v>
      </c>
      <c r="B128" s="107" t="s">
        <v>1392</v>
      </c>
      <c r="C128" s="110" t="s">
        <v>798</v>
      </c>
      <c r="D128" s="110" t="s">
        <v>2205</v>
      </c>
      <c r="E128" s="111" t="s">
        <v>844</v>
      </c>
      <c r="F128" s="111" t="s">
        <v>845</v>
      </c>
      <c r="G128" s="112">
        <v>6847</v>
      </c>
      <c r="H128" s="112">
        <v>5064</v>
      </c>
      <c r="I128" s="113">
        <v>3083</v>
      </c>
      <c r="J128" s="113">
        <v>111283</v>
      </c>
      <c r="K128" s="114">
        <v>0</v>
      </c>
      <c r="L128" s="114">
        <v>0</v>
      </c>
      <c r="M128" s="113">
        <v>114366</v>
      </c>
      <c r="N128" s="113">
        <v>23692</v>
      </c>
      <c r="O128" s="116">
        <v>1783</v>
      </c>
      <c r="P128" s="113">
        <v>1085</v>
      </c>
      <c r="Q128" s="114">
        <v>0</v>
      </c>
      <c r="R128" s="114">
        <v>0</v>
      </c>
      <c r="S128" s="114">
        <v>0</v>
      </c>
      <c r="T128" s="113">
        <v>1085</v>
      </c>
      <c r="U128" s="114">
        <v>0</v>
      </c>
      <c r="V128" s="113">
        <v>115451</v>
      </c>
      <c r="W128" s="113">
        <v>23692</v>
      </c>
      <c r="X128" s="113">
        <v>139143</v>
      </c>
      <c r="Y128" s="113">
        <v>5021</v>
      </c>
      <c r="Z128" s="113">
        <v>0</v>
      </c>
      <c r="AA128" s="113">
        <v>144164</v>
      </c>
      <c r="AB128" s="113">
        <f t="shared" si="1"/>
        <v>21.055060610486343</v>
      </c>
    </row>
    <row r="129" spans="1:28" ht="15.75" thickBot="1" x14ac:dyDescent="0.3">
      <c r="A129" s="44" t="s">
        <v>1393</v>
      </c>
      <c r="B129" s="107" t="s">
        <v>1394</v>
      </c>
      <c r="C129" s="110" t="s">
        <v>798</v>
      </c>
      <c r="D129" s="110" t="s">
        <v>2043</v>
      </c>
      <c r="E129" s="111" t="s">
        <v>844</v>
      </c>
      <c r="F129" s="111" t="s">
        <v>845</v>
      </c>
      <c r="G129" s="112">
        <v>6240</v>
      </c>
      <c r="H129" s="112">
        <v>4144</v>
      </c>
      <c r="I129" s="113">
        <v>11881</v>
      </c>
      <c r="J129" s="113">
        <v>112337</v>
      </c>
      <c r="K129" s="113">
        <v>0</v>
      </c>
      <c r="L129" s="113">
        <v>0</v>
      </c>
      <c r="M129" s="113">
        <v>124218</v>
      </c>
      <c r="N129" s="113">
        <v>84592</v>
      </c>
      <c r="O129" s="116">
        <v>2096</v>
      </c>
      <c r="P129" s="113">
        <v>6009</v>
      </c>
      <c r="Q129" s="113">
        <v>0</v>
      </c>
      <c r="R129" s="113">
        <v>0</v>
      </c>
      <c r="S129" s="113">
        <v>4500</v>
      </c>
      <c r="T129" s="113">
        <v>10509</v>
      </c>
      <c r="U129" s="113">
        <v>0</v>
      </c>
      <c r="V129" s="113">
        <v>134727</v>
      </c>
      <c r="W129" s="113">
        <v>84592</v>
      </c>
      <c r="X129" s="113">
        <v>219319</v>
      </c>
      <c r="Y129" s="113">
        <v>4576</v>
      </c>
      <c r="Z129" s="113">
        <v>0</v>
      </c>
      <c r="AA129" s="113">
        <v>223895</v>
      </c>
      <c r="AB129" s="113">
        <f t="shared" si="1"/>
        <v>35.880608974358971</v>
      </c>
    </row>
    <row r="130" spans="1:28" ht="15.75" thickBot="1" x14ac:dyDescent="0.3">
      <c r="A130" s="44" t="s">
        <v>1399</v>
      </c>
      <c r="B130" s="107" t="s">
        <v>1400</v>
      </c>
      <c r="C130" s="110" t="s">
        <v>798</v>
      </c>
      <c r="D130" s="110" t="s">
        <v>2076</v>
      </c>
      <c r="E130" s="111" t="s">
        <v>804</v>
      </c>
      <c r="F130" s="111" t="s">
        <v>805</v>
      </c>
      <c r="G130" s="112">
        <v>5376</v>
      </c>
      <c r="H130" s="112">
        <v>2843</v>
      </c>
      <c r="I130" s="113">
        <v>9336</v>
      </c>
      <c r="J130" s="113">
        <v>79090</v>
      </c>
      <c r="K130" s="113">
        <v>0</v>
      </c>
      <c r="L130" s="113">
        <v>0</v>
      </c>
      <c r="M130" s="113">
        <v>88426</v>
      </c>
      <c r="N130" s="113">
        <v>8818</v>
      </c>
      <c r="O130" s="116">
        <v>2533</v>
      </c>
      <c r="P130" s="113">
        <v>8319</v>
      </c>
      <c r="Q130" s="113">
        <v>0</v>
      </c>
      <c r="R130" s="113">
        <v>0</v>
      </c>
      <c r="S130" s="113">
        <v>3000</v>
      </c>
      <c r="T130" s="113">
        <v>11319</v>
      </c>
      <c r="U130" s="113">
        <v>0</v>
      </c>
      <c r="V130" s="113">
        <v>99745</v>
      </c>
      <c r="W130" s="113">
        <v>8818</v>
      </c>
      <c r="X130" s="113">
        <v>108563</v>
      </c>
      <c r="Y130" s="113">
        <v>4119</v>
      </c>
      <c r="Z130" s="113">
        <v>0</v>
      </c>
      <c r="AA130" s="113">
        <v>112682</v>
      </c>
      <c r="AB130" s="113">
        <f t="shared" si="1"/>
        <v>20.960193452380953</v>
      </c>
    </row>
    <row r="131" spans="1:28" ht="15.75" thickBot="1" x14ac:dyDescent="0.3">
      <c r="A131" s="44" t="s">
        <v>1405</v>
      </c>
      <c r="B131" s="107" t="s">
        <v>1406</v>
      </c>
      <c r="C131" s="110" t="s">
        <v>798</v>
      </c>
      <c r="D131" s="110" t="s">
        <v>2064</v>
      </c>
      <c r="E131" s="111" t="s">
        <v>799</v>
      </c>
      <c r="F131" s="111" t="s">
        <v>800</v>
      </c>
      <c r="G131" s="112">
        <v>5523</v>
      </c>
      <c r="H131" s="112">
        <v>5523</v>
      </c>
      <c r="I131" s="113">
        <v>21986</v>
      </c>
      <c r="J131" s="113">
        <v>241998</v>
      </c>
      <c r="K131" s="114">
        <v>0</v>
      </c>
      <c r="L131" s="114">
        <v>0</v>
      </c>
      <c r="M131" s="113">
        <v>263984</v>
      </c>
      <c r="N131" s="113">
        <v>6600</v>
      </c>
      <c r="O131" s="115">
        <v>0</v>
      </c>
      <c r="P131" s="114">
        <v>0</v>
      </c>
      <c r="Q131" s="114">
        <v>0</v>
      </c>
      <c r="R131" s="114">
        <v>0</v>
      </c>
      <c r="S131" s="114">
        <v>0</v>
      </c>
      <c r="T131" s="114">
        <v>0</v>
      </c>
      <c r="U131" s="114">
        <v>0</v>
      </c>
      <c r="V131" s="113">
        <v>263984</v>
      </c>
      <c r="W131" s="113">
        <v>6600</v>
      </c>
      <c r="X131" s="113">
        <v>270584</v>
      </c>
      <c r="Y131" s="113">
        <v>4050</v>
      </c>
      <c r="Z131" s="113">
        <v>0</v>
      </c>
      <c r="AA131" s="113">
        <v>274634</v>
      </c>
      <c r="AB131" s="113">
        <f t="shared" si="1"/>
        <v>49.725511497374612</v>
      </c>
    </row>
    <row r="132" spans="1:28" ht="15.75" thickBot="1" x14ac:dyDescent="0.3">
      <c r="A132" s="44" t="s">
        <v>1417</v>
      </c>
      <c r="B132" s="107" t="s">
        <v>1418</v>
      </c>
      <c r="C132" s="110" t="s">
        <v>798</v>
      </c>
      <c r="D132" s="110" t="s">
        <v>2043</v>
      </c>
      <c r="E132" s="111" t="s">
        <v>885</v>
      </c>
      <c r="F132" s="111" t="s">
        <v>886</v>
      </c>
      <c r="G132" s="112">
        <v>4659</v>
      </c>
      <c r="H132" s="112">
        <v>4659</v>
      </c>
      <c r="I132" s="113">
        <v>11449</v>
      </c>
      <c r="J132" s="113">
        <v>123563</v>
      </c>
      <c r="K132" s="113">
        <v>0</v>
      </c>
      <c r="L132" s="113">
        <v>0</v>
      </c>
      <c r="M132" s="113">
        <v>135012</v>
      </c>
      <c r="N132" s="113">
        <v>18684</v>
      </c>
      <c r="O132" s="115">
        <v>0</v>
      </c>
      <c r="P132" s="114">
        <v>0</v>
      </c>
      <c r="Q132" s="114">
        <v>0</v>
      </c>
      <c r="R132" s="114">
        <v>0</v>
      </c>
      <c r="S132" s="114">
        <v>0</v>
      </c>
      <c r="T132" s="114">
        <v>0</v>
      </c>
      <c r="U132" s="114">
        <v>0</v>
      </c>
      <c r="V132" s="113">
        <v>135012</v>
      </c>
      <c r="W132" s="113">
        <v>18684</v>
      </c>
      <c r="X132" s="113">
        <v>153696</v>
      </c>
      <c r="Y132" s="113">
        <v>3734</v>
      </c>
      <c r="Z132" s="113">
        <v>0</v>
      </c>
      <c r="AA132" s="113">
        <v>157430</v>
      </c>
      <c r="AB132" s="113">
        <f t="shared" ref="AB132:AB195" si="2">AA132/G132</f>
        <v>33.79051298561923</v>
      </c>
    </row>
    <row r="133" spans="1:28" ht="15.75" thickBot="1" x14ac:dyDescent="0.3">
      <c r="A133" s="44" t="s">
        <v>1429</v>
      </c>
      <c r="B133" s="107" t="s">
        <v>1430</v>
      </c>
      <c r="C133" s="110" t="s">
        <v>798</v>
      </c>
      <c r="D133" s="110" t="s">
        <v>2415</v>
      </c>
      <c r="E133" s="111" t="s">
        <v>885</v>
      </c>
      <c r="F133" s="111" t="s">
        <v>886</v>
      </c>
      <c r="G133" s="112">
        <v>6295</v>
      </c>
      <c r="H133" s="112">
        <v>6295</v>
      </c>
      <c r="I133" s="113">
        <v>50038</v>
      </c>
      <c r="J133" s="113">
        <v>373559</v>
      </c>
      <c r="K133" s="114">
        <v>0</v>
      </c>
      <c r="L133" s="114">
        <v>0</v>
      </c>
      <c r="M133" s="113">
        <v>423597</v>
      </c>
      <c r="N133" s="113">
        <v>11811</v>
      </c>
      <c r="O133" s="115">
        <v>0</v>
      </c>
      <c r="P133" s="114">
        <v>0</v>
      </c>
      <c r="Q133" s="114">
        <v>0</v>
      </c>
      <c r="R133" s="114">
        <v>0</v>
      </c>
      <c r="S133" s="114">
        <v>0</v>
      </c>
      <c r="T133" s="114">
        <v>0</v>
      </c>
      <c r="U133" s="114">
        <v>0</v>
      </c>
      <c r="V133" s="113">
        <v>423597</v>
      </c>
      <c r="W133" s="113">
        <v>11811</v>
      </c>
      <c r="X133" s="113">
        <v>435408</v>
      </c>
      <c r="Y133" s="113">
        <v>6000</v>
      </c>
      <c r="Z133" s="113">
        <v>0</v>
      </c>
      <c r="AA133" s="113">
        <v>441408</v>
      </c>
      <c r="AB133" s="113">
        <f t="shared" si="2"/>
        <v>70.120413026211281</v>
      </c>
    </row>
    <row r="134" spans="1:28" ht="15.75" thickBot="1" x14ac:dyDescent="0.3">
      <c r="A134" s="44" t="s">
        <v>1443</v>
      </c>
      <c r="B134" s="107" t="s">
        <v>1444</v>
      </c>
      <c r="C134" s="110" t="s">
        <v>798</v>
      </c>
      <c r="D134" s="110" t="s">
        <v>2507</v>
      </c>
      <c r="E134" s="111" t="s">
        <v>799</v>
      </c>
      <c r="F134" s="111" t="s">
        <v>800</v>
      </c>
      <c r="G134" s="112">
        <v>4434</v>
      </c>
      <c r="H134" s="112">
        <v>2452</v>
      </c>
      <c r="I134" s="113">
        <v>74092</v>
      </c>
      <c r="J134" s="113">
        <v>67748</v>
      </c>
      <c r="K134" s="114">
        <v>0</v>
      </c>
      <c r="L134" s="114">
        <v>0</v>
      </c>
      <c r="M134" s="113">
        <v>141840</v>
      </c>
      <c r="N134" s="114">
        <v>0</v>
      </c>
      <c r="O134" s="116">
        <v>1982</v>
      </c>
      <c r="P134" s="113">
        <v>37142</v>
      </c>
      <c r="Q134" s="113">
        <v>50083</v>
      </c>
      <c r="R134" s="114">
        <v>0</v>
      </c>
      <c r="S134" s="114">
        <v>0</v>
      </c>
      <c r="T134" s="113">
        <v>87225</v>
      </c>
      <c r="U134" s="114">
        <v>0</v>
      </c>
      <c r="V134" s="113">
        <v>229065</v>
      </c>
      <c r="W134" s="114">
        <v>0</v>
      </c>
      <c r="X134" s="113">
        <v>229065</v>
      </c>
      <c r="Y134" s="113">
        <v>3251</v>
      </c>
      <c r="Z134" s="113">
        <v>0</v>
      </c>
      <c r="AA134" s="113">
        <v>232316</v>
      </c>
      <c r="AB134" s="113">
        <f t="shared" si="2"/>
        <v>52.394226432115474</v>
      </c>
    </row>
    <row r="135" spans="1:28" ht="15.75" thickBot="1" x14ac:dyDescent="0.3">
      <c r="A135" s="44" t="s">
        <v>1453</v>
      </c>
      <c r="B135" s="107" t="s">
        <v>1454</v>
      </c>
      <c r="C135" s="110" t="s">
        <v>798</v>
      </c>
      <c r="D135" s="110" t="s">
        <v>1898</v>
      </c>
      <c r="E135" s="111" t="s">
        <v>799</v>
      </c>
      <c r="F135" s="111" t="s">
        <v>800</v>
      </c>
      <c r="G135" s="112">
        <v>4375</v>
      </c>
      <c r="H135" s="112">
        <v>4122</v>
      </c>
      <c r="I135" s="113">
        <v>12328</v>
      </c>
      <c r="J135" s="113">
        <v>136915</v>
      </c>
      <c r="K135" s="113">
        <v>0</v>
      </c>
      <c r="L135" s="113">
        <v>0</v>
      </c>
      <c r="M135" s="113">
        <v>149243</v>
      </c>
      <c r="N135" s="113">
        <v>11735</v>
      </c>
      <c r="O135" s="116">
        <v>253</v>
      </c>
      <c r="P135" s="113">
        <v>757</v>
      </c>
      <c r="Q135" s="113">
        <v>3818</v>
      </c>
      <c r="R135" s="113">
        <v>0</v>
      </c>
      <c r="S135" s="113">
        <v>0</v>
      </c>
      <c r="T135" s="113">
        <v>4575</v>
      </c>
      <c r="U135" s="113">
        <v>0</v>
      </c>
      <c r="V135" s="113">
        <v>153818</v>
      </c>
      <c r="W135" s="113">
        <v>11735</v>
      </c>
      <c r="X135" s="113">
        <v>165553</v>
      </c>
      <c r="Y135" s="113">
        <v>3208</v>
      </c>
      <c r="Z135" s="113">
        <v>0</v>
      </c>
      <c r="AA135" s="113">
        <v>168761</v>
      </c>
      <c r="AB135" s="113">
        <f t="shared" si="2"/>
        <v>38.57394285714286</v>
      </c>
    </row>
    <row r="136" spans="1:28" ht="15.75" thickBot="1" x14ac:dyDescent="0.3">
      <c r="A136" s="44" t="s">
        <v>1457</v>
      </c>
      <c r="B136" s="107" t="s">
        <v>1458</v>
      </c>
      <c r="C136" s="110" t="s">
        <v>798</v>
      </c>
      <c r="D136" s="110" t="s">
        <v>1919</v>
      </c>
      <c r="E136" s="111" t="s">
        <v>804</v>
      </c>
      <c r="F136" s="111" t="s">
        <v>805</v>
      </c>
      <c r="G136" s="112">
        <v>5101</v>
      </c>
      <c r="H136" s="112">
        <v>5101</v>
      </c>
      <c r="I136" s="113">
        <v>30173</v>
      </c>
      <c r="J136" s="113">
        <v>248038</v>
      </c>
      <c r="K136" s="114">
        <v>0</v>
      </c>
      <c r="L136" s="113">
        <v>17739</v>
      </c>
      <c r="M136" s="113">
        <v>295950</v>
      </c>
      <c r="N136" s="113">
        <v>22098</v>
      </c>
      <c r="O136" s="115">
        <v>0</v>
      </c>
      <c r="P136" s="113">
        <v>0</v>
      </c>
      <c r="Q136" s="113">
        <v>0</v>
      </c>
      <c r="R136" s="113">
        <v>0</v>
      </c>
      <c r="S136" s="113">
        <v>0</v>
      </c>
      <c r="T136" s="113">
        <v>0</v>
      </c>
      <c r="U136" s="113">
        <v>0</v>
      </c>
      <c r="V136" s="113">
        <v>295950</v>
      </c>
      <c r="W136" s="113">
        <v>22098</v>
      </c>
      <c r="X136" s="113">
        <v>318048</v>
      </c>
      <c r="Y136" s="113">
        <v>4088</v>
      </c>
      <c r="Z136" s="113">
        <v>0</v>
      </c>
      <c r="AA136" s="113">
        <v>322136</v>
      </c>
      <c r="AB136" s="113">
        <f t="shared" si="2"/>
        <v>63.151538913938445</v>
      </c>
    </row>
    <row r="137" spans="1:28" ht="15.75" thickBot="1" x14ac:dyDescent="0.3">
      <c r="A137" s="44" t="s">
        <v>1463</v>
      </c>
      <c r="B137" s="107" t="s">
        <v>1464</v>
      </c>
      <c r="C137" s="110" t="s">
        <v>798</v>
      </c>
      <c r="D137" s="110" t="s">
        <v>1970</v>
      </c>
      <c r="E137" s="111" t="s">
        <v>844</v>
      </c>
      <c r="F137" s="111" t="s">
        <v>845</v>
      </c>
      <c r="G137" s="112">
        <v>4038</v>
      </c>
      <c r="H137" s="112">
        <v>2724</v>
      </c>
      <c r="I137" s="113">
        <v>12534</v>
      </c>
      <c r="J137" s="113">
        <v>87232</v>
      </c>
      <c r="K137" s="113">
        <v>0</v>
      </c>
      <c r="L137" s="113">
        <v>0</v>
      </c>
      <c r="M137" s="113">
        <v>99766</v>
      </c>
      <c r="N137" s="113">
        <v>39538</v>
      </c>
      <c r="O137" s="116">
        <v>1314</v>
      </c>
      <c r="P137" s="113">
        <v>0</v>
      </c>
      <c r="Q137" s="113">
        <v>4037</v>
      </c>
      <c r="R137" s="113">
        <v>0</v>
      </c>
      <c r="S137" s="113">
        <v>0</v>
      </c>
      <c r="T137" s="113">
        <v>4037</v>
      </c>
      <c r="U137" s="113">
        <v>0</v>
      </c>
      <c r="V137" s="113">
        <v>103803</v>
      </c>
      <c r="W137" s="113">
        <v>39538</v>
      </c>
      <c r="X137" s="113">
        <v>143341</v>
      </c>
      <c r="Y137" s="113">
        <v>2961</v>
      </c>
      <c r="Z137" s="113">
        <v>0</v>
      </c>
      <c r="AA137" s="113">
        <v>146302</v>
      </c>
      <c r="AB137" s="113">
        <f t="shared" si="2"/>
        <v>36.231302625061915</v>
      </c>
    </row>
    <row r="138" spans="1:28" ht="15.75" thickBot="1" x14ac:dyDescent="0.3">
      <c r="A138" s="44" t="s">
        <v>1472</v>
      </c>
      <c r="B138" s="107" t="s">
        <v>1473</v>
      </c>
      <c r="C138" s="110" t="s">
        <v>798</v>
      </c>
      <c r="D138" s="110" t="s">
        <v>2132</v>
      </c>
      <c r="E138" s="111" t="s">
        <v>844</v>
      </c>
      <c r="F138" s="111" t="s">
        <v>845</v>
      </c>
      <c r="G138" s="112">
        <v>5635</v>
      </c>
      <c r="H138" s="112">
        <v>2991</v>
      </c>
      <c r="I138" s="113">
        <v>11077</v>
      </c>
      <c r="J138" s="113">
        <v>72132</v>
      </c>
      <c r="K138" s="113">
        <v>0</v>
      </c>
      <c r="L138" s="113">
        <v>0</v>
      </c>
      <c r="M138" s="113">
        <v>83209</v>
      </c>
      <c r="N138" s="113">
        <v>0</v>
      </c>
      <c r="O138" s="116">
        <v>2644</v>
      </c>
      <c r="P138" s="113">
        <v>12616</v>
      </c>
      <c r="Q138" s="114">
        <v>0</v>
      </c>
      <c r="R138" s="114">
        <v>0</v>
      </c>
      <c r="S138" s="114">
        <v>0</v>
      </c>
      <c r="T138" s="113">
        <v>12616</v>
      </c>
      <c r="U138" s="114">
        <v>0</v>
      </c>
      <c r="V138" s="113">
        <v>95825</v>
      </c>
      <c r="W138" s="113">
        <v>0</v>
      </c>
      <c r="X138" s="113">
        <v>95825</v>
      </c>
      <c r="Y138" s="113">
        <v>1938</v>
      </c>
      <c r="Z138" s="113">
        <v>0</v>
      </c>
      <c r="AA138" s="113">
        <v>97763</v>
      </c>
      <c r="AB138" s="113">
        <f t="shared" si="2"/>
        <v>17.349245785270629</v>
      </c>
    </row>
    <row r="139" spans="1:28" ht="15.75" thickBot="1" x14ac:dyDescent="0.3">
      <c r="A139" s="44" t="s">
        <v>1494</v>
      </c>
      <c r="B139" s="107" t="s">
        <v>1495</v>
      </c>
      <c r="C139" s="110" t="s">
        <v>798</v>
      </c>
      <c r="D139" s="110" t="s">
        <v>1892</v>
      </c>
      <c r="E139" s="111" t="s">
        <v>804</v>
      </c>
      <c r="F139" s="111" t="s">
        <v>805</v>
      </c>
      <c r="G139" s="112">
        <v>4046</v>
      </c>
      <c r="H139" s="112">
        <v>4046</v>
      </c>
      <c r="I139" s="113">
        <v>10295</v>
      </c>
      <c r="J139" s="113">
        <v>145096</v>
      </c>
      <c r="K139" s="113">
        <v>0</v>
      </c>
      <c r="L139" s="113">
        <v>0</v>
      </c>
      <c r="M139" s="113">
        <v>155391</v>
      </c>
      <c r="N139" s="113">
        <v>11926</v>
      </c>
      <c r="O139" s="115">
        <v>0</v>
      </c>
      <c r="P139" s="114">
        <v>0</v>
      </c>
      <c r="Q139" s="114">
        <v>0</v>
      </c>
      <c r="R139" s="114">
        <v>0</v>
      </c>
      <c r="S139" s="114">
        <v>0</v>
      </c>
      <c r="T139" s="114">
        <v>0</v>
      </c>
      <c r="U139" s="114">
        <v>0</v>
      </c>
      <c r="V139" s="113">
        <v>155391</v>
      </c>
      <c r="W139" s="113">
        <v>11926</v>
      </c>
      <c r="X139" s="113">
        <v>167317</v>
      </c>
      <c r="Y139" s="113">
        <v>3100</v>
      </c>
      <c r="Z139" s="113">
        <v>0</v>
      </c>
      <c r="AA139" s="113">
        <v>170417</v>
      </c>
      <c r="AB139" s="113">
        <f t="shared" si="2"/>
        <v>42.119871478002963</v>
      </c>
    </row>
    <row r="140" spans="1:28" ht="15.75" thickBot="1" x14ac:dyDescent="0.3">
      <c r="A140" s="44" t="s">
        <v>1506</v>
      </c>
      <c r="B140" s="107" t="s">
        <v>1507</v>
      </c>
      <c r="C140" s="110" t="s">
        <v>798</v>
      </c>
      <c r="D140" s="110" t="s">
        <v>2334</v>
      </c>
      <c r="E140" s="111" t="s">
        <v>804</v>
      </c>
      <c r="F140" s="111" t="s">
        <v>805</v>
      </c>
      <c r="G140" s="112">
        <v>5479</v>
      </c>
      <c r="H140" s="112">
        <v>5479</v>
      </c>
      <c r="I140" s="113">
        <v>9934</v>
      </c>
      <c r="J140" s="113">
        <v>211429</v>
      </c>
      <c r="K140" s="113">
        <v>0</v>
      </c>
      <c r="L140" s="113">
        <v>12044</v>
      </c>
      <c r="M140" s="113">
        <v>233407</v>
      </c>
      <c r="N140" s="113">
        <v>7639</v>
      </c>
      <c r="O140" s="115">
        <v>0</v>
      </c>
      <c r="P140" s="113">
        <v>0</v>
      </c>
      <c r="Q140" s="113">
        <v>0</v>
      </c>
      <c r="R140" s="113">
        <v>0</v>
      </c>
      <c r="S140" s="113">
        <v>0</v>
      </c>
      <c r="T140" s="113">
        <v>0</v>
      </c>
      <c r="U140" s="113">
        <v>0</v>
      </c>
      <c r="V140" s="113">
        <v>233407</v>
      </c>
      <c r="W140" s="113">
        <v>7639</v>
      </c>
      <c r="X140" s="113">
        <v>241046</v>
      </c>
      <c r="Y140" s="113">
        <v>5798</v>
      </c>
      <c r="Z140" s="113">
        <v>0</v>
      </c>
      <c r="AA140" s="113">
        <v>246844</v>
      </c>
      <c r="AB140" s="113">
        <f t="shared" si="2"/>
        <v>45.052746851615261</v>
      </c>
    </row>
    <row r="141" spans="1:28" ht="15.75" thickBot="1" x14ac:dyDescent="0.3">
      <c r="A141" s="44" t="s">
        <v>1514</v>
      </c>
      <c r="B141" s="107" t="s">
        <v>1515</v>
      </c>
      <c r="C141" s="110" t="s">
        <v>798</v>
      </c>
      <c r="D141" s="110" t="s">
        <v>2043</v>
      </c>
      <c r="E141" s="111" t="s">
        <v>804</v>
      </c>
      <c r="F141" s="111" t="s">
        <v>805</v>
      </c>
      <c r="G141" s="112">
        <v>6680</v>
      </c>
      <c r="H141" s="112">
        <v>4520</v>
      </c>
      <c r="I141" s="113">
        <v>11073</v>
      </c>
      <c r="J141" s="113">
        <v>0</v>
      </c>
      <c r="K141" s="113">
        <v>37250</v>
      </c>
      <c r="L141" s="113">
        <v>0</v>
      </c>
      <c r="M141" s="113">
        <v>48323</v>
      </c>
      <c r="N141" s="113">
        <v>3600</v>
      </c>
      <c r="O141" s="116">
        <v>2160</v>
      </c>
      <c r="P141" s="113">
        <v>5291</v>
      </c>
      <c r="Q141" s="113">
        <v>0</v>
      </c>
      <c r="R141" s="113">
        <v>0</v>
      </c>
      <c r="S141" s="113">
        <v>0</v>
      </c>
      <c r="T141" s="113">
        <v>5291</v>
      </c>
      <c r="U141" s="113">
        <v>0</v>
      </c>
      <c r="V141" s="113">
        <v>53614</v>
      </c>
      <c r="W141" s="113">
        <v>3600</v>
      </c>
      <c r="X141" s="113">
        <v>57214</v>
      </c>
      <c r="Y141" s="113">
        <v>5354</v>
      </c>
      <c r="Z141" s="113">
        <v>0</v>
      </c>
      <c r="AA141" s="113">
        <v>62568</v>
      </c>
      <c r="AB141" s="113">
        <f t="shared" si="2"/>
        <v>9.3664670658682638</v>
      </c>
    </row>
    <row r="142" spans="1:28" ht="15.75" thickBot="1" x14ac:dyDescent="0.3">
      <c r="A142" s="44" t="s">
        <v>1522</v>
      </c>
      <c r="B142" s="107" t="s">
        <v>1523</v>
      </c>
      <c r="C142" s="110" t="s">
        <v>798</v>
      </c>
      <c r="D142" s="110" t="s">
        <v>2043</v>
      </c>
      <c r="E142" s="111" t="s">
        <v>844</v>
      </c>
      <c r="F142" s="111" t="s">
        <v>845</v>
      </c>
      <c r="G142" s="112">
        <v>6033</v>
      </c>
      <c r="H142" s="112">
        <v>6033</v>
      </c>
      <c r="I142" s="113">
        <v>17297</v>
      </c>
      <c r="J142" s="114">
        <v>0</v>
      </c>
      <c r="K142" s="113">
        <v>86000</v>
      </c>
      <c r="L142" s="113">
        <v>0</v>
      </c>
      <c r="M142" s="113">
        <v>103297</v>
      </c>
      <c r="N142" s="113">
        <v>4243</v>
      </c>
      <c r="O142" s="115">
        <v>0</v>
      </c>
      <c r="P142" s="114">
        <v>0</v>
      </c>
      <c r="Q142" s="114">
        <v>0</v>
      </c>
      <c r="R142" s="114">
        <v>0</v>
      </c>
      <c r="S142" s="114">
        <v>0</v>
      </c>
      <c r="T142" s="114">
        <v>0</v>
      </c>
      <c r="U142" s="114">
        <v>0</v>
      </c>
      <c r="V142" s="113">
        <v>103297</v>
      </c>
      <c r="W142" s="113">
        <v>4243</v>
      </c>
      <c r="X142" s="113">
        <v>107540</v>
      </c>
      <c r="Y142" s="113">
        <v>4424</v>
      </c>
      <c r="Z142" s="113">
        <v>0</v>
      </c>
      <c r="AA142" s="113">
        <v>111964</v>
      </c>
      <c r="AB142" s="113">
        <f t="shared" si="2"/>
        <v>18.558594397480523</v>
      </c>
    </row>
    <row r="143" spans="1:28" ht="15.75" thickBot="1" x14ac:dyDescent="0.3">
      <c r="A143" s="44" t="s">
        <v>1530</v>
      </c>
      <c r="B143" s="107" t="s">
        <v>1531</v>
      </c>
      <c r="C143" s="110" t="s">
        <v>798</v>
      </c>
      <c r="D143" s="110" t="s">
        <v>2001</v>
      </c>
      <c r="E143" s="111" t="s">
        <v>844</v>
      </c>
      <c r="F143" s="111" t="s">
        <v>845</v>
      </c>
      <c r="G143" s="112">
        <v>4576</v>
      </c>
      <c r="H143" s="112">
        <v>2574</v>
      </c>
      <c r="I143" s="113">
        <v>18945</v>
      </c>
      <c r="J143" s="113">
        <v>128377</v>
      </c>
      <c r="K143" s="114">
        <v>0</v>
      </c>
      <c r="L143" s="114">
        <v>0</v>
      </c>
      <c r="M143" s="113">
        <v>147322</v>
      </c>
      <c r="N143" s="113">
        <v>4485</v>
      </c>
      <c r="O143" s="116">
        <v>2002</v>
      </c>
      <c r="P143" s="113">
        <v>14734</v>
      </c>
      <c r="Q143" s="114">
        <v>0</v>
      </c>
      <c r="R143" s="114">
        <v>0</v>
      </c>
      <c r="S143" s="113">
        <v>10000</v>
      </c>
      <c r="T143" s="113">
        <v>24734</v>
      </c>
      <c r="U143" s="114">
        <v>0</v>
      </c>
      <c r="V143" s="113">
        <v>172056</v>
      </c>
      <c r="W143" s="113">
        <v>4485</v>
      </c>
      <c r="X143" s="113">
        <v>176541</v>
      </c>
      <c r="Y143" s="113">
        <v>3356</v>
      </c>
      <c r="Z143" s="113">
        <v>0</v>
      </c>
      <c r="AA143" s="113">
        <v>179897</v>
      </c>
      <c r="AB143" s="113">
        <f t="shared" si="2"/>
        <v>39.313155594405593</v>
      </c>
    </row>
    <row r="144" spans="1:28" ht="15.75" thickBot="1" x14ac:dyDescent="0.3">
      <c r="A144" s="44" t="s">
        <v>1544</v>
      </c>
      <c r="B144" s="107" t="s">
        <v>1545</v>
      </c>
      <c r="C144" s="110" t="s">
        <v>798</v>
      </c>
      <c r="D144" s="110" t="s">
        <v>1952</v>
      </c>
      <c r="E144" s="111" t="s">
        <v>804</v>
      </c>
      <c r="F144" s="111" t="s">
        <v>805</v>
      </c>
      <c r="G144" s="112">
        <v>4757</v>
      </c>
      <c r="H144" s="112">
        <v>4757</v>
      </c>
      <c r="I144" s="113">
        <v>4156</v>
      </c>
      <c r="J144" s="113">
        <v>238536</v>
      </c>
      <c r="K144" s="113">
        <v>3993</v>
      </c>
      <c r="L144" s="113">
        <v>2292</v>
      </c>
      <c r="M144" s="113">
        <v>248977</v>
      </c>
      <c r="N144" s="113">
        <v>19439</v>
      </c>
      <c r="O144" s="115">
        <v>0</v>
      </c>
      <c r="P144" s="114">
        <v>0</v>
      </c>
      <c r="Q144" s="114">
        <v>0</v>
      </c>
      <c r="R144" s="114">
        <v>0</v>
      </c>
      <c r="S144" s="114">
        <v>0</v>
      </c>
      <c r="T144" s="114">
        <v>0</v>
      </c>
      <c r="U144" s="114">
        <v>0</v>
      </c>
      <c r="V144" s="113">
        <v>248977</v>
      </c>
      <c r="W144" s="113">
        <v>19439</v>
      </c>
      <c r="X144" s="113">
        <v>268416</v>
      </c>
      <c r="Y144" s="113">
        <v>3645</v>
      </c>
      <c r="Z144" s="113">
        <v>0</v>
      </c>
      <c r="AA144" s="113">
        <v>272061</v>
      </c>
      <c r="AB144" s="113">
        <f t="shared" si="2"/>
        <v>57.191717468993062</v>
      </c>
    </row>
    <row r="145" spans="1:28" ht="15.75" thickBot="1" x14ac:dyDescent="0.3">
      <c r="A145" s="44" t="s">
        <v>1550</v>
      </c>
      <c r="B145" s="107" t="s">
        <v>1551</v>
      </c>
      <c r="C145" s="110" t="s">
        <v>798</v>
      </c>
      <c r="D145" s="110" t="s">
        <v>2157</v>
      </c>
      <c r="E145" s="111" t="s">
        <v>799</v>
      </c>
      <c r="F145" s="111" t="s">
        <v>800</v>
      </c>
      <c r="G145" s="112">
        <v>4614</v>
      </c>
      <c r="H145" s="112">
        <v>4614</v>
      </c>
      <c r="I145" s="113">
        <v>9880</v>
      </c>
      <c r="J145" s="113">
        <v>56713</v>
      </c>
      <c r="K145" s="114">
        <v>0</v>
      </c>
      <c r="L145" s="113">
        <v>0</v>
      </c>
      <c r="M145" s="113">
        <v>66593</v>
      </c>
      <c r="N145" s="113">
        <v>11013</v>
      </c>
      <c r="O145" s="115">
        <v>0</v>
      </c>
      <c r="P145" s="114">
        <v>0</v>
      </c>
      <c r="Q145" s="114">
        <v>0</v>
      </c>
      <c r="R145" s="114">
        <v>0</v>
      </c>
      <c r="S145" s="114">
        <v>0</v>
      </c>
      <c r="T145" s="114">
        <v>0</v>
      </c>
      <c r="U145" s="114">
        <v>0</v>
      </c>
      <c r="V145" s="113">
        <v>66593</v>
      </c>
      <c r="W145" s="113">
        <v>11013</v>
      </c>
      <c r="X145" s="113">
        <v>77606</v>
      </c>
      <c r="Y145" s="113">
        <v>9374</v>
      </c>
      <c r="Z145" s="113">
        <v>0</v>
      </c>
      <c r="AA145" s="113">
        <v>86980</v>
      </c>
      <c r="AB145" s="113">
        <f t="shared" si="2"/>
        <v>18.851322063285654</v>
      </c>
    </row>
    <row r="146" spans="1:28" ht="15.75" thickBot="1" x14ac:dyDescent="0.3">
      <c r="A146" s="44" t="s">
        <v>1560</v>
      </c>
      <c r="B146" s="107" t="s">
        <v>1561</v>
      </c>
      <c r="C146" s="110" t="s">
        <v>798</v>
      </c>
      <c r="D146" s="110" t="s">
        <v>1885</v>
      </c>
      <c r="E146" s="111" t="s">
        <v>804</v>
      </c>
      <c r="F146" s="111" t="s">
        <v>805</v>
      </c>
      <c r="G146" s="112">
        <v>6999</v>
      </c>
      <c r="H146" s="112">
        <v>6999</v>
      </c>
      <c r="I146" s="113">
        <v>14949</v>
      </c>
      <c r="J146" s="113">
        <v>332076</v>
      </c>
      <c r="K146" s="113">
        <v>0</v>
      </c>
      <c r="L146" s="113">
        <v>3607</v>
      </c>
      <c r="M146" s="113">
        <v>350632</v>
      </c>
      <c r="N146" s="113">
        <v>10769</v>
      </c>
      <c r="O146" s="115">
        <v>0</v>
      </c>
      <c r="P146" s="114">
        <v>0</v>
      </c>
      <c r="Q146" s="114">
        <v>0</v>
      </c>
      <c r="R146" s="114">
        <v>0</v>
      </c>
      <c r="S146" s="114">
        <v>0</v>
      </c>
      <c r="T146" s="114">
        <v>0</v>
      </c>
      <c r="U146" s="114">
        <v>0</v>
      </c>
      <c r="V146" s="113">
        <v>350632</v>
      </c>
      <c r="W146" s="113">
        <v>10769</v>
      </c>
      <c r="X146" s="113">
        <v>361401</v>
      </c>
      <c r="Y146" s="113">
        <v>5609</v>
      </c>
      <c r="Z146" s="113">
        <v>2490</v>
      </c>
      <c r="AA146" s="113">
        <v>369500</v>
      </c>
      <c r="AB146" s="113">
        <f t="shared" si="2"/>
        <v>52.793256179454211</v>
      </c>
    </row>
    <row r="147" spans="1:28" ht="15.75" thickBot="1" x14ac:dyDescent="0.3">
      <c r="A147" s="44" t="s">
        <v>1570</v>
      </c>
      <c r="B147" s="107" t="s">
        <v>1571</v>
      </c>
      <c r="C147" s="110" t="s">
        <v>798</v>
      </c>
      <c r="D147" s="110" t="s">
        <v>2001</v>
      </c>
      <c r="E147" s="111" t="s">
        <v>804</v>
      </c>
      <c r="F147" s="111" t="s">
        <v>805</v>
      </c>
      <c r="G147" s="112">
        <v>4837</v>
      </c>
      <c r="H147" s="112">
        <v>4837</v>
      </c>
      <c r="I147" s="113">
        <v>35522</v>
      </c>
      <c r="J147" s="113">
        <v>185440</v>
      </c>
      <c r="K147" s="113">
        <v>0</v>
      </c>
      <c r="L147" s="113">
        <v>0</v>
      </c>
      <c r="M147" s="113">
        <v>220962</v>
      </c>
      <c r="N147" s="113">
        <v>15193</v>
      </c>
      <c r="O147" s="115">
        <v>0</v>
      </c>
      <c r="P147" s="114">
        <v>0</v>
      </c>
      <c r="Q147" s="114">
        <v>0</v>
      </c>
      <c r="R147" s="114">
        <v>0</v>
      </c>
      <c r="S147" s="114">
        <v>0</v>
      </c>
      <c r="T147" s="114">
        <v>0</v>
      </c>
      <c r="U147" s="114">
        <v>0</v>
      </c>
      <c r="V147" s="113">
        <v>220962</v>
      </c>
      <c r="W147" s="113">
        <v>15193</v>
      </c>
      <c r="X147" s="113">
        <v>236155</v>
      </c>
      <c r="Y147" s="113">
        <v>3547</v>
      </c>
      <c r="Z147" s="113">
        <v>0</v>
      </c>
      <c r="AA147" s="113">
        <v>239702</v>
      </c>
      <c r="AB147" s="113">
        <f t="shared" si="2"/>
        <v>49.555923092826134</v>
      </c>
    </row>
    <row r="148" spans="1:28" ht="15.75" thickBot="1" x14ac:dyDescent="0.3">
      <c r="A148" s="44" t="s">
        <v>1588</v>
      </c>
      <c r="B148" s="107" t="s">
        <v>1589</v>
      </c>
      <c r="C148" s="110" t="s">
        <v>798</v>
      </c>
      <c r="D148" s="110" t="s">
        <v>2068</v>
      </c>
      <c r="E148" s="111" t="s">
        <v>804</v>
      </c>
      <c r="F148" s="111" t="s">
        <v>805</v>
      </c>
      <c r="G148" s="112">
        <v>5240</v>
      </c>
      <c r="H148" s="112">
        <v>3753</v>
      </c>
      <c r="I148" s="113">
        <v>10163</v>
      </c>
      <c r="J148" s="113">
        <v>188424</v>
      </c>
      <c r="K148" s="113">
        <v>0</v>
      </c>
      <c r="L148" s="113">
        <v>0</v>
      </c>
      <c r="M148" s="113">
        <v>198587</v>
      </c>
      <c r="N148" s="113">
        <v>20879</v>
      </c>
      <c r="O148" s="116">
        <v>1487</v>
      </c>
      <c r="P148" s="113">
        <v>4024</v>
      </c>
      <c r="Q148" s="113">
        <v>0</v>
      </c>
      <c r="R148" s="113">
        <v>0</v>
      </c>
      <c r="S148" s="113">
        <v>1750</v>
      </c>
      <c r="T148" s="113">
        <v>5774</v>
      </c>
      <c r="U148" s="113">
        <v>0</v>
      </c>
      <c r="V148" s="113">
        <v>204361</v>
      </c>
      <c r="W148" s="113">
        <v>20879</v>
      </c>
      <c r="X148" s="113">
        <v>225240</v>
      </c>
      <c r="Y148" s="113">
        <v>4015</v>
      </c>
      <c r="Z148" s="113">
        <v>0</v>
      </c>
      <c r="AA148" s="113">
        <v>229255</v>
      </c>
      <c r="AB148" s="113">
        <f t="shared" si="2"/>
        <v>43.750954198473281</v>
      </c>
    </row>
    <row r="149" spans="1:28" ht="15.75" thickBot="1" x14ac:dyDescent="0.3">
      <c r="A149" s="44" t="s">
        <v>806</v>
      </c>
      <c r="B149" s="107" t="s">
        <v>807</v>
      </c>
      <c r="C149" s="110" t="s">
        <v>808</v>
      </c>
      <c r="D149" s="110" t="s">
        <v>1898</v>
      </c>
      <c r="E149" s="111" t="s">
        <v>804</v>
      </c>
      <c r="F149" s="111" t="s">
        <v>805</v>
      </c>
      <c r="G149" s="112">
        <v>7410</v>
      </c>
      <c r="H149" s="112">
        <v>7410</v>
      </c>
      <c r="I149" s="113">
        <v>22585</v>
      </c>
      <c r="J149" s="113">
        <v>224127</v>
      </c>
      <c r="K149" s="114">
        <v>0</v>
      </c>
      <c r="L149" s="114">
        <v>0</v>
      </c>
      <c r="M149" s="113">
        <v>246712</v>
      </c>
      <c r="N149" s="113">
        <v>16840</v>
      </c>
      <c r="O149" s="115">
        <v>0</v>
      </c>
      <c r="P149" s="114">
        <v>0</v>
      </c>
      <c r="Q149" s="114">
        <v>0</v>
      </c>
      <c r="R149" s="114">
        <v>0</v>
      </c>
      <c r="S149" s="114">
        <v>0</v>
      </c>
      <c r="T149" s="114">
        <v>0</v>
      </c>
      <c r="U149" s="114">
        <v>0</v>
      </c>
      <c r="V149" s="113">
        <v>246712</v>
      </c>
      <c r="W149" s="113">
        <v>16840</v>
      </c>
      <c r="X149" s="113">
        <v>263552</v>
      </c>
      <c r="Y149" s="113">
        <v>5677</v>
      </c>
      <c r="Z149" s="113">
        <v>0</v>
      </c>
      <c r="AA149" s="113">
        <v>269229</v>
      </c>
      <c r="AB149" s="113">
        <f t="shared" si="2"/>
        <v>36.333198380566799</v>
      </c>
    </row>
    <row r="150" spans="1:28" ht="15.75" thickBot="1" x14ac:dyDescent="0.3">
      <c r="A150" s="44" t="s">
        <v>809</v>
      </c>
      <c r="B150" s="107" t="s">
        <v>810</v>
      </c>
      <c r="C150" s="110" t="s">
        <v>808</v>
      </c>
      <c r="D150" s="110" t="s">
        <v>1903</v>
      </c>
      <c r="E150" s="111" t="s">
        <v>804</v>
      </c>
      <c r="F150" s="111" t="s">
        <v>805</v>
      </c>
      <c r="G150" s="112">
        <v>11600</v>
      </c>
      <c r="H150" s="112">
        <v>2978</v>
      </c>
      <c r="I150" s="113">
        <v>14235</v>
      </c>
      <c r="J150" s="114">
        <v>0</v>
      </c>
      <c r="K150" s="114">
        <v>0</v>
      </c>
      <c r="L150" s="113">
        <v>16300</v>
      </c>
      <c r="M150" s="113">
        <v>30535</v>
      </c>
      <c r="N150" s="113">
        <v>9792</v>
      </c>
      <c r="O150" s="116">
        <v>8622</v>
      </c>
      <c r="P150" s="113">
        <v>41212</v>
      </c>
      <c r="Q150" s="114">
        <v>0</v>
      </c>
      <c r="R150" s="114">
        <v>0</v>
      </c>
      <c r="S150" s="113">
        <v>25866</v>
      </c>
      <c r="T150" s="113">
        <v>67078</v>
      </c>
      <c r="U150" s="114">
        <v>0</v>
      </c>
      <c r="V150" s="113">
        <v>97613</v>
      </c>
      <c r="W150" s="113">
        <v>9792</v>
      </c>
      <c r="X150" s="113">
        <v>107405</v>
      </c>
      <c r="Y150" s="113">
        <v>2371</v>
      </c>
      <c r="Z150" s="113">
        <v>0</v>
      </c>
      <c r="AA150" s="113">
        <v>109776</v>
      </c>
      <c r="AB150" s="113">
        <f t="shared" si="2"/>
        <v>9.4634482758620688</v>
      </c>
    </row>
    <row r="151" spans="1:28" ht="15.75" thickBot="1" x14ac:dyDescent="0.3">
      <c r="A151" s="44" t="s">
        <v>811</v>
      </c>
      <c r="B151" s="107" t="s">
        <v>812</v>
      </c>
      <c r="C151" s="110" t="s">
        <v>808</v>
      </c>
      <c r="D151" s="110" t="s">
        <v>1905</v>
      </c>
      <c r="E151" s="111" t="s">
        <v>799</v>
      </c>
      <c r="F151" s="111" t="s">
        <v>800</v>
      </c>
      <c r="G151" s="112">
        <v>11569</v>
      </c>
      <c r="H151" s="112">
        <v>11569</v>
      </c>
      <c r="I151" s="113">
        <v>21111</v>
      </c>
      <c r="J151" s="113">
        <v>562476</v>
      </c>
      <c r="K151" s="114">
        <v>0</v>
      </c>
      <c r="L151" s="113">
        <v>30045</v>
      </c>
      <c r="M151" s="113">
        <v>613632</v>
      </c>
      <c r="N151" s="113">
        <v>61899</v>
      </c>
      <c r="O151" s="115">
        <v>0</v>
      </c>
      <c r="P151" s="114">
        <v>0</v>
      </c>
      <c r="Q151" s="114">
        <v>0</v>
      </c>
      <c r="R151" s="114">
        <v>0</v>
      </c>
      <c r="S151" s="114">
        <v>0</v>
      </c>
      <c r="T151" s="114">
        <v>0</v>
      </c>
      <c r="U151" s="114">
        <v>0</v>
      </c>
      <c r="V151" s="113">
        <v>613632</v>
      </c>
      <c r="W151" s="113">
        <v>61899</v>
      </c>
      <c r="X151" s="113">
        <v>675531</v>
      </c>
      <c r="Y151" s="113">
        <v>8483</v>
      </c>
      <c r="Z151" s="113">
        <v>0</v>
      </c>
      <c r="AA151" s="113">
        <v>684014</v>
      </c>
      <c r="AB151" s="113">
        <f t="shared" si="2"/>
        <v>59.124729881580087</v>
      </c>
    </row>
    <row r="152" spans="1:28" ht="15.75" thickBot="1" x14ac:dyDescent="0.3">
      <c r="A152" s="44" t="s">
        <v>813</v>
      </c>
      <c r="B152" s="107" t="s">
        <v>814</v>
      </c>
      <c r="C152" s="110" t="s">
        <v>808</v>
      </c>
      <c r="D152" s="110" t="s">
        <v>1909</v>
      </c>
      <c r="E152" s="111" t="s">
        <v>799</v>
      </c>
      <c r="F152" s="111" t="s">
        <v>800</v>
      </c>
      <c r="G152" s="112">
        <v>9706</v>
      </c>
      <c r="H152" s="112">
        <v>9706</v>
      </c>
      <c r="I152" s="113">
        <v>52994</v>
      </c>
      <c r="J152" s="113">
        <v>369885</v>
      </c>
      <c r="K152" s="113">
        <v>4228</v>
      </c>
      <c r="L152" s="113">
        <v>4895</v>
      </c>
      <c r="M152" s="113">
        <v>432002</v>
      </c>
      <c r="N152" s="113">
        <v>5439</v>
      </c>
      <c r="O152" s="115">
        <v>0</v>
      </c>
      <c r="P152" s="114">
        <v>0</v>
      </c>
      <c r="Q152" s="114">
        <v>0</v>
      </c>
      <c r="R152" s="114">
        <v>0</v>
      </c>
      <c r="S152" s="114">
        <v>0</v>
      </c>
      <c r="T152" s="114">
        <v>0</v>
      </c>
      <c r="U152" s="114">
        <v>0</v>
      </c>
      <c r="V152" s="113">
        <v>432002</v>
      </c>
      <c r="W152" s="113">
        <v>5439</v>
      </c>
      <c r="X152" s="113">
        <v>437441</v>
      </c>
      <c r="Y152" s="113">
        <v>7186</v>
      </c>
      <c r="Z152" s="113">
        <v>0</v>
      </c>
      <c r="AA152" s="113">
        <v>444627</v>
      </c>
      <c r="AB152" s="113">
        <f t="shared" si="2"/>
        <v>45.809499278796622</v>
      </c>
    </row>
    <row r="153" spans="1:28" ht="15.75" thickBot="1" x14ac:dyDescent="0.3">
      <c r="A153" s="44" t="s">
        <v>825</v>
      </c>
      <c r="B153" s="107" t="s">
        <v>826</v>
      </c>
      <c r="C153" s="110" t="s">
        <v>808</v>
      </c>
      <c r="D153" s="110" t="s">
        <v>1930</v>
      </c>
      <c r="E153" s="111" t="s">
        <v>804</v>
      </c>
      <c r="F153" s="111" t="s">
        <v>805</v>
      </c>
      <c r="G153" s="112">
        <v>11902</v>
      </c>
      <c r="H153" s="112">
        <v>9383</v>
      </c>
      <c r="I153" s="113">
        <v>71741</v>
      </c>
      <c r="J153" s="113">
        <v>290186</v>
      </c>
      <c r="K153" s="113">
        <v>175000</v>
      </c>
      <c r="L153" s="113">
        <v>0</v>
      </c>
      <c r="M153" s="113">
        <v>536927</v>
      </c>
      <c r="N153" s="113">
        <v>33780</v>
      </c>
      <c r="O153" s="116">
        <v>2519</v>
      </c>
      <c r="P153" s="113">
        <v>19259</v>
      </c>
      <c r="Q153" s="114">
        <v>0</v>
      </c>
      <c r="R153" s="114">
        <v>0</v>
      </c>
      <c r="S153" s="114">
        <v>0</v>
      </c>
      <c r="T153" s="113">
        <v>19259</v>
      </c>
      <c r="U153" s="114">
        <v>0</v>
      </c>
      <c r="V153" s="113">
        <v>556186</v>
      </c>
      <c r="W153" s="113">
        <v>33780</v>
      </c>
      <c r="X153" s="113">
        <v>589966</v>
      </c>
      <c r="Y153" s="113">
        <v>9120</v>
      </c>
      <c r="Z153" s="113">
        <v>0</v>
      </c>
      <c r="AA153" s="113">
        <v>599086</v>
      </c>
      <c r="AB153" s="113">
        <f t="shared" si="2"/>
        <v>50.33490169719375</v>
      </c>
    </row>
    <row r="154" spans="1:28" ht="15.75" thickBot="1" x14ac:dyDescent="0.3">
      <c r="A154" s="44" t="s">
        <v>833</v>
      </c>
      <c r="B154" s="107" t="s">
        <v>834</v>
      </c>
      <c r="C154" s="110" t="s">
        <v>808</v>
      </c>
      <c r="D154" s="110" t="s">
        <v>1944</v>
      </c>
      <c r="E154" s="111" t="s">
        <v>804</v>
      </c>
      <c r="F154" s="111" t="s">
        <v>805</v>
      </c>
      <c r="G154" s="112">
        <v>11000</v>
      </c>
      <c r="H154" s="112">
        <v>5757</v>
      </c>
      <c r="I154" s="113">
        <v>8768</v>
      </c>
      <c r="J154" s="113">
        <v>101842</v>
      </c>
      <c r="K154" s="114">
        <v>0</v>
      </c>
      <c r="L154" s="114">
        <v>0</v>
      </c>
      <c r="M154" s="113">
        <v>110610</v>
      </c>
      <c r="N154" s="114">
        <v>0</v>
      </c>
      <c r="O154" s="116">
        <v>5243</v>
      </c>
      <c r="P154" s="113">
        <v>2235</v>
      </c>
      <c r="Q154" s="113">
        <v>216390</v>
      </c>
      <c r="R154" s="114">
        <v>0</v>
      </c>
      <c r="S154" s="114">
        <v>0</v>
      </c>
      <c r="T154" s="113">
        <v>218625</v>
      </c>
      <c r="U154" s="114">
        <v>0</v>
      </c>
      <c r="V154" s="113">
        <v>329235</v>
      </c>
      <c r="W154" s="114">
        <v>0</v>
      </c>
      <c r="X154" s="113">
        <v>329235</v>
      </c>
      <c r="Y154" s="113">
        <v>5920</v>
      </c>
      <c r="Z154" s="113">
        <v>0</v>
      </c>
      <c r="AA154" s="113">
        <v>335155</v>
      </c>
      <c r="AB154" s="113">
        <f t="shared" si="2"/>
        <v>30.468636363636364</v>
      </c>
    </row>
    <row r="155" spans="1:28" ht="15.75" thickBot="1" x14ac:dyDescent="0.3">
      <c r="A155" s="44" t="s">
        <v>848</v>
      </c>
      <c r="B155" s="107" t="s">
        <v>849</v>
      </c>
      <c r="C155" s="110" t="s">
        <v>808</v>
      </c>
      <c r="D155" s="110" t="s">
        <v>1964</v>
      </c>
      <c r="E155" s="111" t="s">
        <v>799</v>
      </c>
      <c r="F155" s="111" t="s">
        <v>800</v>
      </c>
      <c r="G155" s="112">
        <v>7172</v>
      </c>
      <c r="H155" s="112">
        <v>4697</v>
      </c>
      <c r="I155" s="113">
        <v>5641</v>
      </c>
      <c r="J155" s="113">
        <v>158005</v>
      </c>
      <c r="K155" s="113">
        <v>0</v>
      </c>
      <c r="L155" s="113">
        <v>262</v>
      </c>
      <c r="M155" s="113">
        <v>163908</v>
      </c>
      <c r="N155" s="113">
        <v>12522</v>
      </c>
      <c r="O155" s="116">
        <v>2475</v>
      </c>
      <c r="P155" s="113">
        <v>4942</v>
      </c>
      <c r="Q155" s="114">
        <v>0</v>
      </c>
      <c r="R155" s="114">
        <v>0</v>
      </c>
      <c r="S155" s="114">
        <v>0</v>
      </c>
      <c r="T155" s="113">
        <v>4942</v>
      </c>
      <c r="U155" s="114">
        <v>0</v>
      </c>
      <c r="V155" s="113">
        <v>168850</v>
      </c>
      <c r="W155" s="113">
        <v>12522</v>
      </c>
      <c r="X155" s="113">
        <v>181372</v>
      </c>
      <c r="Y155" s="113">
        <v>5259</v>
      </c>
      <c r="Z155" s="113">
        <v>0</v>
      </c>
      <c r="AA155" s="113">
        <v>186631</v>
      </c>
      <c r="AB155" s="113">
        <f t="shared" si="2"/>
        <v>26.022169548243166</v>
      </c>
    </row>
    <row r="156" spans="1:28" ht="15.75" thickBot="1" x14ac:dyDescent="0.3">
      <c r="A156" s="44" t="s">
        <v>859</v>
      </c>
      <c r="B156" s="107" t="s">
        <v>860</v>
      </c>
      <c r="C156" s="110" t="s">
        <v>808</v>
      </c>
      <c r="D156" s="110" t="s">
        <v>1980</v>
      </c>
      <c r="E156" s="111" t="s">
        <v>799</v>
      </c>
      <c r="F156" s="111" t="s">
        <v>800</v>
      </c>
      <c r="G156" s="112">
        <v>11598</v>
      </c>
      <c r="H156" s="112">
        <v>11598</v>
      </c>
      <c r="I156" s="113">
        <v>60065</v>
      </c>
      <c r="J156" s="113">
        <v>276408</v>
      </c>
      <c r="K156" s="113">
        <v>0</v>
      </c>
      <c r="L156" s="113">
        <v>0</v>
      </c>
      <c r="M156" s="113">
        <v>336473</v>
      </c>
      <c r="N156" s="113">
        <v>2126</v>
      </c>
      <c r="O156" s="115">
        <v>0</v>
      </c>
      <c r="P156" s="113">
        <v>0</v>
      </c>
      <c r="Q156" s="113">
        <v>0</v>
      </c>
      <c r="R156" s="113">
        <v>0</v>
      </c>
      <c r="S156" s="113">
        <v>0</v>
      </c>
      <c r="T156" s="113">
        <v>0</v>
      </c>
      <c r="U156" s="113">
        <v>0</v>
      </c>
      <c r="V156" s="113">
        <v>336473</v>
      </c>
      <c r="W156" s="113">
        <v>2126</v>
      </c>
      <c r="X156" s="113">
        <v>338599</v>
      </c>
      <c r="Y156" s="113">
        <v>0</v>
      </c>
      <c r="Z156" s="113">
        <v>0</v>
      </c>
      <c r="AA156" s="113">
        <v>338599</v>
      </c>
      <c r="AB156" s="113">
        <f t="shared" si="2"/>
        <v>29.19460251767546</v>
      </c>
    </row>
    <row r="157" spans="1:28" ht="15.75" thickBot="1" x14ac:dyDescent="0.3">
      <c r="A157" s="44" t="s">
        <v>879</v>
      </c>
      <c r="B157" s="107" t="s">
        <v>880</v>
      </c>
      <c r="C157" s="110" t="s">
        <v>808</v>
      </c>
      <c r="D157" s="110" t="s">
        <v>2001</v>
      </c>
      <c r="E157" s="111" t="s">
        <v>844</v>
      </c>
      <c r="F157" s="111" t="s">
        <v>845</v>
      </c>
      <c r="G157" s="112">
        <v>9197</v>
      </c>
      <c r="H157" s="112">
        <v>9197</v>
      </c>
      <c r="I157" s="113">
        <v>67716</v>
      </c>
      <c r="J157" s="113">
        <v>233369</v>
      </c>
      <c r="K157" s="114">
        <v>0</v>
      </c>
      <c r="L157" s="114">
        <v>0</v>
      </c>
      <c r="M157" s="113">
        <v>301085</v>
      </c>
      <c r="N157" s="113">
        <v>29335</v>
      </c>
      <c r="O157" s="115">
        <v>0</v>
      </c>
      <c r="P157" s="114">
        <v>0</v>
      </c>
      <c r="Q157" s="114">
        <v>0</v>
      </c>
      <c r="R157" s="114">
        <v>0</v>
      </c>
      <c r="S157" s="114">
        <v>0</v>
      </c>
      <c r="T157" s="114">
        <v>0</v>
      </c>
      <c r="U157" s="114">
        <v>0</v>
      </c>
      <c r="V157" s="113">
        <v>301085</v>
      </c>
      <c r="W157" s="113">
        <v>29335</v>
      </c>
      <c r="X157" s="113">
        <v>330420</v>
      </c>
      <c r="Y157" s="113">
        <v>6745</v>
      </c>
      <c r="Z157" s="113">
        <v>0</v>
      </c>
      <c r="AA157" s="113">
        <v>337165</v>
      </c>
      <c r="AB157" s="113">
        <f t="shared" si="2"/>
        <v>36.660324018701751</v>
      </c>
    </row>
    <row r="158" spans="1:28" ht="15.75" thickBot="1" x14ac:dyDescent="0.3">
      <c r="A158" s="44" t="s">
        <v>889</v>
      </c>
      <c r="B158" s="107" t="s">
        <v>890</v>
      </c>
      <c r="C158" s="110" t="s">
        <v>808</v>
      </c>
      <c r="D158" s="110" t="s">
        <v>1885</v>
      </c>
      <c r="E158" s="111" t="s">
        <v>804</v>
      </c>
      <c r="F158" s="111" t="s">
        <v>805</v>
      </c>
      <c r="G158" s="112">
        <v>11825</v>
      </c>
      <c r="H158" s="112">
        <v>11825</v>
      </c>
      <c r="I158" s="113">
        <v>24728</v>
      </c>
      <c r="J158" s="113">
        <v>451981</v>
      </c>
      <c r="K158" s="113">
        <v>0</v>
      </c>
      <c r="L158" s="113">
        <v>0</v>
      </c>
      <c r="M158" s="113">
        <v>476709</v>
      </c>
      <c r="N158" s="113">
        <v>20122</v>
      </c>
      <c r="O158" s="115">
        <v>0</v>
      </c>
      <c r="P158" s="114">
        <v>0</v>
      </c>
      <c r="Q158" s="114">
        <v>0</v>
      </c>
      <c r="R158" s="114">
        <v>0</v>
      </c>
      <c r="S158" s="114">
        <v>0</v>
      </c>
      <c r="T158" s="114">
        <v>0</v>
      </c>
      <c r="U158" s="114">
        <v>0</v>
      </c>
      <c r="V158" s="113">
        <v>476709</v>
      </c>
      <c r="W158" s="113">
        <v>20122</v>
      </c>
      <c r="X158" s="113">
        <v>496831</v>
      </c>
      <c r="Y158" s="113">
        <v>9061</v>
      </c>
      <c r="Z158" s="113">
        <v>2988</v>
      </c>
      <c r="AA158" s="113">
        <v>508880</v>
      </c>
      <c r="AB158" s="113">
        <f t="shared" si="2"/>
        <v>43.034249471458772</v>
      </c>
    </row>
    <row r="159" spans="1:28" ht="15.75" thickBot="1" x14ac:dyDescent="0.3">
      <c r="A159" s="44" t="s">
        <v>893</v>
      </c>
      <c r="B159" s="107" t="s">
        <v>894</v>
      </c>
      <c r="C159" s="110" t="s">
        <v>808</v>
      </c>
      <c r="D159" s="110" t="s">
        <v>1988</v>
      </c>
      <c r="E159" s="111" t="s">
        <v>895</v>
      </c>
      <c r="F159" s="111" t="s">
        <v>896</v>
      </c>
      <c r="G159" s="112">
        <v>7226</v>
      </c>
      <c r="H159" s="112">
        <v>7226</v>
      </c>
      <c r="I159" s="113">
        <v>26185</v>
      </c>
      <c r="J159" s="113">
        <v>485255</v>
      </c>
      <c r="K159" s="114">
        <v>0</v>
      </c>
      <c r="L159" s="113">
        <v>8361</v>
      </c>
      <c r="M159" s="113">
        <v>519801</v>
      </c>
      <c r="N159" s="113">
        <v>59864</v>
      </c>
      <c r="O159" s="115">
        <v>0</v>
      </c>
      <c r="P159" s="114">
        <v>0</v>
      </c>
      <c r="Q159" s="114">
        <v>0</v>
      </c>
      <c r="R159" s="114">
        <v>0</v>
      </c>
      <c r="S159" s="114">
        <v>0</v>
      </c>
      <c r="T159" s="114">
        <v>0</v>
      </c>
      <c r="U159" s="114">
        <v>0</v>
      </c>
      <c r="V159" s="113">
        <v>519801</v>
      </c>
      <c r="W159" s="113">
        <v>59864</v>
      </c>
      <c r="X159" s="113">
        <v>579665</v>
      </c>
      <c r="Y159" s="113">
        <v>5299</v>
      </c>
      <c r="Z159" s="113">
        <v>0</v>
      </c>
      <c r="AA159" s="113">
        <v>584964</v>
      </c>
      <c r="AB159" s="113">
        <f t="shared" si="2"/>
        <v>80.952670910600602</v>
      </c>
    </row>
    <row r="160" spans="1:28" ht="15.75" thickBot="1" x14ac:dyDescent="0.3">
      <c r="A160" s="44" t="s">
        <v>911</v>
      </c>
      <c r="B160" s="107" t="s">
        <v>912</v>
      </c>
      <c r="C160" s="110" t="s">
        <v>808</v>
      </c>
      <c r="D160" s="110" t="s">
        <v>2001</v>
      </c>
      <c r="E160" s="111" t="s">
        <v>804</v>
      </c>
      <c r="F160" s="111" t="s">
        <v>805</v>
      </c>
      <c r="G160" s="112">
        <v>10090</v>
      </c>
      <c r="H160" s="112">
        <v>9878</v>
      </c>
      <c r="I160" s="113">
        <v>74382</v>
      </c>
      <c r="J160" s="113">
        <v>378872</v>
      </c>
      <c r="K160" s="114">
        <v>0</v>
      </c>
      <c r="L160" s="113">
        <v>7898</v>
      </c>
      <c r="M160" s="113">
        <v>461152</v>
      </c>
      <c r="N160" s="113">
        <v>24288</v>
      </c>
      <c r="O160" s="116">
        <v>212</v>
      </c>
      <c r="P160" s="114">
        <v>0</v>
      </c>
      <c r="Q160" s="114">
        <v>0</v>
      </c>
      <c r="R160" s="114">
        <v>0</v>
      </c>
      <c r="S160" s="114">
        <v>0</v>
      </c>
      <c r="T160" s="114">
        <v>0</v>
      </c>
      <c r="U160" s="114">
        <v>0</v>
      </c>
      <c r="V160" s="113">
        <v>461152</v>
      </c>
      <c r="W160" s="113">
        <v>24288</v>
      </c>
      <c r="X160" s="113">
        <v>485440</v>
      </c>
      <c r="Y160" s="113">
        <v>7731</v>
      </c>
      <c r="Z160" s="113">
        <v>0</v>
      </c>
      <c r="AA160" s="113">
        <v>493171</v>
      </c>
      <c r="AB160" s="113">
        <f t="shared" si="2"/>
        <v>48.877205153617446</v>
      </c>
    </row>
    <row r="161" spans="1:28" ht="15.75" thickBot="1" x14ac:dyDescent="0.3">
      <c r="A161" s="44" t="s">
        <v>913</v>
      </c>
      <c r="B161" s="107" t="s">
        <v>914</v>
      </c>
      <c r="C161" s="110" t="s">
        <v>808</v>
      </c>
      <c r="D161" s="110" t="s">
        <v>2064</v>
      </c>
      <c r="E161" s="111" t="s">
        <v>804</v>
      </c>
      <c r="F161" s="111" t="s">
        <v>805</v>
      </c>
      <c r="G161" s="112">
        <v>9705</v>
      </c>
      <c r="H161" s="112">
        <v>9705</v>
      </c>
      <c r="I161" s="113">
        <v>43329</v>
      </c>
      <c r="J161" s="113">
        <v>278338.88</v>
      </c>
      <c r="K161" s="114">
        <v>0</v>
      </c>
      <c r="L161" s="114">
        <v>0</v>
      </c>
      <c r="M161" s="113">
        <v>321667.88</v>
      </c>
      <c r="N161" s="113">
        <v>16689</v>
      </c>
      <c r="O161" s="115">
        <v>0</v>
      </c>
      <c r="P161" s="114">
        <v>0</v>
      </c>
      <c r="Q161" s="114">
        <v>0</v>
      </c>
      <c r="R161" s="114">
        <v>0</v>
      </c>
      <c r="S161" s="114">
        <v>0</v>
      </c>
      <c r="T161" s="114">
        <v>0</v>
      </c>
      <c r="U161" s="114">
        <v>0</v>
      </c>
      <c r="V161" s="113">
        <v>321667.88</v>
      </c>
      <c r="W161" s="113">
        <v>16689</v>
      </c>
      <c r="X161" s="113">
        <v>338356.88</v>
      </c>
      <c r="Y161" s="113">
        <v>16689</v>
      </c>
      <c r="Z161" s="113">
        <v>3440</v>
      </c>
      <c r="AA161" s="113">
        <v>358485.88</v>
      </c>
      <c r="AB161" s="113">
        <f t="shared" si="2"/>
        <v>36.938266872746006</v>
      </c>
    </row>
    <row r="162" spans="1:28" ht="15.75" thickBot="1" x14ac:dyDescent="0.3">
      <c r="A162" s="44" t="s">
        <v>919</v>
      </c>
      <c r="B162" s="107" t="s">
        <v>920</v>
      </c>
      <c r="C162" s="110" t="s">
        <v>808</v>
      </c>
      <c r="D162" s="110" t="s">
        <v>2073</v>
      </c>
      <c r="E162" s="111" t="s">
        <v>804</v>
      </c>
      <c r="F162" s="111" t="s">
        <v>805</v>
      </c>
      <c r="G162" s="112">
        <v>8692</v>
      </c>
      <c r="H162" s="112">
        <v>8473</v>
      </c>
      <c r="I162" s="113">
        <v>9605</v>
      </c>
      <c r="J162" s="114">
        <v>0</v>
      </c>
      <c r="K162" s="113">
        <v>8349</v>
      </c>
      <c r="L162" s="114">
        <v>0</v>
      </c>
      <c r="M162" s="113">
        <v>17954</v>
      </c>
      <c r="N162" s="113">
        <v>10082</v>
      </c>
      <c r="O162" s="116">
        <v>219</v>
      </c>
      <c r="P162" s="113">
        <v>3160</v>
      </c>
      <c r="Q162" s="114">
        <v>0</v>
      </c>
      <c r="R162" s="114">
        <v>0</v>
      </c>
      <c r="S162" s="114">
        <v>0</v>
      </c>
      <c r="T162" s="113">
        <v>3160</v>
      </c>
      <c r="U162" s="114">
        <v>0</v>
      </c>
      <c r="V162" s="113">
        <v>21114</v>
      </c>
      <c r="W162" s="113">
        <v>10082</v>
      </c>
      <c r="X162" s="113">
        <v>31196</v>
      </c>
      <c r="Y162" s="113">
        <v>6967</v>
      </c>
      <c r="Z162" s="113">
        <v>0</v>
      </c>
      <c r="AA162" s="113">
        <v>38163</v>
      </c>
      <c r="AB162" s="113">
        <f t="shared" si="2"/>
        <v>4.3905890473999083</v>
      </c>
    </row>
    <row r="163" spans="1:28" ht="15.75" thickBot="1" x14ac:dyDescent="0.3">
      <c r="A163" s="44" t="s">
        <v>927</v>
      </c>
      <c r="B163" s="107" t="s">
        <v>928</v>
      </c>
      <c r="C163" s="110" t="s">
        <v>808</v>
      </c>
      <c r="D163" s="110" t="s">
        <v>2064</v>
      </c>
      <c r="E163" s="111" t="s">
        <v>799</v>
      </c>
      <c r="F163" s="111" t="s">
        <v>800</v>
      </c>
      <c r="G163" s="112">
        <v>11833</v>
      </c>
      <c r="H163" s="112">
        <v>11747</v>
      </c>
      <c r="I163" s="113">
        <v>57168</v>
      </c>
      <c r="J163" s="113">
        <v>420905</v>
      </c>
      <c r="K163" s="113">
        <v>0</v>
      </c>
      <c r="L163" s="113">
        <v>0</v>
      </c>
      <c r="M163" s="113">
        <v>478073</v>
      </c>
      <c r="N163" s="113">
        <v>27364</v>
      </c>
      <c r="O163" s="116">
        <v>86</v>
      </c>
      <c r="P163" s="113">
        <v>419</v>
      </c>
      <c r="Q163" s="113">
        <v>0</v>
      </c>
      <c r="R163" s="113">
        <v>0</v>
      </c>
      <c r="S163" s="113">
        <v>0</v>
      </c>
      <c r="T163" s="113">
        <v>419</v>
      </c>
      <c r="U163" s="113">
        <v>200</v>
      </c>
      <c r="V163" s="113">
        <v>478492</v>
      </c>
      <c r="W163" s="113">
        <v>27564</v>
      </c>
      <c r="X163" s="113">
        <v>506056</v>
      </c>
      <c r="Y163" s="113">
        <v>8677</v>
      </c>
      <c r="Z163" s="113">
        <v>1122</v>
      </c>
      <c r="AA163" s="113">
        <v>515855</v>
      </c>
      <c r="AB163" s="113">
        <f t="shared" si="2"/>
        <v>43.594608298825321</v>
      </c>
    </row>
    <row r="164" spans="1:28" ht="15.75" thickBot="1" x14ac:dyDescent="0.3">
      <c r="A164" s="44" t="s">
        <v>931</v>
      </c>
      <c r="B164" s="107" t="s">
        <v>932</v>
      </c>
      <c r="C164" s="110" t="s">
        <v>808</v>
      </c>
      <c r="D164" s="110" t="s">
        <v>2091</v>
      </c>
      <c r="E164" s="111" t="s">
        <v>804</v>
      </c>
      <c r="F164" s="111" t="s">
        <v>805</v>
      </c>
      <c r="G164" s="112">
        <v>10857</v>
      </c>
      <c r="H164" s="112">
        <v>1093</v>
      </c>
      <c r="I164" s="113">
        <v>6460</v>
      </c>
      <c r="J164" s="113">
        <v>123880</v>
      </c>
      <c r="K164" s="114">
        <v>0</v>
      </c>
      <c r="L164" s="114">
        <v>0</v>
      </c>
      <c r="M164" s="113">
        <v>130340</v>
      </c>
      <c r="N164" s="113">
        <v>20027</v>
      </c>
      <c r="O164" s="116">
        <v>9764</v>
      </c>
      <c r="P164" s="113">
        <v>60694</v>
      </c>
      <c r="Q164" s="114">
        <v>0</v>
      </c>
      <c r="R164" s="114">
        <v>0</v>
      </c>
      <c r="S164" s="114">
        <v>0</v>
      </c>
      <c r="T164" s="113">
        <v>60694</v>
      </c>
      <c r="U164" s="114">
        <v>0</v>
      </c>
      <c r="V164" s="113">
        <v>191034</v>
      </c>
      <c r="W164" s="113">
        <v>20027</v>
      </c>
      <c r="X164" s="113">
        <v>211061</v>
      </c>
      <c r="Y164" s="113">
        <v>8319</v>
      </c>
      <c r="Z164" s="113">
        <v>0</v>
      </c>
      <c r="AA164" s="113">
        <v>219380</v>
      </c>
      <c r="AB164" s="113">
        <f t="shared" si="2"/>
        <v>20.206318504190843</v>
      </c>
    </row>
    <row r="165" spans="1:28" ht="15.75" thickBot="1" x14ac:dyDescent="0.3">
      <c r="A165" s="44" t="s">
        <v>935</v>
      </c>
      <c r="B165" s="107" t="s">
        <v>936</v>
      </c>
      <c r="C165" s="110" t="s">
        <v>808</v>
      </c>
      <c r="D165" s="110" t="s">
        <v>2098</v>
      </c>
      <c r="E165" s="111" t="s">
        <v>804</v>
      </c>
      <c r="F165" s="111" t="s">
        <v>805</v>
      </c>
      <c r="G165" s="112">
        <v>9483</v>
      </c>
      <c r="H165" s="112">
        <v>3509</v>
      </c>
      <c r="I165" s="113">
        <v>6988</v>
      </c>
      <c r="J165" s="113">
        <v>0</v>
      </c>
      <c r="K165" s="113">
        <v>68461</v>
      </c>
      <c r="L165" s="113">
        <v>1510</v>
      </c>
      <c r="M165" s="113">
        <v>76959</v>
      </c>
      <c r="N165" s="113">
        <v>67806</v>
      </c>
      <c r="O165" s="116">
        <v>5974</v>
      </c>
      <c r="P165" s="113">
        <v>11898</v>
      </c>
      <c r="Q165" s="113">
        <v>0</v>
      </c>
      <c r="R165" s="113">
        <v>0</v>
      </c>
      <c r="S165" s="113">
        <v>71221</v>
      </c>
      <c r="T165" s="113">
        <v>83119</v>
      </c>
      <c r="U165" s="113">
        <v>0</v>
      </c>
      <c r="V165" s="113">
        <v>160078</v>
      </c>
      <c r="W165" s="113">
        <v>67806</v>
      </c>
      <c r="X165" s="113">
        <v>227884</v>
      </c>
      <c r="Y165" s="113">
        <v>7226</v>
      </c>
      <c r="Z165" s="113">
        <v>0</v>
      </c>
      <c r="AA165" s="113">
        <v>235110</v>
      </c>
      <c r="AB165" s="113">
        <f t="shared" si="2"/>
        <v>24.792787092692187</v>
      </c>
    </row>
    <row r="166" spans="1:28" ht="15.75" thickBot="1" x14ac:dyDescent="0.3">
      <c r="A166" s="44" t="s">
        <v>937</v>
      </c>
      <c r="B166" s="107" t="s">
        <v>938</v>
      </c>
      <c r="C166" s="110" t="s">
        <v>808</v>
      </c>
      <c r="D166" s="110" t="s">
        <v>1952</v>
      </c>
      <c r="E166" s="111" t="s">
        <v>804</v>
      </c>
      <c r="F166" s="111" t="s">
        <v>805</v>
      </c>
      <c r="G166" s="112">
        <v>8257</v>
      </c>
      <c r="H166" s="112">
        <v>8257</v>
      </c>
      <c r="I166" s="113">
        <v>6831</v>
      </c>
      <c r="J166" s="113">
        <v>0</v>
      </c>
      <c r="K166" s="113">
        <v>277929</v>
      </c>
      <c r="L166" s="113">
        <v>3195</v>
      </c>
      <c r="M166" s="113">
        <v>287955</v>
      </c>
      <c r="N166" s="113">
        <v>14808</v>
      </c>
      <c r="O166" s="115">
        <v>0</v>
      </c>
      <c r="P166" s="114">
        <v>0</v>
      </c>
      <c r="Q166" s="114">
        <v>0</v>
      </c>
      <c r="R166" s="114">
        <v>0</v>
      </c>
      <c r="S166" s="114">
        <v>0</v>
      </c>
      <c r="T166" s="114">
        <v>0</v>
      </c>
      <c r="U166" s="114">
        <v>0</v>
      </c>
      <c r="V166" s="113">
        <v>287955</v>
      </c>
      <c r="W166" s="113">
        <v>14808</v>
      </c>
      <c r="X166" s="113">
        <v>302763</v>
      </c>
      <c r="Y166" s="113">
        <v>3195</v>
      </c>
      <c r="Z166" s="113">
        <v>0</v>
      </c>
      <c r="AA166" s="113">
        <v>305958</v>
      </c>
      <c r="AB166" s="113">
        <f t="shared" si="2"/>
        <v>37.054378103427396</v>
      </c>
    </row>
    <row r="167" spans="1:28" ht="15.75" thickBot="1" x14ac:dyDescent="0.3">
      <c r="A167" s="44" t="s">
        <v>943</v>
      </c>
      <c r="B167" s="107" t="s">
        <v>944</v>
      </c>
      <c r="C167" s="110" t="s">
        <v>808</v>
      </c>
      <c r="D167" s="110" t="s">
        <v>1988</v>
      </c>
      <c r="E167" s="111" t="s">
        <v>804</v>
      </c>
      <c r="F167" s="111" t="s">
        <v>805</v>
      </c>
      <c r="G167" s="112">
        <v>9810</v>
      </c>
      <c r="H167" s="112">
        <v>8917</v>
      </c>
      <c r="I167" s="113">
        <v>31954</v>
      </c>
      <c r="J167" s="113">
        <v>810015</v>
      </c>
      <c r="K167" s="113">
        <v>0</v>
      </c>
      <c r="L167" s="113">
        <v>81782</v>
      </c>
      <c r="M167" s="113">
        <v>923751</v>
      </c>
      <c r="N167" s="113">
        <v>168471</v>
      </c>
      <c r="O167" s="116">
        <v>893</v>
      </c>
      <c r="P167" s="113">
        <v>2935</v>
      </c>
      <c r="Q167" s="113">
        <v>8441</v>
      </c>
      <c r="R167" s="113">
        <v>0</v>
      </c>
      <c r="S167" s="113">
        <v>4000</v>
      </c>
      <c r="T167" s="113">
        <v>15376</v>
      </c>
      <c r="U167" s="113">
        <v>0</v>
      </c>
      <c r="V167" s="113">
        <v>939127</v>
      </c>
      <c r="W167" s="113">
        <v>168471</v>
      </c>
      <c r="X167" s="113">
        <v>1107598</v>
      </c>
      <c r="Y167" s="113">
        <v>7516</v>
      </c>
      <c r="Z167" s="113">
        <v>0</v>
      </c>
      <c r="AA167" s="113">
        <v>1115114</v>
      </c>
      <c r="AB167" s="113">
        <f t="shared" si="2"/>
        <v>113.67115188583078</v>
      </c>
    </row>
    <row r="168" spans="1:28" ht="15.75" thickBot="1" x14ac:dyDescent="0.3">
      <c r="A168" s="44" t="s">
        <v>979</v>
      </c>
      <c r="B168" s="107" t="s">
        <v>980</v>
      </c>
      <c r="C168" s="110" t="s">
        <v>808</v>
      </c>
      <c r="D168" s="110" t="s">
        <v>1926</v>
      </c>
      <c r="E168" s="111" t="s">
        <v>804</v>
      </c>
      <c r="F168" s="111" t="s">
        <v>805</v>
      </c>
      <c r="G168" s="112">
        <v>11862</v>
      </c>
      <c r="H168" s="112">
        <v>11862</v>
      </c>
      <c r="I168" s="113">
        <v>38215</v>
      </c>
      <c r="J168" s="113">
        <v>280635</v>
      </c>
      <c r="K168" s="114">
        <v>0</v>
      </c>
      <c r="L168" s="113">
        <v>16149</v>
      </c>
      <c r="M168" s="113">
        <v>334999</v>
      </c>
      <c r="N168" s="113">
        <v>27020</v>
      </c>
      <c r="O168" s="115">
        <v>0</v>
      </c>
      <c r="P168" s="114">
        <v>0</v>
      </c>
      <c r="Q168" s="114">
        <v>0</v>
      </c>
      <c r="R168" s="114">
        <v>0</v>
      </c>
      <c r="S168" s="114">
        <v>0</v>
      </c>
      <c r="T168" s="114">
        <v>0</v>
      </c>
      <c r="U168" s="114">
        <v>0</v>
      </c>
      <c r="V168" s="113">
        <v>334999</v>
      </c>
      <c r="W168" s="113">
        <v>27020</v>
      </c>
      <c r="X168" s="113">
        <v>362019</v>
      </c>
      <c r="Y168" s="113">
        <v>9508</v>
      </c>
      <c r="Z168" s="113">
        <v>1923</v>
      </c>
      <c r="AA168" s="113">
        <v>373450</v>
      </c>
      <c r="AB168" s="113">
        <f t="shared" si="2"/>
        <v>31.482886528410049</v>
      </c>
    </row>
    <row r="169" spans="1:28" ht="15.75" thickBot="1" x14ac:dyDescent="0.3">
      <c r="A169" s="44" t="s">
        <v>1003</v>
      </c>
      <c r="B169" s="107" t="s">
        <v>1004</v>
      </c>
      <c r="C169" s="110" t="s">
        <v>808</v>
      </c>
      <c r="D169" s="110" t="s">
        <v>2205</v>
      </c>
      <c r="E169" s="111" t="s">
        <v>844</v>
      </c>
      <c r="F169" s="111" t="s">
        <v>845</v>
      </c>
      <c r="G169" s="112">
        <v>10021</v>
      </c>
      <c r="H169" s="112">
        <v>10021</v>
      </c>
      <c r="I169" s="113">
        <v>5513</v>
      </c>
      <c r="J169" s="113">
        <v>0</v>
      </c>
      <c r="K169" s="113">
        <v>0</v>
      </c>
      <c r="L169" s="113">
        <v>121676</v>
      </c>
      <c r="M169" s="113">
        <v>127189</v>
      </c>
      <c r="N169" s="114">
        <v>0</v>
      </c>
      <c r="O169" s="115">
        <v>0</v>
      </c>
      <c r="P169" s="114">
        <v>0</v>
      </c>
      <c r="Q169" s="114">
        <v>0</v>
      </c>
      <c r="R169" s="114">
        <v>0</v>
      </c>
      <c r="S169" s="114">
        <v>0</v>
      </c>
      <c r="T169" s="114">
        <v>0</v>
      </c>
      <c r="U169" s="114">
        <v>0</v>
      </c>
      <c r="V169" s="113">
        <v>127189</v>
      </c>
      <c r="W169" s="114">
        <v>0</v>
      </c>
      <c r="X169" s="113">
        <v>127189</v>
      </c>
      <c r="Y169" s="113">
        <v>7349</v>
      </c>
      <c r="Z169" s="113">
        <v>0</v>
      </c>
      <c r="AA169" s="113">
        <v>134538</v>
      </c>
      <c r="AB169" s="113">
        <f t="shared" si="2"/>
        <v>13.425606226923462</v>
      </c>
    </row>
    <row r="170" spans="1:28" ht="15.75" thickBot="1" x14ac:dyDescent="0.3">
      <c r="A170" s="44" t="s">
        <v>1015</v>
      </c>
      <c r="B170" s="107" t="s">
        <v>1016</v>
      </c>
      <c r="C170" s="110" t="s">
        <v>808</v>
      </c>
      <c r="D170" s="110" t="s">
        <v>1919</v>
      </c>
      <c r="E170" s="111" t="s">
        <v>844</v>
      </c>
      <c r="F170" s="111" t="s">
        <v>845</v>
      </c>
      <c r="G170" s="112">
        <v>7439</v>
      </c>
      <c r="H170" s="112">
        <v>7439</v>
      </c>
      <c r="I170" s="113">
        <v>51344</v>
      </c>
      <c r="J170" s="113">
        <v>70226</v>
      </c>
      <c r="K170" s="113">
        <v>0</v>
      </c>
      <c r="L170" s="113">
        <v>50000</v>
      </c>
      <c r="M170" s="113">
        <v>171570</v>
      </c>
      <c r="N170" s="113">
        <v>17460</v>
      </c>
      <c r="O170" s="115">
        <v>0</v>
      </c>
      <c r="P170" s="114">
        <v>0</v>
      </c>
      <c r="Q170" s="114">
        <v>0</v>
      </c>
      <c r="R170" s="114">
        <v>0</v>
      </c>
      <c r="S170" s="114">
        <v>0</v>
      </c>
      <c r="T170" s="114">
        <v>0</v>
      </c>
      <c r="U170" s="114">
        <v>0</v>
      </c>
      <c r="V170" s="113">
        <v>171570</v>
      </c>
      <c r="W170" s="113">
        <v>17460</v>
      </c>
      <c r="X170" s="113">
        <v>189030</v>
      </c>
      <c r="Y170" s="113">
        <v>5455</v>
      </c>
      <c r="Z170" s="113">
        <v>0</v>
      </c>
      <c r="AA170" s="113">
        <v>194485</v>
      </c>
      <c r="AB170" s="113">
        <f t="shared" si="2"/>
        <v>26.143970963839227</v>
      </c>
    </row>
    <row r="171" spans="1:28" ht="15.75" thickBot="1" x14ac:dyDescent="0.3">
      <c r="A171" s="44" t="s">
        <v>1029</v>
      </c>
      <c r="B171" s="107" t="s">
        <v>1030</v>
      </c>
      <c r="C171" s="110" t="s">
        <v>808</v>
      </c>
      <c r="D171" s="110" t="s">
        <v>2001</v>
      </c>
      <c r="E171" s="111" t="s">
        <v>1031</v>
      </c>
      <c r="F171" s="111" t="s">
        <v>1032</v>
      </c>
      <c r="G171" s="112">
        <v>7392</v>
      </c>
      <c r="H171" s="112">
        <v>7392</v>
      </c>
      <c r="I171" s="113">
        <v>59269</v>
      </c>
      <c r="J171" s="113">
        <v>177589</v>
      </c>
      <c r="K171" s="114">
        <v>0</v>
      </c>
      <c r="L171" s="113">
        <v>1654</v>
      </c>
      <c r="M171" s="113">
        <v>238512</v>
      </c>
      <c r="N171" s="113">
        <v>8657</v>
      </c>
      <c r="O171" s="115">
        <v>0</v>
      </c>
      <c r="P171" s="114">
        <v>0</v>
      </c>
      <c r="Q171" s="114">
        <v>0</v>
      </c>
      <c r="R171" s="114">
        <v>0</v>
      </c>
      <c r="S171" s="114">
        <v>0</v>
      </c>
      <c r="T171" s="114">
        <v>0</v>
      </c>
      <c r="U171" s="114">
        <v>0</v>
      </c>
      <c r="V171" s="113">
        <v>238512</v>
      </c>
      <c r="W171" s="113">
        <v>8657</v>
      </c>
      <c r="X171" s="113">
        <v>247169</v>
      </c>
      <c r="Y171" s="113">
        <v>5132</v>
      </c>
      <c r="Z171" s="113">
        <v>0</v>
      </c>
      <c r="AA171" s="113">
        <v>252301</v>
      </c>
      <c r="AB171" s="113">
        <f t="shared" si="2"/>
        <v>34.131628787878789</v>
      </c>
    </row>
    <row r="172" spans="1:28" ht="15.75" thickBot="1" x14ac:dyDescent="0.3">
      <c r="A172" s="44" t="s">
        <v>1033</v>
      </c>
      <c r="B172" s="107" t="s">
        <v>1034</v>
      </c>
      <c r="C172" s="110" t="s">
        <v>808</v>
      </c>
      <c r="D172" s="110" t="s">
        <v>1925</v>
      </c>
      <c r="E172" s="111" t="s">
        <v>804</v>
      </c>
      <c r="F172" s="111" t="s">
        <v>805</v>
      </c>
      <c r="G172" s="112">
        <v>9512</v>
      </c>
      <c r="H172" s="112">
        <v>9512</v>
      </c>
      <c r="I172" s="113">
        <v>8865</v>
      </c>
      <c r="J172" s="113">
        <v>0</v>
      </c>
      <c r="K172" s="113">
        <v>204223</v>
      </c>
      <c r="L172" s="113">
        <v>0</v>
      </c>
      <c r="M172" s="113">
        <v>213088</v>
      </c>
      <c r="N172" s="113">
        <v>5465</v>
      </c>
      <c r="O172" s="115">
        <v>0</v>
      </c>
      <c r="P172" s="114">
        <v>0</v>
      </c>
      <c r="Q172" s="114">
        <v>0</v>
      </c>
      <c r="R172" s="114">
        <v>0</v>
      </c>
      <c r="S172" s="114">
        <v>0</v>
      </c>
      <c r="T172" s="114">
        <v>0</v>
      </c>
      <c r="U172" s="114">
        <v>0</v>
      </c>
      <c r="V172" s="113">
        <v>213088</v>
      </c>
      <c r="W172" s="113">
        <v>5465</v>
      </c>
      <c r="X172" s="113">
        <v>218553</v>
      </c>
      <c r="Y172" s="113">
        <v>6600</v>
      </c>
      <c r="Z172" s="113">
        <v>0</v>
      </c>
      <c r="AA172" s="113">
        <v>225153</v>
      </c>
      <c r="AB172" s="113">
        <f t="shared" si="2"/>
        <v>23.670416316232128</v>
      </c>
    </row>
    <row r="173" spans="1:28" ht="15.75" thickBot="1" x14ac:dyDescent="0.3">
      <c r="A173" s="44" t="s">
        <v>1045</v>
      </c>
      <c r="B173" s="107" t="s">
        <v>1046</v>
      </c>
      <c r="C173" s="110" t="s">
        <v>808</v>
      </c>
      <c r="D173" s="110" t="s">
        <v>2259</v>
      </c>
      <c r="E173" s="111" t="s">
        <v>1047</v>
      </c>
      <c r="F173" s="111" t="s">
        <v>1048</v>
      </c>
      <c r="G173" s="112">
        <v>7717</v>
      </c>
      <c r="H173" s="112">
        <v>4462</v>
      </c>
      <c r="I173" s="113">
        <v>28742</v>
      </c>
      <c r="J173" s="113">
        <v>57794</v>
      </c>
      <c r="K173" s="114">
        <v>0</v>
      </c>
      <c r="L173" s="113">
        <v>26976</v>
      </c>
      <c r="M173" s="113">
        <v>113512</v>
      </c>
      <c r="N173" s="114">
        <v>0</v>
      </c>
      <c r="O173" s="116">
        <v>3255</v>
      </c>
      <c r="P173" s="113">
        <v>21241</v>
      </c>
      <c r="Q173" s="114">
        <v>0</v>
      </c>
      <c r="R173" s="114">
        <v>0</v>
      </c>
      <c r="S173" s="113">
        <v>1050</v>
      </c>
      <c r="T173" s="113">
        <v>22291</v>
      </c>
      <c r="U173" s="113">
        <v>0</v>
      </c>
      <c r="V173" s="113">
        <v>135803</v>
      </c>
      <c r="W173" s="113">
        <v>0</v>
      </c>
      <c r="X173" s="113">
        <v>135803</v>
      </c>
      <c r="Y173" s="113">
        <v>4487</v>
      </c>
      <c r="Z173" s="113">
        <v>0</v>
      </c>
      <c r="AA173" s="113">
        <v>140290</v>
      </c>
      <c r="AB173" s="113">
        <f t="shared" si="2"/>
        <v>18.179344304781651</v>
      </c>
    </row>
    <row r="174" spans="1:28" ht="15.75" thickBot="1" x14ac:dyDescent="0.3">
      <c r="A174" s="44" t="s">
        <v>1069</v>
      </c>
      <c r="B174" s="107" t="s">
        <v>1070</v>
      </c>
      <c r="C174" s="110" t="s">
        <v>808</v>
      </c>
      <c r="D174" s="110" t="s">
        <v>2043</v>
      </c>
      <c r="E174" s="111" t="s">
        <v>804</v>
      </c>
      <c r="F174" s="111" t="s">
        <v>805</v>
      </c>
      <c r="G174" s="112">
        <v>7824</v>
      </c>
      <c r="H174" s="112">
        <v>7824</v>
      </c>
      <c r="I174" s="113">
        <v>19166</v>
      </c>
      <c r="J174" s="113">
        <v>321765</v>
      </c>
      <c r="K174" s="114">
        <v>0</v>
      </c>
      <c r="L174" s="114">
        <v>0</v>
      </c>
      <c r="M174" s="113">
        <v>340931</v>
      </c>
      <c r="N174" s="113">
        <v>78676</v>
      </c>
      <c r="O174" s="115">
        <v>0</v>
      </c>
      <c r="P174" s="114">
        <v>0</v>
      </c>
      <c r="Q174" s="114">
        <v>0</v>
      </c>
      <c r="R174" s="114">
        <v>0</v>
      </c>
      <c r="S174" s="114">
        <v>0</v>
      </c>
      <c r="T174" s="114">
        <v>0</v>
      </c>
      <c r="U174" s="114">
        <v>0</v>
      </c>
      <c r="V174" s="113">
        <v>340931</v>
      </c>
      <c r="W174" s="113">
        <v>78676</v>
      </c>
      <c r="X174" s="113">
        <v>419607</v>
      </c>
      <c r="Y174" s="113">
        <v>7171</v>
      </c>
      <c r="Z174" s="113">
        <v>0</v>
      </c>
      <c r="AA174" s="113">
        <v>426778</v>
      </c>
      <c r="AB174" s="113">
        <f t="shared" si="2"/>
        <v>54.547290388548056</v>
      </c>
    </row>
    <row r="175" spans="1:28" ht="15.75" thickBot="1" x14ac:dyDescent="0.3">
      <c r="A175" s="44" t="s">
        <v>1081</v>
      </c>
      <c r="B175" s="107" t="s">
        <v>1082</v>
      </c>
      <c r="C175" s="110" t="s">
        <v>808</v>
      </c>
      <c r="D175" s="110" t="s">
        <v>1964</v>
      </c>
      <c r="E175" s="111" t="s">
        <v>804</v>
      </c>
      <c r="F175" s="111" t="s">
        <v>805</v>
      </c>
      <c r="G175" s="112">
        <v>9476</v>
      </c>
      <c r="H175" s="112">
        <v>3951</v>
      </c>
      <c r="I175" s="113">
        <v>5268</v>
      </c>
      <c r="J175" s="113">
        <v>128825</v>
      </c>
      <c r="K175" s="114">
        <v>0</v>
      </c>
      <c r="L175" s="114">
        <v>0</v>
      </c>
      <c r="M175" s="113">
        <v>134093</v>
      </c>
      <c r="N175" s="113">
        <v>6560</v>
      </c>
      <c r="O175" s="116">
        <v>5525</v>
      </c>
      <c r="P175" s="113">
        <v>7367</v>
      </c>
      <c r="Q175" s="114">
        <v>0</v>
      </c>
      <c r="R175" s="114">
        <v>0</v>
      </c>
      <c r="S175" s="114">
        <v>0</v>
      </c>
      <c r="T175" s="113">
        <v>7367</v>
      </c>
      <c r="U175" s="114">
        <v>0</v>
      </c>
      <c r="V175" s="113">
        <v>141460</v>
      </c>
      <c r="W175" s="113">
        <v>6560</v>
      </c>
      <c r="X175" s="113">
        <v>148020</v>
      </c>
      <c r="Y175" s="113">
        <v>3500</v>
      </c>
      <c r="Z175" s="113">
        <v>0</v>
      </c>
      <c r="AA175" s="113">
        <v>151520</v>
      </c>
      <c r="AB175" s="113">
        <f t="shared" si="2"/>
        <v>15.989869143098353</v>
      </c>
    </row>
    <row r="176" spans="1:28" ht="15.75" thickBot="1" x14ac:dyDescent="0.3">
      <c r="A176" s="44" t="s">
        <v>1087</v>
      </c>
      <c r="B176" s="107" t="s">
        <v>1088</v>
      </c>
      <c r="C176" s="110" t="s">
        <v>808</v>
      </c>
      <c r="D176" s="110" t="s">
        <v>1926</v>
      </c>
      <c r="E176" s="111" t="s">
        <v>804</v>
      </c>
      <c r="F176" s="111" t="s">
        <v>805</v>
      </c>
      <c r="G176" s="112">
        <v>10983</v>
      </c>
      <c r="H176" s="112">
        <v>7116</v>
      </c>
      <c r="I176" s="113">
        <v>22996</v>
      </c>
      <c r="J176" s="113">
        <v>0</v>
      </c>
      <c r="K176" s="113">
        <v>320000</v>
      </c>
      <c r="L176" s="113">
        <v>0</v>
      </c>
      <c r="M176" s="113">
        <v>342996</v>
      </c>
      <c r="N176" s="113">
        <v>28316</v>
      </c>
      <c r="O176" s="116">
        <v>3867</v>
      </c>
      <c r="P176" s="113">
        <v>12383</v>
      </c>
      <c r="Q176" s="113">
        <v>45670</v>
      </c>
      <c r="R176" s="113">
        <v>0</v>
      </c>
      <c r="S176" s="113">
        <v>0</v>
      </c>
      <c r="T176" s="113">
        <v>58053</v>
      </c>
      <c r="U176" s="114">
        <v>0</v>
      </c>
      <c r="V176" s="113">
        <v>401049</v>
      </c>
      <c r="W176" s="113">
        <v>28316</v>
      </c>
      <c r="X176" s="113">
        <v>429365</v>
      </c>
      <c r="Y176" s="113">
        <v>8803</v>
      </c>
      <c r="Z176" s="113">
        <v>4451</v>
      </c>
      <c r="AA176" s="113">
        <v>442619</v>
      </c>
      <c r="AB176" s="113">
        <f t="shared" si="2"/>
        <v>40.300373304197393</v>
      </c>
    </row>
    <row r="177" spans="1:28" ht="15.75" thickBot="1" x14ac:dyDescent="0.3">
      <c r="A177" s="44" t="s">
        <v>1095</v>
      </c>
      <c r="B177" s="107" t="s">
        <v>1096</v>
      </c>
      <c r="C177" s="110" t="s">
        <v>808</v>
      </c>
      <c r="D177" s="110" t="s">
        <v>2203</v>
      </c>
      <c r="E177" s="111" t="s">
        <v>804</v>
      </c>
      <c r="F177" s="111" t="s">
        <v>805</v>
      </c>
      <c r="G177" s="112">
        <v>11239</v>
      </c>
      <c r="H177" s="112">
        <v>9505</v>
      </c>
      <c r="I177" s="113">
        <v>43329</v>
      </c>
      <c r="J177" s="114">
        <v>0</v>
      </c>
      <c r="K177" s="113">
        <v>11345</v>
      </c>
      <c r="L177" s="114">
        <v>0</v>
      </c>
      <c r="M177" s="113">
        <v>54674</v>
      </c>
      <c r="N177" s="113">
        <v>32164</v>
      </c>
      <c r="O177" s="116">
        <v>1734</v>
      </c>
      <c r="P177" s="113">
        <v>8253</v>
      </c>
      <c r="Q177" s="114">
        <v>0</v>
      </c>
      <c r="R177" s="113">
        <v>1200</v>
      </c>
      <c r="S177" s="114">
        <v>0</v>
      </c>
      <c r="T177" s="113">
        <v>9453</v>
      </c>
      <c r="U177" s="113">
        <v>6127</v>
      </c>
      <c r="V177" s="113">
        <v>64127</v>
      </c>
      <c r="W177" s="113">
        <v>38291</v>
      </c>
      <c r="X177" s="113">
        <v>102418</v>
      </c>
      <c r="Y177" s="113">
        <v>8612</v>
      </c>
      <c r="Z177" s="113">
        <v>0</v>
      </c>
      <c r="AA177" s="113">
        <v>111030</v>
      </c>
      <c r="AB177" s="113">
        <f t="shared" si="2"/>
        <v>9.8789927929531096</v>
      </c>
    </row>
    <row r="178" spans="1:28" ht="15.75" thickBot="1" x14ac:dyDescent="0.3">
      <c r="A178" s="44" t="s">
        <v>1109</v>
      </c>
      <c r="B178" s="107" t="s">
        <v>1110</v>
      </c>
      <c r="C178" s="110" t="s">
        <v>808</v>
      </c>
      <c r="D178" s="110" t="s">
        <v>2180</v>
      </c>
      <c r="E178" s="111" t="s">
        <v>804</v>
      </c>
      <c r="F178" s="111" t="s">
        <v>805</v>
      </c>
      <c r="G178" s="112">
        <v>8875</v>
      </c>
      <c r="H178" s="112">
        <v>8875</v>
      </c>
      <c r="I178" s="113">
        <v>29662</v>
      </c>
      <c r="J178" s="113">
        <v>345825</v>
      </c>
      <c r="K178" s="114">
        <v>0</v>
      </c>
      <c r="L178" s="113">
        <v>29075</v>
      </c>
      <c r="M178" s="113">
        <v>404562</v>
      </c>
      <c r="N178" s="113">
        <v>22472</v>
      </c>
      <c r="O178" s="115">
        <v>0</v>
      </c>
      <c r="P178" s="114">
        <v>0</v>
      </c>
      <c r="Q178" s="114">
        <v>0</v>
      </c>
      <c r="R178" s="114">
        <v>0</v>
      </c>
      <c r="S178" s="114">
        <v>0</v>
      </c>
      <c r="T178" s="114">
        <v>0</v>
      </c>
      <c r="U178" s="114">
        <v>0</v>
      </c>
      <c r="V178" s="113">
        <v>404562</v>
      </c>
      <c r="W178" s="113">
        <v>22472</v>
      </c>
      <c r="X178" s="113">
        <v>427034</v>
      </c>
      <c r="Y178" s="113">
        <v>6800</v>
      </c>
      <c r="Z178" s="113">
        <v>0</v>
      </c>
      <c r="AA178" s="113">
        <v>433834</v>
      </c>
      <c r="AB178" s="113">
        <f t="shared" si="2"/>
        <v>48.882704225352114</v>
      </c>
    </row>
    <row r="179" spans="1:28" ht="15.75" thickBot="1" x14ac:dyDescent="0.3">
      <c r="A179" s="44" t="s">
        <v>1127</v>
      </c>
      <c r="B179" s="107" t="s">
        <v>1128</v>
      </c>
      <c r="C179" s="110" t="s">
        <v>808</v>
      </c>
      <c r="D179" s="110" t="s">
        <v>2382</v>
      </c>
      <c r="E179" s="111" t="s">
        <v>844</v>
      </c>
      <c r="F179" s="111" t="s">
        <v>845</v>
      </c>
      <c r="G179" s="112">
        <v>8133</v>
      </c>
      <c r="H179" s="112">
        <v>3979</v>
      </c>
      <c r="I179" s="113">
        <v>51536</v>
      </c>
      <c r="J179" s="113">
        <v>257396</v>
      </c>
      <c r="K179" s="113">
        <v>21000</v>
      </c>
      <c r="L179" s="113">
        <v>0</v>
      </c>
      <c r="M179" s="113">
        <v>329932</v>
      </c>
      <c r="N179" s="113">
        <v>6965</v>
      </c>
      <c r="O179" s="116">
        <v>4154</v>
      </c>
      <c r="P179" s="113">
        <v>0</v>
      </c>
      <c r="Q179" s="114">
        <v>0</v>
      </c>
      <c r="R179" s="114">
        <v>0</v>
      </c>
      <c r="S179" s="113">
        <v>20354</v>
      </c>
      <c r="T179" s="113">
        <v>20354</v>
      </c>
      <c r="U179" s="113">
        <v>0</v>
      </c>
      <c r="V179" s="113">
        <v>350286</v>
      </c>
      <c r="W179" s="113">
        <v>6965</v>
      </c>
      <c r="X179" s="113">
        <v>357251</v>
      </c>
      <c r="Y179" s="113">
        <v>5964</v>
      </c>
      <c r="Z179" s="113">
        <v>0</v>
      </c>
      <c r="AA179" s="113">
        <v>363215</v>
      </c>
      <c r="AB179" s="113">
        <f t="shared" si="2"/>
        <v>44.659412270994714</v>
      </c>
    </row>
    <row r="180" spans="1:28" ht="15.75" thickBot="1" x14ac:dyDescent="0.3">
      <c r="A180" s="44" t="s">
        <v>1135</v>
      </c>
      <c r="B180" s="107" t="s">
        <v>1136</v>
      </c>
      <c r="C180" s="110" t="s">
        <v>808</v>
      </c>
      <c r="D180" s="110" t="s">
        <v>1919</v>
      </c>
      <c r="E180" s="111" t="s">
        <v>799</v>
      </c>
      <c r="F180" s="111" t="s">
        <v>800</v>
      </c>
      <c r="G180" s="112">
        <v>7135</v>
      </c>
      <c r="H180" s="112">
        <v>7135</v>
      </c>
      <c r="I180" s="113">
        <v>47345</v>
      </c>
      <c r="J180" s="113">
        <v>283938</v>
      </c>
      <c r="K180" s="114">
        <v>0</v>
      </c>
      <c r="L180" s="114">
        <v>0</v>
      </c>
      <c r="M180" s="113">
        <v>331283</v>
      </c>
      <c r="N180" s="113">
        <v>11724</v>
      </c>
      <c r="O180" s="115">
        <v>0</v>
      </c>
      <c r="P180" s="114">
        <v>0</v>
      </c>
      <c r="Q180" s="114">
        <v>0</v>
      </c>
      <c r="R180" s="114">
        <v>0</v>
      </c>
      <c r="S180" s="114">
        <v>0</v>
      </c>
      <c r="T180" s="114">
        <v>0</v>
      </c>
      <c r="U180" s="114">
        <v>0</v>
      </c>
      <c r="V180" s="113">
        <v>331283</v>
      </c>
      <c r="W180" s="113">
        <v>11724</v>
      </c>
      <c r="X180" s="113">
        <v>343007</v>
      </c>
      <c r="Y180" s="113">
        <v>5232</v>
      </c>
      <c r="Z180" s="113">
        <v>0</v>
      </c>
      <c r="AA180" s="113">
        <v>348239</v>
      </c>
      <c r="AB180" s="113">
        <f t="shared" si="2"/>
        <v>48.807147862648911</v>
      </c>
    </row>
    <row r="181" spans="1:28" ht="15.75" thickBot="1" x14ac:dyDescent="0.3">
      <c r="A181" s="44" t="s">
        <v>1143</v>
      </c>
      <c r="B181" s="107" t="s">
        <v>1144</v>
      </c>
      <c r="C181" s="110" t="s">
        <v>808</v>
      </c>
      <c r="D181" s="110" t="s">
        <v>2076</v>
      </c>
      <c r="E181" s="111" t="s">
        <v>804</v>
      </c>
      <c r="F181" s="111" t="s">
        <v>805</v>
      </c>
      <c r="G181" s="112">
        <v>11870</v>
      </c>
      <c r="H181" s="112">
        <v>8305</v>
      </c>
      <c r="I181" s="113">
        <v>22530</v>
      </c>
      <c r="J181" s="113">
        <v>126079</v>
      </c>
      <c r="K181" s="113">
        <v>888</v>
      </c>
      <c r="L181" s="113">
        <v>1481</v>
      </c>
      <c r="M181" s="113">
        <v>150978</v>
      </c>
      <c r="N181" s="113">
        <v>78691</v>
      </c>
      <c r="O181" s="116">
        <v>3565</v>
      </c>
      <c r="P181" s="113">
        <v>9673</v>
      </c>
      <c r="Q181" s="114">
        <v>0</v>
      </c>
      <c r="R181" s="113">
        <v>13800</v>
      </c>
      <c r="S181" s="114">
        <v>0</v>
      </c>
      <c r="T181" s="113">
        <v>23473</v>
      </c>
      <c r="U181" s="114">
        <v>0</v>
      </c>
      <c r="V181" s="113">
        <v>174451</v>
      </c>
      <c r="W181" s="113">
        <v>78691</v>
      </c>
      <c r="X181" s="113">
        <v>253142</v>
      </c>
      <c r="Y181" s="113">
        <v>9095</v>
      </c>
      <c r="Z181" s="113">
        <v>2000</v>
      </c>
      <c r="AA181" s="113">
        <v>264237</v>
      </c>
      <c r="AB181" s="113">
        <f t="shared" si="2"/>
        <v>22.260909856781804</v>
      </c>
    </row>
    <row r="182" spans="1:28" ht="15.75" thickBot="1" x14ac:dyDescent="0.3">
      <c r="A182" s="44" t="s">
        <v>1163</v>
      </c>
      <c r="B182" s="107" t="s">
        <v>1164</v>
      </c>
      <c r="C182" s="110" t="s">
        <v>808</v>
      </c>
      <c r="D182" s="110" t="s">
        <v>1885</v>
      </c>
      <c r="E182" s="111" t="s">
        <v>885</v>
      </c>
      <c r="F182" s="111" t="s">
        <v>886</v>
      </c>
      <c r="G182" s="112">
        <v>8764</v>
      </c>
      <c r="H182" s="112">
        <v>6238</v>
      </c>
      <c r="I182" s="113">
        <v>18719</v>
      </c>
      <c r="J182" s="114">
        <v>0</v>
      </c>
      <c r="K182" s="113">
        <v>450582</v>
      </c>
      <c r="L182" s="113">
        <v>0</v>
      </c>
      <c r="M182" s="113">
        <v>469301</v>
      </c>
      <c r="N182" s="113">
        <v>51885</v>
      </c>
      <c r="O182" s="116">
        <v>2526</v>
      </c>
      <c r="P182" s="114">
        <v>0</v>
      </c>
      <c r="Q182" s="114">
        <v>0</v>
      </c>
      <c r="R182" s="114">
        <v>0</v>
      </c>
      <c r="S182" s="113">
        <v>42236</v>
      </c>
      <c r="T182" s="113">
        <v>42236</v>
      </c>
      <c r="U182" s="114">
        <v>0</v>
      </c>
      <c r="V182" s="113">
        <v>511537</v>
      </c>
      <c r="W182" s="113">
        <v>51885</v>
      </c>
      <c r="X182" s="113">
        <v>563422</v>
      </c>
      <c r="Y182" s="113">
        <v>7029</v>
      </c>
      <c r="Z182" s="113">
        <v>0</v>
      </c>
      <c r="AA182" s="113">
        <v>570451</v>
      </c>
      <c r="AB182" s="113">
        <f t="shared" si="2"/>
        <v>65.090255591054316</v>
      </c>
    </row>
    <row r="183" spans="1:28" ht="15.75" thickBot="1" x14ac:dyDescent="0.3">
      <c r="A183" s="44" t="s">
        <v>1193</v>
      </c>
      <c r="B183" s="107" t="s">
        <v>1194</v>
      </c>
      <c r="C183" s="110" t="s">
        <v>808</v>
      </c>
      <c r="D183" s="110" t="s">
        <v>2157</v>
      </c>
      <c r="E183" s="111" t="s">
        <v>804</v>
      </c>
      <c r="F183" s="111" t="s">
        <v>805</v>
      </c>
      <c r="G183" s="112">
        <v>9555</v>
      </c>
      <c r="H183" s="112">
        <v>1283</v>
      </c>
      <c r="I183" s="113">
        <v>2000</v>
      </c>
      <c r="J183" s="114">
        <v>0</v>
      </c>
      <c r="K183" s="113">
        <v>25157</v>
      </c>
      <c r="L183" s="113">
        <v>2086</v>
      </c>
      <c r="M183" s="113">
        <v>29243</v>
      </c>
      <c r="N183" s="114">
        <v>0</v>
      </c>
      <c r="O183" s="116">
        <v>8272</v>
      </c>
      <c r="P183" s="113">
        <v>25955</v>
      </c>
      <c r="Q183" s="114">
        <v>0</v>
      </c>
      <c r="R183" s="113">
        <v>16750</v>
      </c>
      <c r="S183" s="114">
        <v>0</v>
      </c>
      <c r="T183" s="113">
        <v>42705</v>
      </c>
      <c r="U183" s="113">
        <v>10000</v>
      </c>
      <c r="V183" s="113">
        <v>71948</v>
      </c>
      <c r="W183" s="113">
        <v>10000</v>
      </c>
      <c r="X183" s="113">
        <v>81948</v>
      </c>
      <c r="Y183" s="113">
        <v>7658</v>
      </c>
      <c r="Z183" s="113">
        <v>0</v>
      </c>
      <c r="AA183" s="113">
        <v>89606</v>
      </c>
      <c r="AB183" s="113">
        <f t="shared" si="2"/>
        <v>9.3779173207744631</v>
      </c>
    </row>
    <row r="184" spans="1:28" ht="15.75" thickBot="1" x14ac:dyDescent="0.3">
      <c r="A184" s="44" t="s">
        <v>1199</v>
      </c>
      <c r="B184" s="107" t="s">
        <v>1200</v>
      </c>
      <c r="C184" s="110" t="s">
        <v>808</v>
      </c>
      <c r="D184" s="110" t="s">
        <v>2456</v>
      </c>
      <c r="E184" s="111" t="s">
        <v>804</v>
      </c>
      <c r="F184" s="111" t="s">
        <v>805</v>
      </c>
      <c r="G184" s="112">
        <v>9533</v>
      </c>
      <c r="H184" s="112">
        <v>4992</v>
      </c>
      <c r="I184" s="113">
        <v>21250</v>
      </c>
      <c r="J184" s="114">
        <v>0</v>
      </c>
      <c r="K184" s="113">
        <v>21964</v>
      </c>
      <c r="L184" s="114">
        <v>0</v>
      </c>
      <c r="M184" s="113">
        <v>43214</v>
      </c>
      <c r="N184" s="113">
        <v>1434</v>
      </c>
      <c r="O184" s="116">
        <v>4541</v>
      </c>
      <c r="P184" s="113">
        <v>21350</v>
      </c>
      <c r="Q184" s="114">
        <v>0</v>
      </c>
      <c r="R184" s="114">
        <v>0</v>
      </c>
      <c r="S184" s="114">
        <v>0</v>
      </c>
      <c r="T184" s="113">
        <v>21350</v>
      </c>
      <c r="U184" s="113">
        <v>1304</v>
      </c>
      <c r="V184" s="113">
        <v>64564</v>
      </c>
      <c r="W184" s="113">
        <v>2738</v>
      </c>
      <c r="X184" s="113">
        <v>67302</v>
      </c>
      <c r="Y184" s="113">
        <v>1981</v>
      </c>
      <c r="Z184" s="113">
        <v>0</v>
      </c>
      <c r="AA184" s="113">
        <v>69283</v>
      </c>
      <c r="AB184" s="113">
        <f t="shared" si="2"/>
        <v>7.2677016678904858</v>
      </c>
    </row>
    <row r="185" spans="1:28" ht="15.75" thickBot="1" x14ac:dyDescent="0.3">
      <c r="A185" s="44" t="s">
        <v>1217</v>
      </c>
      <c r="B185" s="107" t="s">
        <v>1218</v>
      </c>
      <c r="C185" s="110" t="s">
        <v>808</v>
      </c>
      <c r="D185" s="110" t="s">
        <v>1952</v>
      </c>
      <c r="E185" s="111" t="s">
        <v>804</v>
      </c>
      <c r="F185" s="111" t="s">
        <v>805</v>
      </c>
      <c r="G185" s="112">
        <v>10470</v>
      </c>
      <c r="H185" s="112">
        <v>10470</v>
      </c>
      <c r="I185" s="113">
        <v>9067</v>
      </c>
      <c r="J185" s="113">
        <v>352747</v>
      </c>
      <c r="K185" s="114">
        <v>0</v>
      </c>
      <c r="L185" s="113">
        <v>4145</v>
      </c>
      <c r="M185" s="113">
        <v>365959</v>
      </c>
      <c r="N185" s="113">
        <v>9113</v>
      </c>
      <c r="O185" s="115">
        <v>0</v>
      </c>
      <c r="P185" s="114">
        <v>0</v>
      </c>
      <c r="Q185" s="114">
        <v>0</v>
      </c>
      <c r="R185" s="114">
        <v>0</v>
      </c>
      <c r="S185" s="114">
        <v>0</v>
      </c>
      <c r="T185" s="114">
        <v>0</v>
      </c>
      <c r="U185" s="114">
        <v>0</v>
      </c>
      <c r="V185" s="113">
        <v>365959</v>
      </c>
      <c r="W185" s="113">
        <v>9113</v>
      </c>
      <c r="X185" s="113">
        <v>375072</v>
      </c>
      <c r="Y185" s="113">
        <v>11833</v>
      </c>
      <c r="Z185" s="113">
        <v>0</v>
      </c>
      <c r="AA185" s="113">
        <v>386905</v>
      </c>
      <c r="AB185" s="113">
        <f t="shared" si="2"/>
        <v>36.953677172874883</v>
      </c>
    </row>
    <row r="186" spans="1:28" ht="15.75" thickBot="1" x14ac:dyDescent="0.3">
      <c r="A186" s="44" t="s">
        <v>1229</v>
      </c>
      <c r="B186" s="107" t="s">
        <v>1230</v>
      </c>
      <c r="C186" s="110" t="s">
        <v>808</v>
      </c>
      <c r="D186" s="110" t="s">
        <v>1952</v>
      </c>
      <c r="E186" s="111" t="s">
        <v>804</v>
      </c>
      <c r="F186" s="111" t="s">
        <v>805</v>
      </c>
      <c r="G186" s="112">
        <v>11581</v>
      </c>
      <c r="H186" s="112">
        <v>5735</v>
      </c>
      <c r="I186" s="113">
        <v>6687</v>
      </c>
      <c r="J186" s="114">
        <v>0</v>
      </c>
      <c r="K186" s="113">
        <v>221673</v>
      </c>
      <c r="L186" s="114">
        <v>0</v>
      </c>
      <c r="M186" s="113">
        <v>228360</v>
      </c>
      <c r="N186" s="113">
        <v>17488</v>
      </c>
      <c r="O186" s="116">
        <v>5846</v>
      </c>
      <c r="P186" s="113">
        <v>11287</v>
      </c>
      <c r="Q186" s="113">
        <v>51688</v>
      </c>
      <c r="R186" s="114">
        <v>0</v>
      </c>
      <c r="S186" s="114">
        <v>0</v>
      </c>
      <c r="T186" s="113">
        <v>62975</v>
      </c>
      <c r="U186" s="114">
        <v>0</v>
      </c>
      <c r="V186" s="113">
        <v>291335</v>
      </c>
      <c r="W186" s="113">
        <v>17488</v>
      </c>
      <c r="X186" s="113">
        <v>308823</v>
      </c>
      <c r="Y186" s="113">
        <v>8874</v>
      </c>
      <c r="Z186" s="113">
        <v>0</v>
      </c>
      <c r="AA186" s="113">
        <v>317697</v>
      </c>
      <c r="AB186" s="113">
        <f t="shared" si="2"/>
        <v>27.432605129090753</v>
      </c>
    </row>
    <row r="187" spans="1:28" ht="15.75" thickBot="1" x14ac:dyDescent="0.3">
      <c r="A187" s="44" t="s">
        <v>1251</v>
      </c>
      <c r="B187" s="107" t="s">
        <v>1252</v>
      </c>
      <c r="C187" s="110" t="s">
        <v>808</v>
      </c>
      <c r="D187" s="110" t="s">
        <v>1948</v>
      </c>
      <c r="E187" s="111" t="s">
        <v>1253</v>
      </c>
      <c r="F187" s="111" t="s">
        <v>1254</v>
      </c>
      <c r="G187" s="112">
        <v>7312</v>
      </c>
      <c r="H187" s="112">
        <v>7312</v>
      </c>
      <c r="I187" s="113">
        <v>10230</v>
      </c>
      <c r="J187" s="113">
        <v>400885</v>
      </c>
      <c r="K187" s="113">
        <v>0</v>
      </c>
      <c r="L187" s="114">
        <v>0</v>
      </c>
      <c r="M187" s="113">
        <v>411115</v>
      </c>
      <c r="N187" s="113">
        <v>14965</v>
      </c>
      <c r="O187" s="115">
        <v>0</v>
      </c>
      <c r="P187" s="114">
        <v>0</v>
      </c>
      <c r="Q187" s="114">
        <v>0</v>
      </c>
      <c r="R187" s="114">
        <v>0</v>
      </c>
      <c r="S187" s="114">
        <v>0</v>
      </c>
      <c r="T187" s="114">
        <v>0</v>
      </c>
      <c r="U187" s="114">
        <v>0</v>
      </c>
      <c r="V187" s="113">
        <v>411115</v>
      </c>
      <c r="W187" s="113">
        <v>14965</v>
      </c>
      <c r="X187" s="113">
        <v>426080</v>
      </c>
      <c r="Y187" s="113">
        <v>5362</v>
      </c>
      <c r="Z187" s="113">
        <v>0</v>
      </c>
      <c r="AA187" s="113">
        <v>431442</v>
      </c>
      <c r="AB187" s="113">
        <f t="shared" si="2"/>
        <v>59.004649890590812</v>
      </c>
    </row>
    <row r="188" spans="1:28" ht="15.75" thickBot="1" x14ac:dyDescent="0.3">
      <c r="A188" s="44" t="s">
        <v>1257</v>
      </c>
      <c r="B188" s="107" t="s">
        <v>1258</v>
      </c>
      <c r="C188" s="110" t="s">
        <v>808</v>
      </c>
      <c r="D188" s="110" t="s">
        <v>2519</v>
      </c>
      <c r="E188" s="111" t="s">
        <v>804</v>
      </c>
      <c r="F188" s="111" t="s">
        <v>805</v>
      </c>
      <c r="G188" s="112">
        <v>8344</v>
      </c>
      <c r="H188" s="112">
        <v>7611</v>
      </c>
      <c r="I188" s="113">
        <v>63398</v>
      </c>
      <c r="J188" s="114">
        <v>0</v>
      </c>
      <c r="K188" s="114">
        <v>0</v>
      </c>
      <c r="L188" s="114">
        <v>0</v>
      </c>
      <c r="M188" s="113">
        <v>63398</v>
      </c>
      <c r="N188" s="113">
        <v>113362</v>
      </c>
      <c r="O188" s="116">
        <v>733</v>
      </c>
      <c r="P188" s="113">
        <v>5306</v>
      </c>
      <c r="Q188" s="114">
        <v>0</v>
      </c>
      <c r="R188" s="114">
        <v>0</v>
      </c>
      <c r="S188" s="114">
        <v>0</v>
      </c>
      <c r="T188" s="113">
        <v>5306</v>
      </c>
      <c r="U188" s="114">
        <v>0</v>
      </c>
      <c r="V188" s="113">
        <v>68704</v>
      </c>
      <c r="W188" s="113">
        <v>113362</v>
      </c>
      <c r="X188" s="113">
        <v>182066</v>
      </c>
      <c r="Y188" s="113">
        <v>6393</v>
      </c>
      <c r="Z188" s="113">
        <v>0</v>
      </c>
      <c r="AA188" s="113">
        <v>188459</v>
      </c>
      <c r="AB188" s="113">
        <f t="shared" si="2"/>
        <v>22.586169702780442</v>
      </c>
    </row>
    <row r="189" spans="1:28" ht="15.75" thickBot="1" x14ac:dyDescent="0.3">
      <c r="A189" s="44" t="s">
        <v>1277</v>
      </c>
      <c r="B189" s="107" t="s">
        <v>1278</v>
      </c>
      <c r="C189" s="110" t="s">
        <v>808</v>
      </c>
      <c r="D189" s="110" t="s">
        <v>1925</v>
      </c>
      <c r="E189" s="111" t="s">
        <v>885</v>
      </c>
      <c r="F189" s="111" t="s">
        <v>886</v>
      </c>
      <c r="G189" s="112">
        <v>10715</v>
      </c>
      <c r="H189" s="112">
        <v>10715</v>
      </c>
      <c r="I189" s="113">
        <v>13922</v>
      </c>
      <c r="J189" s="113">
        <v>186795</v>
      </c>
      <c r="K189" s="114">
        <v>0</v>
      </c>
      <c r="L189" s="113">
        <v>4185</v>
      </c>
      <c r="M189" s="113">
        <v>204902</v>
      </c>
      <c r="N189" s="113">
        <v>9283</v>
      </c>
      <c r="O189" s="115">
        <v>0</v>
      </c>
      <c r="P189" s="114">
        <v>0</v>
      </c>
      <c r="Q189" s="114">
        <v>0</v>
      </c>
      <c r="R189" s="114">
        <v>0</v>
      </c>
      <c r="S189" s="114">
        <v>0</v>
      </c>
      <c r="T189" s="114">
        <v>0</v>
      </c>
      <c r="U189" s="114">
        <v>0</v>
      </c>
      <c r="V189" s="113">
        <v>204902</v>
      </c>
      <c r="W189" s="113">
        <v>9283</v>
      </c>
      <c r="X189" s="113">
        <v>214185</v>
      </c>
      <c r="Y189" s="113">
        <v>10588</v>
      </c>
      <c r="Z189" s="113">
        <v>0</v>
      </c>
      <c r="AA189" s="113">
        <v>224773</v>
      </c>
      <c r="AB189" s="113">
        <f t="shared" si="2"/>
        <v>20.977414839010734</v>
      </c>
    </row>
    <row r="190" spans="1:28" ht="15.75" thickBot="1" x14ac:dyDescent="0.3">
      <c r="A190" s="44" t="s">
        <v>1289</v>
      </c>
      <c r="B190" s="107" t="s">
        <v>1290</v>
      </c>
      <c r="C190" s="110" t="s">
        <v>808</v>
      </c>
      <c r="D190" s="110" t="s">
        <v>2064</v>
      </c>
      <c r="E190" s="111" t="s">
        <v>844</v>
      </c>
      <c r="F190" s="111" t="s">
        <v>845</v>
      </c>
      <c r="G190" s="112">
        <v>7424</v>
      </c>
      <c r="H190" s="112">
        <v>7424</v>
      </c>
      <c r="I190" s="113">
        <v>35967</v>
      </c>
      <c r="J190" s="113">
        <v>173360</v>
      </c>
      <c r="K190" s="114">
        <v>0</v>
      </c>
      <c r="L190" s="114">
        <v>0</v>
      </c>
      <c r="M190" s="113">
        <v>209327</v>
      </c>
      <c r="N190" s="113">
        <v>15463</v>
      </c>
      <c r="O190" s="115">
        <v>0</v>
      </c>
      <c r="P190" s="114">
        <v>0</v>
      </c>
      <c r="Q190" s="114">
        <v>0</v>
      </c>
      <c r="R190" s="114">
        <v>0</v>
      </c>
      <c r="S190" s="114">
        <v>0</v>
      </c>
      <c r="T190" s="114">
        <v>0</v>
      </c>
      <c r="U190" s="114">
        <v>0</v>
      </c>
      <c r="V190" s="113">
        <v>209327</v>
      </c>
      <c r="W190" s="113">
        <v>15463</v>
      </c>
      <c r="X190" s="113">
        <v>224790</v>
      </c>
      <c r="Y190" s="113">
        <v>2742</v>
      </c>
      <c r="Z190" s="113">
        <v>0</v>
      </c>
      <c r="AA190" s="113">
        <v>227532</v>
      </c>
      <c r="AB190" s="113">
        <f t="shared" si="2"/>
        <v>30.648168103448278</v>
      </c>
    </row>
    <row r="191" spans="1:28" ht="15.75" thickBot="1" x14ac:dyDescent="0.3">
      <c r="A191" s="44" t="s">
        <v>1295</v>
      </c>
      <c r="B191" s="107" t="s">
        <v>1296</v>
      </c>
      <c r="C191" s="110" t="s">
        <v>808</v>
      </c>
      <c r="D191" s="110" t="s">
        <v>2556</v>
      </c>
      <c r="E191" s="111" t="s">
        <v>799</v>
      </c>
      <c r="F191" s="111" t="s">
        <v>800</v>
      </c>
      <c r="G191" s="112">
        <v>9765</v>
      </c>
      <c r="H191" s="112">
        <v>9765</v>
      </c>
      <c r="I191" s="113">
        <v>44943</v>
      </c>
      <c r="J191" s="113">
        <v>296037</v>
      </c>
      <c r="K191" s="114">
        <v>0</v>
      </c>
      <c r="L191" s="114">
        <v>0</v>
      </c>
      <c r="M191" s="113">
        <v>340980</v>
      </c>
      <c r="N191" s="113">
        <v>15272</v>
      </c>
      <c r="O191" s="115">
        <v>0</v>
      </c>
      <c r="P191" s="114">
        <v>0</v>
      </c>
      <c r="Q191" s="114">
        <v>0</v>
      </c>
      <c r="R191" s="114">
        <v>0</v>
      </c>
      <c r="S191" s="114">
        <v>0</v>
      </c>
      <c r="T191" s="114">
        <v>0</v>
      </c>
      <c r="U191" s="114">
        <v>0</v>
      </c>
      <c r="V191" s="113">
        <v>340980</v>
      </c>
      <c r="W191" s="113">
        <v>15272</v>
      </c>
      <c r="X191" s="113">
        <v>356252</v>
      </c>
      <c r="Y191" s="113">
        <v>7161</v>
      </c>
      <c r="Z191" s="113">
        <v>0</v>
      </c>
      <c r="AA191" s="113">
        <v>363413</v>
      </c>
      <c r="AB191" s="113">
        <f t="shared" si="2"/>
        <v>37.215873015873015</v>
      </c>
    </row>
    <row r="192" spans="1:28" ht="15.75" thickBot="1" x14ac:dyDescent="0.3">
      <c r="A192" s="44" t="s">
        <v>1305</v>
      </c>
      <c r="B192" s="107" t="s">
        <v>1306</v>
      </c>
      <c r="C192" s="110" t="s">
        <v>808</v>
      </c>
      <c r="D192" s="110" t="s">
        <v>2572</v>
      </c>
      <c r="E192" s="111" t="s">
        <v>804</v>
      </c>
      <c r="F192" s="111" t="s">
        <v>805</v>
      </c>
      <c r="G192" s="112">
        <v>9623</v>
      </c>
      <c r="H192" s="112">
        <v>6030</v>
      </c>
      <c r="I192" s="113">
        <v>42470</v>
      </c>
      <c r="J192" s="114">
        <v>0</v>
      </c>
      <c r="K192" s="114">
        <v>0</v>
      </c>
      <c r="L192" s="113">
        <v>51858</v>
      </c>
      <c r="M192" s="113">
        <v>94328</v>
      </c>
      <c r="N192" s="113">
        <v>8389</v>
      </c>
      <c r="O192" s="116">
        <v>3593</v>
      </c>
      <c r="P192" s="113">
        <v>25295</v>
      </c>
      <c r="Q192" s="114">
        <v>0</v>
      </c>
      <c r="R192" s="114">
        <v>0</v>
      </c>
      <c r="S192" s="113">
        <v>61553</v>
      </c>
      <c r="T192" s="113">
        <v>86848</v>
      </c>
      <c r="U192" s="113">
        <v>4998</v>
      </c>
      <c r="V192" s="113">
        <v>181176</v>
      </c>
      <c r="W192" s="113">
        <v>13387</v>
      </c>
      <c r="X192" s="113">
        <v>194563</v>
      </c>
      <c r="Y192" s="113">
        <v>10446</v>
      </c>
      <c r="Z192" s="113">
        <v>0</v>
      </c>
      <c r="AA192" s="113">
        <v>205009</v>
      </c>
      <c r="AB192" s="113">
        <f t="shared" si="2"/>
        <v>21.304063181959886</v>
      </c>
    </row>
    <row r="193" spans="1:28" ht="15.75" thickBot="1" x14ac:dyDescent="0.3">
      <c r="A193" s="44" t="s">
        <v>1309</v>
      </c>
      <c r="B193" s="107" t="s">
        <v>1310</v>
      </c>
      <c r="C193" s="110" t="s">
        <v>808</v>
      </c>
      <c r="D193" s="110" t="s">
        <v>2292</v>
      </c>
      <c r="E193" s="111" t="s">
        <v>799</v>
      </c>
      <c r="F193" s="111" t="s">
        <v>800</v>
      </c>
      <c r="G193" s="112">
        <v>7656</v>
      </c>
      <c r="H193" s="112">
        <v>4568</v>
      </c>
      <c r="I193" s="113">
        <v>13077</v>
      </c>
      <c r="J193" s="113">
        <v>0</v>
      </c>
      <c r="K193" s="113">
        <v>48249</v>
      </c>
      <c r="L193" s="113">
        <v>0</v>
      </c>
      <c r="M193" s="113">
        <v>61326</v>
      </c>
      <c r="N193" s="113">
        <v>5772</v>
      </c>
      <c r="O193" s="116">
        <v>3088</v>
      </c>
      <c r="P193" s="113">
        <v>8840</v>
      </c>
      <c r="Q193" s="113">
        <v>0</v>
      </c>
      <c r="R193" s="113">
        <v>0</v>
      </c>
      <c r="S193" s="113">
        <v>0</v>
      </c>
      <c r="T193" s="113">
        <v>8840</v>
      </c>
      <c r="U193" s="113">
        <v>0</v>
      </c>
      <c r="V193" s="113">
        <v>70166</v>
      </c>
      <c r="W193" s="113">
        <v>5772</v>
      </c>
      <c r="X193" s="113">
        <v>75938</v>
      </c>
      <c r="Y193" s="113">
        <v>5714</v>
      </c>
      <c r="Z193" s="113">
        <v>0</v>
      </c>
      <c r="AA193" s="113">
        <v>81652</v>
      </c>
      <c r="AB193" s="113">
        <f t="shared" si="2"/>
        <v>10.665099268547545</v>
      </c>
    </row>
    <row r="194" spans="1:28" ht="15.75" thickBot="1" x14ac:dyDescent="0.3">
      <c r="A194" s="44" t="s">
        <v>1321</v>
      </c>
      <c r="B194" s="107" t="s">
        <v>1322</v>
      </c>
      <c r="C194" s="110" t="s">
        <v>808</v>
      </c>
      <c r="D194" s="110" t="s">
        <v>1948</v>
      </c>
      <c r="E194" s="111" t="s">
        <v>804</v>
      </c>
      <c r="F194" s="111" t="s">
        <v>805</v>
      </c>
      <c r="G194" s="112">
        <v>8354</v>
      </c>
      <c r="H194" s="112">
        <v>8245</v>
      </c>
      <c r="I194" s="113">
        <v>16275</v>
      </c>
      <c r="J194" s="113">
        <v>522674</v>
      </c>
      <c r="K194" s="113">
        <v>6242</v>
      </c>
      <c r="L194" s="113">
        <v>0</v>
      </c>
      <c r="M194" s="113">
        <v>545191</v>
      </c>
      <c r="N194" s="113">
        <v>12299</v>
      </c>
      <c r="O194" s="116">
        <v>109</v>
      </c>
      <c r="P194" s="114">
        <v>0</v>
      </c>
      <c r="Q194" s="114">
        <v>0</v>
      </c>
      <c r="R194" s="114">
        <v>0</v>
      </c>
      <c r="S194" s="114">
        <v>0</v>
      </c>
      <c r="T194" s="114">
        <v>0</v>
      </c>
      <c r="U194" s="114">
        <v>0</v>
      </c>
      <c r="V194" s="113">
        <v>545191</v>
      </c>
      <c r="W194" s="113">
        <v>12299</v>
      </c>
      <c r="X194" s="113">
        <v>557490</v>
      </c>
      <c r="Y194" s="113">
        <v>9175</v>
      </c>
      <c r="Z194" s="113">
        <v>0</v>
      </c>
      <c r="AA194" s="113">
        <v>566665</v>
      </c>
      <c r="AB194" s="113">
        <f t="shared" si="2"/>
        <v>67.831577687335411</v>
      </c>
    </row>
    <row r="195" spans="1:28" ht="15.75" thickBot="1" x14ac:dyDescent="0.3">
      <c r="A195" s="44" t="s">
        <v>1339</v>
      </c>
      <c r="B195" s="107" t="s">
        <v>1340</v>
      </c>
      <c r="C195" s="110" t="s">
        <v>808</v>
      </c>
      <c r="D195" s="110" t="s">
        <v>2613</v>
      </c>
      <c r="E195" s="111" t="s">
        <v>799</v>
      </c>
      <c r="F195" s="111" t="s">
        <v>800</v>
      </c>
      <c r="G195" s="112">
        <v>8640</v>
      </c>
      <c r="H195" s="112">
        <v>8640</v>
      </c>
      <c r="I195" s="113">
        <v>69287</v>
      </c>
      <c r="J195" s="113">
        <v>190748</v>
      </c>
      <c r="K195" s="114">
        <v>0</v>
      </c>
      <c r="L195" s="113">
        <v>11982</v>
      </c>
      <c r="M195" s="113">
        <v>272017</v>
      </c>
      <c r="N195" s="113">
        <v>5962</v>
      </c>
      <c r="O195" s="115">
        <v>0</v>
      </c>
      <c r="P195" s="114">
        <v>0</v>
      </c>
      <c r="Q195" s="114">
        <v>0</v>
      </c>
      <c r="R195" s="114">
        <v>0</v>
      </c>
      <c r="S195" s="114">
        <v>0</v>
      </c>
      <c r="T195" s="114">
        <v>0</v>
      </c>
      <c r="U195" s="114">
        <v>0</v>
      </c>
      <c r="V195" s="113">
        <v>272017</v>
      </c>
      <c r="W195" s="113">
        <v>5962</v>
      </c>
      <c r="X195" s="113">
        <v>277979</v>
      </c>
      <c r="Y195" s="113">
        <v>9937</v>
      </c>
      <c r="Z195" s="113">
        <v>0</v>
      </c>
      <c r="AA195" s="113">
        <v>287916</v>
      </c>
      <c r="AB195" s="113">
        <f t="shared" si="2"/>
        <v>33.323611111111113</v>
      </c>
    </row>
    <row r="196" spans="1:28" ht="15.75" thickBot="1" x14ac:dyDescent="0.3">
      <c r="A196" s="44" t="s">
        <v>1349</v>
      </c>
      <c r="B196" s="107" t="s">
        <v>1350</v>
      </c>
      <c r="C196" s="110" t="s">
        <v>808</v>
      </c>
      <c r="D196" s="110" t="s">
        <v>1964</v>
      </c>
      <c r="E196" s="111" t="s">
        <v>885</v>
      </c>
      <c r="F196" s="111" t="s">
        <v>886</v>
      </c>
      <c r="G196" s="112">
        <v>9969</v>
      </c>
      <c r="H196" s="112">
        <v>9969</v>
      </c>
      <c r="I196" s="113">
        <v>13292</v>
      </c>
      <c r="J196" s="113">
        <v>450041</v>
      </c>
      <c r="K196" s="113">
        <v>0</v>
      </c>
      <c r="L196" s="113">
        <v>6795</v>
      </c>
      <c r="M196" s="113">
        <v>470128</v>
      </c>
      <c r="N196" s="113">
        <v>20731</v>
      </c>
      <c r="O196" s="115">
        <v>0</v>
      </c>
      <c r="P196" s="114">
        <v>0</v>
      </c>
      <c r="Q196" s="114">
        <v>0</v>
      </c>
      <c r="R196" s="114">
        <v>0</v>
      </c>
      <c r="S196" s="114">
        <v>0</v>
      </c>
      <c r="T196" s="114">
        <v>0</v>
      </c>
      <c r="U196" s="114">
        <v>0</v>
      </c>
      <c r="V196" s="113">
        <v>470128</v>
      </c>
      <c r="W196" s="113">
        <v>20731</v>
      </c>
      <c r="X196" s="113">
        <v>490859</v>
      </c>
      <c r="Y196" s="113">
        <v>7990</v>
      </c>
      <c r="Z196" s="113">
        <v>0</v>
      </c>
      <c r="AA196" s="113">
        <v>498849</v>
      </c>
      <c r="AB196" s="113">
        <f t="shared" ref="AB196:AB259" si="3">AA196/G196</f>
        <v>50.040024074631354</v>
      </c>
    </row>
    <row r="197" spans="1:28" ht="15.75" thickBot="1" x14ac:dyDescent="0.3">
      <c r="A197" s="44" t="s">
        <v>1353</v>
      </c>
      <c r="B197" s="107" t="s">
        <v>1354</v>
      </c>
      <c r="C197" s="110" t="s">
        <v>808</v>
      </c>
      <c r="D197" s="110" t="s">
        <v>1926</v>
      </c>
      <c r="E197" s="111" t="s">
        <v>844</v>
      </c>
      <c r="F197" s="111" t="s">
        <v>845</v>
      </c>
      <c r="G197" s="112">
        <v>7034</v>
      </c>
      <c r="H197" s="112">
        <v>7034</v>
      </c>
      <c r="I197" s="113">
        <v>20277</v>
      </c>
      <c r="J197" s="113">
        <v>145008</v>
      </c>
      <c r="K197" s="113">
        <v>0</v>
      </c>
      <c r="L197" s="113">
        <v>0</v>
      </c>
      <c r="M197" s="113">
        <v>165285</v>
      </c>
      <c r="N197" s="113">
        <v>15693</v>
      </c>
      <c r="O197" s="115">
        <v>0</v>
      </c>
      <c r="P197" s="114">
        <v>0</v>
      </c>
      <c r="Q197" s="114">
        <v>0</v>
      </c>
      <c r="R197" s="114">
        <v>0</v>
      </c>
      <c r="S197" s="114">
        <v>0</v>
      </c>
      <c r="T197" s="114">
        <v>0</v>
      </c>
      <c r="U197" s="114">
        <v>0</v>
      </c>
      <c r="V197" s="113">
        <v>165285</v>
      </c>
      <c r="W197" s="113">
        <v>15693</v>
      </c>
      <c r="X197" s="113">
        <v>180978</v>
      </c>
      <c r="Y197" s="113">
        <v>5983</v>
      </c>
      <c r="Z197" s="113">
        <v>0</v>
      </c>
      <c r="AA197" s="113">
        <v>186961</v>
      </c>
      <c r="AB197" s="113">
        <f t="shared" si="3"/>
        <v>26.579613306795565</v>
      </c>
    </row>
    <row r="198" spans="1:28" ht="15.75" thickBot="1" x14ac:dyDescent="0.3">
      <c r="A198" s="44" t="s">
        <v>1361</v>
      </c>
      <c r="B198" s="107" t="s">
        <v>1362</v>
      </c>
      <c r="C198" s="110" t="s">
        <v>808</v>
      </c>
      <c r="D198" s="110" t="s">
        <v>2376</v>
      </c>
      <c r="E198" s="111" t="s">
        <v>804</v>
      </c>
      <c r="F198" s="111" t="s">
        <v>805</v>
      </c>
      <c r="G198" s="112">
        <v>8833</v>
      </c>
      <c r="H198" s="112">
        <v>8833</v>
      </c>
      <c r="I198" s="113">
        <v>41966</v>
      </c>
      <c r="J198" s="113">
        <v>252955</v>
      </c>
      <c r="K198" s="113">
        <v>0</v>
      </c>
      <c r="L198" s="113">
        <v>0</v>
      </c>
      <c r="M198" s="113">
        <v>294921</v>
      </c>
      <c r="N198" s="113">
        <v>150873</v>
      </c>
      <c r="O198" s="115">
        <v>0</v>
      </c>
      <c r="P198" s="114">
        <v>0</v>
      </c>
      <c r="Q198" s="114">
        <v>0</v>
      </c>
      <c r="R198" s="114">
        <v>0</v>
      </c>
      <c r="S198" s="114">
        <v>0</v>
      </c>
      <c r="T198" s="114">
        <v>0</v>
      </c>
      <c r="U198" s="114">
        <v>0</v>
      </c>
      <c r="V198" s="113">
        <v>294921</v>
      </c>
      <c r="W198" s="113">
        <v>150873</v>
      </c>
      <c r="X198" s="113">
        <v>445794</v>
      </c>
      <c r="Y198" s="113">
        <v>6768</v>
      </c>
      <c r="Z198" s="113">
        <v>0</v>
      </c>
      <c r="AA198" s="113">
        <v>452562</v>
      </c>
      <c r="AB198" s="113">
        <f t="shared" si="3"/>
        <v>51.235367372353672</v>
      </c>
    </row>
    <row r="199" spans="1:28" ht="15.75" thickBot="1" x14ac:dyDescent="0.3">
      <c r="A199" s="44" t="s">
        <v>1369</v>
      </c>
      <c r="B199" s="107" t="s">
        <v>1370</v>
      </c>
      <c r="C199" s="110" t="s">
        <v>808</v>
      </c>
      <c r="D199" s="110" t="s">
        <v>2052</v>
      </c>
      <c r="E199" s="111" t="s">
        <v>799</v>
      </c>
      <c r="F199" s="111" t="s">
        <v>800</v>
      </c>
      <c r="G199" s="112">
        <v>11503</v>
      </c>
      <c r="H199" s="112">
        <v>8248</v>
      </c>
      <c r="I199" s="113">
        <v>23787</v>
      </c>
      <c r="J199" s="113">
        <v>718542</v>
      </c>
      <c r="K199" s="114">
        <v>0</v>
      </c>
      <c r="L199" s="114">
        <v>0</v>
      </c>
      <c r="M199" s="113">
        <v>742329</v>
      </c>
      <c r="N199" s="113">
        <v>65864</v>
      </c>
      <c r="O199" s="116">
        <v>3255</v>
      </c>
      <c r="P199" s="114">
        <v>0</v>
      </c>
      <c r="Q199" s="114">
        <v>0</v>
      </c>
      <c r="R199" s="114">
        <v>0</v>
      </c>
      <c r="S199" s="114">
        <v>0</v>
      </c>
      <c r="T199" s="114">
        <v>0</v>
      </c>
      <c r="U199" s="114">
        <v>0</v>
      </c>
      <c r="V199" s="113">
        <v>742329</v>
      </c>
      <c r="W199" s="113">
        <v>65864</v>
      </c>
      <c r="X199" s="113">
        <v>808193</v>
      </c>
      <c r="Y199" s="113">
        <v>9220</v>
      </c>
      <c r="Z199" s="113">
        <v>0</v>
      </c>
      <c r="AA199" s="113">
        <v>817413</v>
      </c>
      <c r="AB199" s="113">
        <f t="shared" si="3"/>
        <v>71.060853690341645</v>
      </c>
    </row>
    <row r="200" spans="1:28" ht="15.75" thickBot="1" x14ac:dyDescent="0.3">
      <c r="A200" s="44" t="s">
        <v>1395</v>
      </c>
      <c r="B200" s="107" t="s">
        <v>1396</v>
      </c>
      <c r="C200" s="110" t="s">
        <v>808</v>
      </c>
      <c r="D200" s="110" t="s">
        <v>2064</v>
      </c>
      <c r="E200" s="111" t="s">
        <v>799</v>
      </c>
      <c r="F200" s="111" t="s">
        <v>800</v>
      </c>
      <c r="G200" s="112">
        <v>8891</v>
      </c>
      <c r="H200" s="112">
        <v>6226</v>
      </c>
      <c r="I200" s="113">
        <v>30070</v>
      </c>
      <c r="J200" s="113">
        <v>206303</v>
      </c>
      <c r="K200" s="114">
        <v>0</v>
      </c>
      <c r="L200" s="114">
        <v>0</v>
      </c>
      <c r="M200" s="113">
        <v>236373</v>
      </c>
      <c r="N200" s="114">
        <v>0</v>
      </c>
      <c r="O200" s="116">
        <v>2665</v>
      </c>
      <c r="P200" s="113">
        <v>8566</v>
      </c>
      <c r="Q200" s="113">
        <v>12289</v>
      </c>
      <c r="R200" s="114">
        <v>0</v>
      </c>
      <c r="S200" s="113">
        <v>1350</v>
      </c>
      <c r="T200" s="113">
        <v>22205</v>
      </c>
      <c r="U200" s="114">
        <v>0</v>
      </c>
      <c r="V200" s="113">
        <v>258578</v>
      </c>
      <c r="W200" s="114">
        <v>0</v>
      </c>
      <c r="X200" s="113">
        <v>258578</v>
      </c>
      <c r="Y200" s="113">
        <v>6520</v>
      </c>
      <c r="Z200" s="113">
        <v>0</v>
      </c>
      <c r="AA200" s="113">
        <v>265098</v>
      </c>
      <c r="AB200" s="113">
        <f t="shared" si="3"/>
        <v>29.816443594646273</v>
      </c>
    </row>
    <row r="201" spans="1:28" ht="15.75" thickBot="1" x14ac:dyDescent="0.3">
      <c r="A201" s="44" t="s">
        <v>1403</v>
      </c>
      <c r="B201" s="107" t="s">
        <v>1404</v>
      </c>
      <c r="C201" s="110" t="s">
        <v>808</v>
      </c>
      <c r="D201" s="110" t="s">
        <v>2259</v>
      </c>
      <c r="E201" s="111" t="s">
        <v>804</v>
      </c>
      <c r="F201" s="111" t="s">
        <v>805</v>
      </c>
      <c r="G201" s="112">
        <v>8543</v>
      </c>
      <c r="H201" s="112">
        <v>5479</v>
      </c>
      <c r="I201" s="113">
        <v>34928</v>
      </c>
      <c r="J201" s="113">
        <v>132468</v>
      </c>
      <c r="K201" s="114">
        <v>0</v>
      </c>
      <c r="L201" s="114">
        <v>0</v>
      </c>
      <c r="M201" s="113">
        <v>167396</v>
      </c>
      <c r="N201" s="114">
        <v>0</v>
      </c>
      <c r="O201" s="116">
        <v>3064</v>
      </c>
      <c r="P201" s="113">
        <v>13500</v>
      </c>
      <c r="Q201" s="114">
        <v>0</v>
      </c>
      <c r="R201" s="114">
        <v>0</v>
      </c>
      <c r="S201" s="113">
        <v>4000</v>
      </c>
      <c r="T201" s="113">
        <v>17500</v>
      </c>
      <c r="U201" s="114">
        <v>0</v>
      </c>
      <c r="V201" s="113">
        <v>184896</v>
      </c>
      <c r="W201" s="114">
        <v>0</v>
      </c>
      <c r="X201" s="113">
        <v>184896</v>
      </c>
      <c r="Y201" s="113">
        <v>7428</v>
      </c>
      <c r="Z201" s="113">
        <v>0</v>
      </c>
      <c r="AA201" s="113">
        <v>192324</v>
      </c>
      <c r="AB201" s="113">
        <f t="shared" si="3"/>
        <v>22.512466346716611</v>
      </c>
    </row>
    <row r="202" spans="1:28" ht="15.75" thickBot="1" x14ac:dyDescent="0.3">
      <c r="A202" s="44" t="s">
        <v>1411</v>
      </c>
      <c r="B202" s="107" t="s">
        <v>1412</v>
      </c>
      <c r="C202" s="110" t="s">
        <v>808</v>
      </c>
      <c r="D202" s="110" t="s">
        <v>1964</v>
      </c>
      <c r="E202" s="111" t="s">
        <v>885</v>
      </c>
      <c r="F202" s="111" t="s">
        <v>886</v>
      </c>
      <c r="G202" s="112">
        <v>7580</v>
      </c>
      <c r="H202" s="112">
        <v>7580</v>
      </c>
      <c r="I202" s="113">
        <v>10107</v>
      </c>
      <c r="J202" s="113">
        <v>337283</v>
      </c>
      <c r="K202" s="114">
        <v>0</v>
      </c>
      <c r="L202" s="114">
        <v>0</v>
      </c>
      <c r="M202" s="113">
        <v>347390</v>
      </c>
      <c r="N202" s="113">
        <v>6726</v>
      </c>
      <c r="O202" s="115">
        <v>0</v>
      </c>
      <c r="P202" s="114">
        <v>0</v>
      </c>
      <c r="Q202" s="114">
        <v>0</v>
      </c>
      <c r="R202" s="114">
        <v>0</v>
      </c>
      <c r="S202" s="114">
        <v>0</v>
      </c>
      <c r="T202" s="114">
        <v>0</v>
      </c>
      <c r="U202" s="114">
        <v>0</v>
      </c>
      <c r="V202" s="113">
        <v>347390</v>
      </c>
      <c r="W202" s="113">
        <v>6726</v>
      </c>
      <c r="X202" s="113">
        <v>354116</v>
      </c>
      <c r="Y202" s="113">
        <v>21159</v>
      </c>
      <c r="Z202" s="113">
        <v>0</v>
      </c>
      <c r="AA202" s="113">
        <v>375275</v>
      </c>
      <c r="AB202" s="113">
        <f t="shared" si="3"/>
        <v>49.508575197889179</v>
      </c>
    </row>
    <row r="203" spans="1:28" ht="15.75" thickBot="1" x14ac:dyDescent="0.3">
      <c r="A203" s="44" t="s">
        <v>1419</v>
      </c>
      <c r="B203" s="107" t="s">
        <v>1420</v>
      </c>
      <c r="C203" s="110" t="s">
        <v>808</v>
      </c>
      <c r="D203" s="110" t="s">
        <v>1925</v>
      </c>
      <c r="E203" s="111" t="s">
        <v>804</v>
      </c>
      <c r="F203" s="111" t="s">
        <v>805</v>
      </c>
      <c r="G203" s="112">
        <v>7903</v>
      </c>
      <c r="H203" s="112">
        <v>7903</v>
      </c>
      <c r="I203" s="113">
        <v>7364</v>
      </c>
      <c r="J203" s="113">
        <v>148040</v>
      </c>
      <c r="K203" s="114">
        <v>0</v>
      </c>
      <c r="L203" s="114">
        <v>0</v>
      </c>
      <c r="M203" s="113">
        <v>155404</v>
      </c>
      <c r="N203" s="113">
        <v>164277</v>
      </c>
      <c r="O203" s="115">
        <v>0</v>
      </c>
      <c r="P203" s="114">
        <v>0</v>
      </c>
      <c r="Q203" s="114">
        <v>0</v>
      </c>
      <c r="R203" s="114">
        <v>0</v>
      </c>
      <c r="S203" s="114">
        <v>0</v>
      </c>
      <c r="T203" s="114">
        <v>0</v>
      </c>
      <c r="U203" s="114">
        <v>0</v>
      </c>
      <c r="V203" s="113">
        <v>155404</v>
      </c>
      <c r="W203" s="113">
        <v>164277</v>
      </c>
      <c r="X203" s="113">
        <v>319681</v>
      </c>
      <c r="Y203" s="113">
        <v>8055</v>
      </c>
      <c r="Z203" s="113">
        <v>0</v>
      </c>
      <c r="AA203" s="113">
        <v>327736</v>
      </c>
      <c r="AB203" s="113">
        <f t="shared" si="3"/>
        <v>41.469821586739215</v>
      </c>
    </row>
    <row r="204" spans="1:28" ht="15.75" thickBot="1" x14ac:dyDescent="0.3">
      <c r="A204" s="44" t="s">
        <v>1435</v>
      </c>
      <c r="B204" s="107" t="s">
        <v>1436</v>
      </c>
      <c r="C204" s="110" t="s">
        <v>808</v>
      </c>
      <c r="D204" s="110" t="s">
        <v>1936</v>
      </c>
      <c r="E204" s="111" t="s">
        <v>799</v>
      </c>
      <c r="F204" s="111" t="s">
        <v>800</v>
      </c>
      <c r="G204" s="112">
        <v>11480</v>
      </c>
      <c r="H204" s="112">
        <v>11480</v>
      </c>
      <c r="I204" s="113">
        <v>31173</v>
      </c>
      <c r="J204" s="113">
        <v>380852</v>
      </c>
      <c r="K204" s="114">
        <v>0</v>
      </c>
      <c r="L204" s="113">
        <v>70190</v>
      </c>
      <c r="M204" s="113">
        <v>482215</v>
      </c>
      <c r="N204" s="113">
        <v>28125</v>
      </c>
      <c r="O204" s="115">
        <v>0</v>
      </c>
      <c r="P204" s="114">
        <v>0</v>
      </c>
      <c r="Q204" s="114">
        <v>0</v>
      </c>
      <c r="R204" s="114">
        <v>0</v>
      </c>
      <c r="S204" s="114">
        <v>0</v>
      </c>
      <c r="T204" s="114">
        <v>0</v>
      </c>
      <c r="U204" s="114">
        <v>0</v>
      </c>
      <c r="V204" s="113">
        <v>482215</v>
      </c>
      <c r="W204" s="113">
        <v>28125</v>
      </c>
      <c r="X204" s="113">
        <v>510340</v>
      </c>
      <c r="Y204" s="113">
        <v>8418</v>
      </c>
      <c r="Z204" s="113">
        <v>0</v>
      </c>
      <c r="AA204" s="113">
        <v>518758</v>
      </c>
      <c r="AB204" s="113">
        <f t="shared" si="3"/>
        <v>45.187979094076653</v>
      </c>
    </row>
    <row r="205" spans="1:28" ht="15.75" thickBot="1" x14ac:dyDescent="0.3">
      <c r="A205" s="44" t="s">
        <v>1437</v>
      </c>
      <c r="B205" s="107" t="s">
        <v>1438</v>
      </c>
      <c r="C205" s="110" t="s">
        <v>808</v>
      </c>
      <c r="D205" s="110" t="s">
        <v>2043</v>
      </c>
      <c r="E205" s="111" t="s">
        <v>844</v>
      </c>
      <c r="F205" s="111" t="s">
        <v>845</v>
      </c>
      <c r="G205" s="112">
        <v>7798</v>
      </c>
      <c r="H205" s="112">
        <v>7798</v>
      </c>
      <c r="I205" s="113">
        <v>22356</v>
      </c>
      <c r="J205" s="113">
        <v>181422</v>
      </c>
      <c r="K205" s="113">
        <v>0</v>
      </c>
      <c r="L205" s="113">
        <v>6277</v>
      </c>
      <c r="M205" s="113">
        <v>210055</v>
      </c>
      <c r="N205" s="113">
        <v>21362</v>
      </c>
      <c r="O205" s="115">
        <v>0</v>
      </c>
      <c r="P205" s="114">
        <v>0</v>
      </c>
      <c r="Q205" s="114">
        <v>0</v>
      </c>
      <c r="R205" s="114">
        <v>0</v>
      </c>
      <c r="S205" s="114">
        <v>0</v>
      </c>
      <c r="T205" s="114">
        <v>0</v>
      </c>
      <c r="U205" s="114">
        <v>0</v>
      </c>
      <c r="V205" s="113">
        <v>210055</v>
      </c>
      <c r="W205" s="113">
        <v>21362</v>
      </c>
      <c r="X205" s="113">
        <v>231417</v>
      </c>
      <c r="Y205" s="113">
        <v>5718</v>
      </c>
      <c r="Z205" s="113">
        <v>0</v>
      </c>
      <c r="AA205" s="113">
        <v>237135</v>
      </c>
      <c r="AB205" s="113">
        <f t="shared" si="3"/>
        <v>30.409720441138752</v>
      </c>
    </row>
    <row r="206" spans="1:28" ht="15.75" thickBot="1" x14ac:dyDescent="0.3">
      <c r="A206" s="44" t="s">
        <v>1445</v>
      </c>
      <c r="B206" s="107" t="s">
        <v>1446</v>
      </c>
      <c r="C206" s="110" t="s">
        <v>808</v>
      </c>
      <c r="D206" s="110" t="s">
        <v>1919</v>
      </c>
      <c r="E206" s="111" t="s">
        <v>804</v>
      </c>
      <c r="F206" s="111" t="s">
        <v>805</v>
      </c>
      <c r="G206" s="112">
        <v>7357</v>
      </c>
      <c r="H206" s="112">
        <v>4446</v>
      </c>
      <c r="I206" s="113">
        <v>28770</v>
      </c>
      <c r="J206" s="113">
        <v>56138</v>
      </c>
      <c r="K206" s="113">
        <v>90372</v>
      </c>
      <c r="L206" s="113">
        <v>0</v>
      </c>
      <c r="M206" s="113">
        <v>175280</v>
      </c>
      <c r="N206" s="113">
        <v>11180</v>
      </c>
      <c r="O206" s="116">
        <v>2911</v>
      </c>
      <c r="P206" s="113">
        <v>18837</v>
      </c>
      <c r="Q206" s="113">
        <v>0</v>
      </c>
      <c r="R206" s="113">
        <v>21144</v>
      </c>
      <c r="S206" s="113">
        <v>0</v>
      </c>
      <c r="T206" s="113">
        <v>39981</v>
      </c>
      <c r="U206" s="113">
        <v>0</v>
      </c>
      <c r="V206" s="113">
        <v>215261</v>
      </c>
      <c r="W206" s="113">
        <v>11180</v>
      </c>
      <c r="X206" s="113">
        <v>226441</v>
      </c>
      <c r="Y206" s="113">
        <v>7637</v>
      </c>
      <c r="Z206" s="113">
        <v>1596</v>
      </c>
      <c r="AA206" s="113">
        <v>235674</v>
      </c>
      <c r="AB206" s="113">
        <f t="shared" si="3"/>
        <v>32.033981242354223</v>
      </c>
    </row>
    <row r="207" spans="1:28" ht="15.75" thickBot="1" x14ac:dyDescent="0.3">
      <c r="A207" s="44" t="s">
        <v>1451</v>
      </c>
      <c r="B207" s="107" t="s">
        <v>1452</v>
      </c>
      <c r="C207" s="110" t="s">
        <v>808</v>
      </c>
      <c r="D207" s="110" t="s">
        <v>1898</v>
      </c>
      <c r="E207" s="111" t="s">
        <v>799</v>
      </c>
      <c r="F207" s="111" t="s">
        <v>800</v>
      </c>
      <c r="G207" s="112">
        <v>7103</v>
      </c>
      <c r="H207" s="112">
        <v>7101</v>
      </c>
      <c r="I207" s="113">
        <v>21245</v>
      </c>
      <c r="J207" s="113">
        <v>208136</v>
      </c>
      <c r="K207" s="113">
        <v>9264</v>
      </c>
      <c r="L207" s="113">
        <v>40530</v>
      </c>
      <c r="M207" s="113">
        <v>279175</v>
      </c>
      <c r="N207" s="113">
        <v>22388</v>
      </c>
      <c r="O207" s="116">
        <v>2</v>
      </c>
      <c r="P207" s="114">
        <v>0</v>
      </c>
      <c r="Q207" s="114">
        <v>0</v>
      </c>
      <c r="R207" s="114">
        <v>0</v>
      </c>
      <c r="S207" s="114">
        <v>0</v>
      </c>
      <c r="T207" s="114">
        <v>0</v>
      </c>
      <c r="U207" s="114">
        <v>0</v>
      </c>
      <c r="V207" s="113">
        <v>279175</v>
      </c>
      <c r="W207" s="113">
        <v>22388</v>
      </c>
      <c r="X207" s="113">
        <v>301563</v>
      </c>
      <c r="Y207" s="113">
        <v>5209</v>
      </c>
      <c r="Z207" s="113">
        <v>0</v>
      </c>
      <c r="AA207" s="113">
        <v>306772</v>
      </c>
      <c r="AB207" s="113">
        <f t="shared" si="3"/>
        <v>43.189075038716034</v>
      </c>
    </row>
    <row r="208" spans="1:28" ht="15.75" thickBot="1" x14ac:dyDescent="0.3">
      <c r="A208" s="44" t="s">
        <v>1455</v>
      </c>
      <c r="B208" s="107" t="s">
        <v>1456</v>
      </c>
      <c r="C208" s="110" t="s">
        <v>808</v>
      </c>
      <c r="D208" s="110" t="s">
        <v>1944</v>
      </c>
      <c r="E208" s="111" t="s">
        <v>885</v>
      </c>
      <c r="F208" s="111" t="s">
        <v>886</v>
      </c>
      <c r="G208" s="112">
        <v>10017</v>
      </c>
      <c r="H208" s="112">
        <v>1325</v>
      </c>
      <c r="I208" s="113">
        <v>7968</v>
      </c>
      <c r="J208" s="113">
        <v>56439</v>
      </c>
      <c r="K208" s="113">
        <v>0</v>
      </c>
      <c r="L208" s="113">
        <v>0</v>
      </c>
      <c r="M208" s="113">
        <v>64407</v>
      </c>
      <c r="N208" s="113">
        <v>0</v>
      </c>
      <c r="O208" s="116">
        <v>8692</v>
      </c>
      <c r="P208" s="113">
        <v>53323</v>
      </c>
      <c r="Q208" s="113">
        <v>381442</v>
      </c>
      <c r="R208" s="114">
        <v>0</v>
      </c>
      <c r="S208" s="114">
        <v>0</v>
      </c>
      <c r="T208" s="113">
        <v>434765</v>
      </c>
      <c r="U208" s="114">
        <v>0</v>
      </c>
      <c r="V208" s="113">
        <v>499172</v>
      </c>
      <c r="W208" s="113">
        <v>0</v>
      </c>
      <c r="X208" s="113">
        <v>499172</v>
      </c>
      <c r="Y208" s="113">
        <v>8029</v>
      </c>
      <c r="Z208" s="113">
        <v>0</v>
      </c>
      <c r="AA208" s="113">
        <v>507201</v>
      </c>
      <c r="AB208" s="113">
        <f t="shared" si="3"/>
        <v>50.634022162324051</v>
      </c>
    </row>
    <row r="209" spans="1:28" ht="15.75" thickBot="1" x14ac:dyDescent="0.3">
      <c r="A209" s="44" t="s">
        <v>1461</v>
      </c>
      <c r="B209" s="107" t="s">
        <v>1462</v>
      </c>
      <c r="C209" s="110" t="s">
        <v>808</v>
      </c>
      <c r="D209" s="110" t="s">
        <v>1892</v>
      </c>
      <c r="E209" s="111" t="s">
        <v>885</v>
      </c>
      <c r="F209" s="111" t="s">
        <v>886</v>
      </c>
      <c r="G209" s="112">
        <v>7272</v>
      </c>
      <c r="H209" s="112">
        <v>3340</v>
      </c>
      <c r="I209" s="113">
        <v>7511</v>
      </c>
      <c r="J209" s="114">
        <v>0</v>
      </c>
      <c r="K209" s="113">
        <v>240289</v>
      </c>
      <c r="L209" s="114">
        <v>0</v>
      </c>
      <c r="M209" s="113">
        <v>247800</v>
      </c>
      <c r="N209" s="113">
        <v>14290</v>
      </c>
      <c r="O209" s="116">
        <v>3932</v>
      </c>
      <c r="P209" s="113">
        <v>8843</v>
      </c>
      <c r="Q209" s="114">
        <v>0</v>
      </c>
      <c r="R209" s="114">
        <v>0</v>
      </c>
      <c r="S209" s="114">
        <v>0</v>
      </c>
      <c r="T209" s="113">
        <v>8843</v>
      </c>
      <c r="U209" s="114">
        <v>0</v>
      </c>
      <c r="V209" s="113">
        <v>256643</v>
      </c>
      <c r="W209" s="113">
        <v>14290</v>
      </c>
      <c r="X209" s="113">
        <v>270933</v>
      </c>
      <c r="Y209" s="113">
        <v>5829</v>
      </c>
      <c r="Z209" s="113">
        <v>0</v>
      </c>
      <c r="AA209" s="113">
        <v>276762</v>
      </c>
      <c r="AB209" s="113">
        <f t="shared" si="3"/>
        <v>38.058580858085811</v>
      </c>
    </row>
    <row r="210" spans="1:28" ht="15.75" thickBot="1" x14ac:dyDescent="0.3">
      <c r="A210" s="44" t="s">
        <v>1467</v>
      </c>
      <c r="B210" s="107" t="s">
        <v>1468</v>
      </c>
      <c r="C210" s="110" t="s">
        <v>808</v>
      </c>
      <c r="D210" s="110" t="s">
        <v>2382</v>
      </c>
      <c r="E210" s="111" t="s">
        <v>1037</v>
      </c>
      <c r="F210" s="111" t="s">
        <v>1469</v>
      </c>
      <c r="G210" s="112">
        <v>11377</v>
      </c>
      <c r="H210" s="112">
        <v>4069</v>
      </c>
      <c r="I210" s="113">
        <v>26284</v>
      </c>
      <c r="J210" s="113">
        <v>126546</v>
      </c>
      <c r="K210" s="114">
        <v>0</v>
      </c>
      <c r="L210" s="113">
        <v>13234</v>
      </c>
      <c r="M210" s="113">
        <v>166064</v>
      </c>
      <c r="N210" s="114">
        <v>0</v>
      </c>
      <c r="O210" s="116">
        <v>7308</v>
      </c>
      <c r="P210" s="113">
        <v>47207</v>
      </c>
      <c r="Q210" s="114">
        <v>0</v>
      </c>
      <c r="R210" s="113">
        <v>34587</v>
      </c>
      <c r="S210" s="113">
        <v>7300</v>
      </c>
      <c r="T210" s="113">
        <v>89094</v>
      </c>
      <c r="U210" s="114">
        <v>0</v>
      </c>
      <c r="V210" s="113">
        <v>255158</v>
      </c>
      <c r="W210" s="114">
        <v>0</v>
      </c>
      <c r="X210" s="113">
        <v>255158</v>
      </c>
      <c r="Y210" s="113">
        <v>9954</v>
      </c>
      <c r="Z210" s="113">
        <v>924</v>
      </c>
      <c r="AA210" s="113">
        <v>266036</v>
      </c>
      <c r="AB210" s="113">
        <f t="shared" si="3"/>
        <v>23.383668805484749</v>
      </c>
    </row>
    <row r="211" spans="1:28" ht="15.75" thickBot="1" x14ac:dyDescent="0.3">
      <c r="A211" s="44" t="s">
        <v>1480</v>
      </c>
      <c r="B211" s="107" t="s">
        <v>1481</v>
      </c>
      <c r="C211" s="110" t="s">
        <v>808</v>
      </c>
      <c r="D211" s="110" t="s">
        <v>2385</v>
      </c>
      <c r="E211" s="111" t="s">
        <v>804</v>
      </c>
      <c r="F211" s="111" t="s">
        <v>805</v>
      </c>
      <c r="G211" s="112">
        <v>8386</v>
      </c>
      <c r="H211" s="112">
        <v>4403</v>
      </c>
      <c r="I211" s="113">
        <v>20768</v>
      </c>
      <c r="J211" s="113">
        <v>208224</v>
      </c>
      <c r="K211" s="113">
        <v>0</v>
      </c>
      <c r="L211" s="113">
        <v>0</v>
      </c>
      <c r="M211" s="113">
        <v>228992</v>
      </c>
      <c r="N211" s="113">
        <v>10413</v>
      </c>
      <c r="O211" s="116">
        <v>3983</v>
      </c>
      <c r="P211" s="113">
        <v>18417</v>
      </c>
      <c r="Q211" s="113">
        <v>71970</v>
      </c>
      <c r="R211" s="113">
        <v>0</v>
      </c>
      <c r="S211" s="113">
        <v>0</v>
      </c>
      <c r="T211" s="113">
        <v>90387</v>
      </c>
      <c r="U211" s="113">
        <v>0</v>
      </c>
      <c r="V211" s="113">
        <v>319379</v>
      </c>
      <c r="W211" s="113">
        <v>10413</v>
      </c>
      <c r="X211" s="113">
        <v>329792</v>
      </c>
      <c r="Y211" s="113">
        <v>6426</v>
      </c>
      <c r="Z211" s="113">
        <v>0</v>
      </c>
      <c r="AA211" s="113">
        <v>336218</v>
      </c>
      <c r="AB211" s="113">
        <f t="shared" si="3"/>
        <v>40.092773670403055</v>
      </c>
    </row>
    <row r="212" spans="1:28" ht="15.75" thickBot="1" x14ac:dyDescent="0.3">
      <c r="A212" s="44" t="s">
        <v>1486</v>
      </c>
      <c r="B212" s="107" t="s">
        <v>1487</v>
      </c>
      <c r="C212" s="110" t="s">
        <v>808</v>
      </c>
      <c r="D212" s="110" t="s">
        <v>2098</v>
      </c>
      <c r="E212" s="111" t="s">
        <v>844</v>
      </c>
      <c r="F212" s="111" t="s">
        <v>845</v>
      </c>
      <c r="G212" s="112">
        <v>9110</v>
      </c>
      <c r="H212" s="112">
        <v>9110</v>
      </c>
      <c r="I212" s="113">
        <v>19137</v>
      </c>
      <c r="J212" s="113">
        <v>65327</v>
      </c>
      <c r="K212" s="113">
        <v>138500</v>
      </c>
      <c r="L212" s="113">
        <v>0</v>
      </c>
      <c r="M212" s="113">
        <v>222964</v>
      </c>
      <c r="N212" s="113">
        <v>10411</v>
      </c>
      <c r="O212" s="115">
        <v>0</v>
      </c>
      <c r="P212" s="114">
        <v>0</v>
      </c>
      <c r="Q212" s="114">
        <v>0</v>
      </c>
      <c r="R212" s="114">
        <v>0</v>
      </c>
      <c r="S212" s="114">
        <v>0</v>
      </c>
      <c r="T212" s="114">
        <v>0</v>
      </c>
      <c r="U212" s="114">
        <v>0</v>
      </c>
      <c r="V212" s="113">
        <v>222964</v>
      </c>
      <c r="W212" s="113">
        <v>10411</v>
      </c>
      <c r="X212" s="113">
        <v>233375</v>
      </c>
      <c r="Y212" s="113">
        <v>6681</v>
      </c>
      <c r="Z212" s="113">
        <v>0</v>
      </c>
      <c r="AA212" s="113">
        <v>240056</v>
      </c>
      <c r="AB212" s="113">
        <f t="shared" si="3"/>
        <v>26.350823271130626</v>
      </c>
    </row>
    <row r="213" spans="1:28" ht="15.75" thickBot="1" x14ac:dyDescent="0.3">
      <c r="A213" s="44" t="s">
        <v>1488</v>
      </c>
      <c r="B213" s="107" t="s">
        <v>1489</v>
      </c>
      <c r="C213" s="110" t="s">
        <v>808</v>
      </c>
      <c r="D213" s="110" t="s">
        <v>2540</v>
      </c>
      <c r="E213" s="111" t="s">
        <v>804</v>
      </c>
      <c r="F213" s="111" t="s">
        <v>805</v>
      </c>
      <c r="G213" s="112">
        <v>9645</v>
      </c>
      <c r="H213" s="112">
        <v>8599</v>
      </c>
      <c r="I213" s="113">
        <v>32776</v>
      </c>
      <c r="J213" s="113">
        <v>0</v>
      </c>
      <c r="K213" s="113">
        <v>399471</v>
      </c>
      <c r="L213" s="113">
        <v>0</v>
      </c>
      <c r="M213" s="113">
        <v>432247</v>
      </c>
      <c r="N213" s="113">
        <v>25789</v>
      </c>
      <c r="O213" s="116">
        <v>1046</v>
      </c>
      <c r="P213" s="113">
        <v>3987</v>
      </c>
      <c r="Q213" s="113">
        <v>0</v>
      </c>
      <c r="R213" s="113">
        <v>0</v>
      </c>
      <c r="S213" s="113">
        <v>0</v>
      </c>
      <c r="T213" s="113">
        <v>3987</v>
      </c>
      <c r="U213" s="113">
        <v>0</v>
      </c>
      <c r="V213" s="113">
        <v>436234</v>
      </c>
      <c r="W213" s="113">
        <v>25789</v>
      </c>
      <c r="X213" s="113">
        <v>462023</v>
      </c>
      <c r="Y213" s="113">
        <v>7390</v>
      </c>
      <c r="Z213" s="113">
        <v>0</v>
      </c>
      <c r="AA213" s="113">
        <v>469413</v>
      </c>
      <c r="AB213" s="113">
        <f t="shared" si="3"/>
        <v>48.669051321928457</v>
      </c>
    </row>
    <row r="214" spans="1:28" ht="15.75" thickBot="1" x14ac:dyDescent="0.3">
      <c r="A214" s="44" t="s">
        <v>1504</v>
      </c>
      <c r="B214" s="107" t="s">
        <v>1505</v>
      </c>
      <c r="C214" s="110" t="s">
        <v>808</v>
      </c>
      <c r="D214" s="110" t="s">
        <v>2376</v>
      </c>
      <c r="E214" s="111" t="s">
        <v>804</v>
      </c>
      <c r="F214" s="111" t="s">
        <v>805</v>
      </c>
      <c r="G214" s="112">
        <v>9301</v>
      </c>
      <c r="H214" s="112">
        <v>3606</v>
      </c>
      <c r="I214" s="113">
        <v>25588</v>
      </c>
      <c r="J214" s="113">
        <v>160375</v>
      </c>
      <c r="K214" s="113">
        <v>0</v>
      </c>
      <c r="L214" s="113">
        <v>0</v>
      </c>
      <c r="M214" s="113">
        <v>185963</v>
      </c>
      <c r="N214" s="114">
        <v>0</v>
      </c>
      <c r="O214" s="116">
        <v>5695</v>
      </c>
      <c r="P214" s="113">
        <v>35477</v>
      </c>
      <c r="Q214" s="113">
        <v>0</v>
      </c>
      <c r="R214" s="113">
        <v>0</v>
      </c>
      <c r="S214" s="113">
        <v>5695</v>
      </c>
      <c r="T214" s="113">
        <v>41172</v>
      </c>
      <c r="U214" s="113">
        <v>0</v>
      </c>
      <c r="V214" s="113">
        <v>227135</v>
      </c>
      <c r="W214" s="113">
        <v>0</v>
      </c>
      <c r="X214" s="113">
        <v>227135</v>
      </c>
      <c r="Y214" s="113">
        <v>0</v>
      </c>
      <c r="Z214" s="113">
        <v>0</v>
      </c>
      <c r="AA214" s="113">
        <v>227135</v>
      </c>
      <c r="AB214" s="113">
        <f t="shared" si="3"/>
        <v>24.420492420169875</v>
      </c>
    </row>
    <row r="215" spans="1:28" ht="15.75" thickBot="1" x14ac:dyDescent="0.3">
      <c r="A215" s="44" t="s">
        <v>1508</v>
      </c>
      <c r="B215" s="107" t="s">
        <v>1509</v>
      </c>
      <c r="C215" s="110" t="s">
        <v>808</v>
      </c>
      <c r="D215" s="110" t="s">
        <v>2820</v>
      </c>
      <c r="E215" s="111" t="s">
        <v>804</v>
      </c>
      <c r="F215" s="111" t="s">
        <v>805</v>
      </c>
      <c r="G215" s="112">
        <v>7851</v>
      </c>
      <c r="H215" s="112">
        <v>7851</v>
      </c>
      <c r="I215" s="113">
        <v>53832</v>
      </c>
      <c r="J215" s="113">
        <v>99394</v>
      </c>
      <c r="K215" s="113">
        <v>0</v>
      </c>
      <c r="L215" s="113">
        <v>0</v>
      </c>
      <c r="M215" s="113">
        <v>153226</v>
      </c>
      <c r="N215" s="113">
        <v>6773</v>
      </c>
      <c r="O215" s="115">
        <v>0</v>
      </c>
      <c r="P215" s="114">
        <v>0</v>
      </c>
      <c r="Q215" s="114">
        <v>0</v>
      </c>
      <c r="R215" s="114">
        <v>0</v>
      </c>
      <c r="S215" s="114">
        <v>0</v>
      </c>
      <c r="T215" s="114">
        <v>0</v>
      </c>
      <c r="U215" s="114">
        <v>0</v>
      </c>
      <c r="V215" s="113">
        <v>153226</v>
      </c>
      <c r="W215" s="113">
        <v>6773</v>
      </c>
      <c r="X215" s="113">
        <v>159999</v>
      </c>
      <c r="Y215" s="113">
        <v>9614</v>
      </c>
      <c r="Z215" s="113">
        <v>1925</v>
      </c>
      <c r="AA215" s="113">
        <v>171538</v>
      </c>
      <c r="AB215" s="113">
        <f t="shared" si="3"/>
        <v>21.849191185836201</v>
      </c>
    </row>
    <row r="216" spans="1:28" ht="15.75" thickBot="1" x14ac:dyDescent="0.3">
      <c r="A216" s="44" t="s">
        <v>1510</v>
      </c>
      <c r="B216" s="107" t="s">
        <v>1511</v>
      </c>
      <c r="C216" s="110" t="s">
        <v>808</v>
      </c>
      <c r="D216" s="110" t="s">
        <v>2091</v>
      </c>
      <c r="E216" s="111" t="s">
        <v>804</v>
      </c>
      <c r="F216" s="111" t="s">
        <v>805</v>
      </c>
      <c r="G216" s="112">
        <v>10250</v>
      </c>
      <c r="H216" s="112">
        <v>9845</v>
      </c>
      <c r="I216" s="113">
        <v>52298</v>
      </c>
      <c r="J216" s="113">
        <v>247157</v>
      </c>
      <c r="K216" s="113">
        <v>16836</v>
      </c>
      <c r="L216" s="113">
        <v>16129</v>
      </c>
      <c r="M216" s="113">
        <v>332420</v>
      </c>
      <c r="N216" s="113">
        <v>18903</v>
      </c>
      <c r="O216" s="116">
        <v>405</v>
      </c>
      <c r="P216" s="113">
        <v>12540</v>
      </c>
      <c r="Q216" s="114">
        <v>0</v>
      </c>
      <c r="R216" s="114">
        <v>0</v>
      </c>
      <c r="S216" s="114">
        <v>0</v>
      </c>
      <c r="T216" s="113">
        <v>12540</v>
      </c>
      <c r="U216" s="114">
        <v>0</v>
      </c>
      <c r="V216" s="113">
        <v>344960</v>
      </c>
      <c r="W216" s="113">
        <v>18903</v>
      </c>
      <c r="X216" s="113">
        <v>363863</v>
      </c>
      <c r="Y216" s="113">
        <v>3786</v>
      </c>
      <c r="Z216" s="113">
        <v>4738</v>
      </c>
      <c r="AA216" s="113">
        <v>372387</v>
      </c>
      <c r="AB216" s="113">
        <f t="shared" si="3"/>
        <v>36.330439024390245</v>
      </c>
    </row>
    <row r="217" spans="1:28" ht="15.75" thickBot="1" x14ac:dyDescent="0.3">
      <c r="A217" s="44" t="s">
        <v>1520</v>
      </c>
      <c r="B217" s="107" t="s">
        <v>1521</v>
      </c>
      <c r="C217" s="110" t="s">
        <v>808</v>
      </c>
      <c r="D217" s="110" t="s">
        <v>1930</v>
      </c>
      <c r="E217" s="111" t="s">
        <v>804</v>
      </c>
      <c r="F217" s="111" t="s">
        <v>805</v>
      </c>
      <c r="G217" s="112">
        <v>10662</v>
      </c>
      <c r="H217" s="112">
        <v>7482</v>
      </c>
      <c r="I217" s="113">
        <v>55039</v>
      </c>
      <c r="J217" s="113">
        <v>131773</v>
      </c>
      <c r="K217" s="113">
        <v>0</v>
      </c>
      <c r="L217" s="113">
        <v>4498</v>
      </c>
      <c r="M217" s="113">
        <v>191310</v>
      </c>
      <c r="N217" s="113">
        <v>20032</v>
      </c>
      <c r="O217" s="116">
        <v>3180</v>
      </c>
      <c r="P217" s="113">
        <v>19330</v>
      </c>
      <c r="Q217" s="113">
        <v>43536</v>
      </c>
      <c r="R217" s="113">
        <v>0</v>
      </c>
      <c r="S217" s="113">
        <v>0</v>
      </c>
      <c r="T217" s="113">
        <v>62866</v>
      </c>
      <c r="U217" s="113">
        <v>0</v>
      </c>
      <c r="V217" s="113">
        <v>254176</v>
      </c>
      <c r="W217" s="113">
        <v>20032</v>
      </c>
      <c r="X217" s="113">
        <v>274208</v>
      </c>
      <c r="Y217" s="113">
        <v>8170</v>
      </c>
      <c r="Z217" s="113">
        <v>0</v>
      </c>
      <c r="AA217" s="113">
        <v>282378</v>
      </c>
      <c r="AB217" s="113">
        <f t="shared" si="3"/>
        <v>26.484524479459765</v>
      </c>
    </row>
    <row r="218" spans="1:28" ht="15.75" thickBot="1" x14ac:dyDescent="0.3">
      <c r="A218" s="44" t="s">
        <v>1524</v>
      </c>
      <c r="B218" s="107" t="s">
        <v>1525</v>
      </c>
      <c r="C218" s="110" t="s">
        <v>808</v>
      </c>
      <c r="D218" s="110" t="s">
        <v>2043</v>
      </c>
      <c r="E218" s="111" t="s">
        <v>844</v>
      </c>
      <c r="F218" s="111" t="s">
        <v>845</v>
      </c>
      <c r="G218" s="112">
        <v>11985</v>
      </c>
      <c r="H218" s="112">
        <v>11985</v>
      </c>
      <c r="I218" s="113">
        <v>34361</v>
      </c>
      <c r="J218" s="113">
        <v>156020</v>
      </c>
      <c r="K218" s="113">
        <v>0</v>
      </c>
      <c r="L218" s="113">
        <v>50749</v>
      </c>
      <c r="M218" s="113">
        <v>241130</v>
      </c>
      <c r="N218" s="113">
        <v>24270</v>
      </c>
      <c r="O218" s="115">
        <v>0</v>
      </c>
      <c r="P218" s="114">
        <v>0</v>
      </c>
      <c r="Q218" s="114">
        <v>0</v>
      </c>
      <c r="R218" s="114">
        <v>0</v>
      </c>
      <c r="S218" s="114">
        <v>0</v>
      </c>
      <c r="T218" s="114">
        <v>0</v>
      </c>
      <c r="U218" s="114">
        <v>0</v>
      </c>
      <c r="V218" s="113">
        <v>241130</v>
      </c>
      <c r="W218" s="113">
        <v>24270</v>
      </c>
      <c r="X218" s="113">
        <v>265400</v>
      </c>
      <c r="Y218" s="113">
        <v>8789</v>
      </c>
      <c r="Z218" s="113">
        <v>0</v>
      </c>
      <c r="AA218" s="113">
        <v>274189</v>
      </c>
      <c r="AB218" s="113">
        <f t="shared" si="3"/>
        <v>22.877680433875678</v>
      </c>
    </row>
    <row r="219" spans="1:28" ht="15.75" thickBot="1" x14ac:dyDescent="0.3">
      <c r="A219" s="44" t="s">
        <v>1526</v>
      </c>
      <c r="B219" s="107" t="s">
        <v>1527</v>
      </c>
      <c r="C219" s="110" t="s">
        <v>808</v>
      </c>
      <c r="D219" s="110" t="s">
        <v>1930</v>
      </c>
      <c r="E219" s="111" t="s">
        <v>804</v>
      </c>
      <c r="F219" s="111" t="s">
        <v>805</v>
      </c>
      <c r="G219" s="112">
        <v>8147</v>
      </c>
      <c r="H219" s="112">
        <v>2910</v>
      </c>
      <c r="I219" s="113">
        <v>22734</v>
      </c>
      <c r="J219" s="113">
        <v>52235</v>
      </c>
      <c r="K219" s="113">
        <v>0</v>
      </c>
      <c r="L219" s="113">
        <v>0</v>
      </c>
      <c r="M219" s="113">
        <v>74969</v>
      </c>
      <c r="N219" s="113">
        <v>13462</v>
      </c>
      <c r="O219" s="116">
        <v>5237</v>
      </c>
      <c r="P219" s="113">
        <v>40913</v>
      </c>
      <c r="Q219" s="113">
        <v>94005</v>
      </c>
      <c r="R219" s="114">
        <v>0</v>
      </c>
      <c r="S219" s="114">
        <v>0</v>
      </c>
      <c r="T219" s="113">
        <v>134918</v>
      </c>
      <c r="U219" s="114">
        <v>0</v>
      </c>
      <c r="V219" s="113">
        <v>209887</v>
      </c>
      <c r="W219" s="113">
        <v>13462</v>
      </c>
      <c r="X219" s="113">
        <v>223349</v>
      </c>
      <c r="Y219" s="113">
        <v>6242</v>
      </c>
      <c r="Z219" s="113">
        <v>0</v>
      </c>
      <c r="AA219" s="113">
        <v>229591</v>
      </c>
      <c r="AB219" s="113">
        <f t="shared" si="3"/>
        <v>28.181048238615443</v>
      </c>
    </row>
    <row r="220" spans="1:28" ht="15.75" thickBot="1" x14ac:dyDescent="0.3">
      <c r="A220" s="44" t="s">
        <v>1534</v>
      </c>
      <c r="B220" s="107" t="s">
        <v>1535</v>
      </c>
      <c r="C220" s="110" t="s">
        <v>808</v>
      </c>
      <c r="D220" s="110" t="s">
        <v>2091</v>
      </c>
      <c r="E220" s="111" t="s">
        <v>844</v>
      </c>
      <c r="F220" s="111" t="s">
        <v>845</v>
      </c>
      <c r="G220" s="112">
        <v>9714</v>
      </c>
      <c r="H220" s="112">
        <v>5310</v>
      </c>
      <c r="I220" s="113">
        <v>57412</v>
      </c>
      <c r="J220" s="113">
        <v>231881</v>
      </c>
      <c r="K220" s="113">
        <v>0</v>
      </c>
      <c r="L220" s="113">
        <v>4841</v>
      </c>
      <c r="M220" s="113">
        <v>294134</v>
      </c>
      <c r="N220" s="113">
        <v>32895</v>
      </c>
      <c r="O220" s="116">
        <v>4404</v>
      </c>
      <c r="P220" s="114">
        <v>0</v>
      </c>
      <c r="Q220" s="114">
        <v>0</v>
      </c>
      <c r="R220" s="114">
        <v>0</v>
      </c>
      <c r="S220" s="114">
        <v>0</v>
      </c>
      <c r="T220" s="114">
        <v>0</v>
      </c>
      <c r="U220" s="114">
        <v>0</v>
      </c>
      <c r="V220" s="113">
        <v>294134</v>
      </c>
      <c r="W220" s="113">
        <v>32895</v>
      </c>
      <c r="X220" s="113">
        <v>327029</v>
      </c>
      <c r="Y220" s="113">
        <v>7124</v>
      </c>
      <c r="Z220" s="113">
        <v>0</v>
      </c>
      <c r="AA220" s="113">
        <v>334153</v>
      </c>
      <c r="AB220" s="113">
        <f t="shared" si="3"/>
        <v>34.399114679843528</v>
      </c>
    </row>
    <row r="221" spans="1:28" ht="15.75" thickBot="1" x14ac:dyDescent="0.3">
      <c r="A221" s="44" t="s">
        <v>1562</v>
      </c>
      <c r="B221" s="107" t="s">
        <v>1563</v>
      </c>
      <c r="C221" s="110" t="s">
        <v>808</v>
      </c>
      <c r="D221" s="110" t="s">
        <v>1976</v>
      </c>
      <c r="E221" s="111" t="s">
        <v>804</v>
      </c>
      <c r="F221" s="111" t="s">
        <v>805</v>
      </c>
      <c r="G221" s="112">
        <v>9514</v>
      </c>
      <c r="H221" s="112">
        <v>9514</v>
      </c>
      <c r="I221" s="113">
        <v>51388</v>
      </c>
      <c r="J221" s="113">
        <v>2328</v>
      </c>
      <c r="K221" s="114">
        <v>0</v>
      </c>
      <c r="L221" s="113">
        <v>11300</v>
      </c>
      <c r="M221" s="113">
        <v>65016</v>
      </c>
      <c r="N221" s="113">
        <v>30110</v>
      </c>
      <c r="O221" s="115">
        <v>0</v>
      </c>
      <c r="P221" s="114">
        <v>0</v>
      </c>
      <c r="Q221" s="114">
        <v>0</v>
      </c>
      <c r="R221" s="114">
        <v>0</v>
      </c>
      <c r="S221" s="114">
        <v>0</v>
      </c>
      <c r="T221" s="114">
        <v>0</v>
      </c>
      <c r="U221" s="114">
        <v>0</v>
      </c>
      <c r="V221" s="113">
        <v>65016</v>
      </c>
      <c r="W221" s="113">
        <v>30110</v>
      </c>
      <c r="X221" s="113">
        <v>95126</v>
      </c>
      <c r="Y221" s="113">
        <v>7290</v>
      </c>
      <c r="Z221" s="113">
        <v>0</v>
      </c>
      <c r="AA221" s="113">
        <v>102416</v>
      </c>
      <c r="AB221" s="113">
        <f t="shared" si="3"/>
        <v>10.764767710742065</v>
      </c>
    </row>
    <row r="222" spans="1:28" ht="15.75" thickBot="1" x14ac:dyDescent="0.3">
      <c r="A222" s="44" t="s">
        <v>1576</v>
      </c>
      <c r="B222" s="107" t="s">
        <v>1577</v>
      </c>
      <c r="C222" s="110" t="s">
        <v>808</v>
      </c>
      <c r="D222" s="110" t="s">
        <v>2607</v>
      </c>
      <c r="E222" s="111" t="s">
        <v>804</v>
      </c>
      <c r="F222" s="111" t="s">
        <v>805</v>
      </c>
      <c r="G222" s="112">
        <v>9138</v>
      </c>
      <c r="H222" s="112">
        <v>9138</v>
      </c>
      <c r="I222" s="113">
        <v>109656</v>
      </c>
      <c r="J222" s="113">
        <v>131350</v>
      </c>
      <c r="K222" s="114">
        <v>0</v>
      </c>
      <c r="L222" s="114">
        <v>0</v>
      </c>
      <c r="M222" s="113">
        <v>241006</v>
      </c>
      <c r="N222" s="113">
        <v>25931</v>
      </c>
      <c r="O222" s="115">
        <v>0</v>
      </c>
      <c r="P222" s="114">
        <v>0</v>
      </c>
      <c r="Q222" s="114">
        <v>0</v>
      </c>
      <c r="R222" s="114">
        <v>0</v>
      </c>
      <c r="S222" s="114">
        <v>0</v>
      </c>
      <c r="T222" s="114">
        <v>0</v>
      </c>
      <c r="U222" s="114">
        <v>0</v>
      </c>
      <c r="V222" s="113">
        <v>241006</v>
      </c>
      <c r="W222" s="113">
        <v>25931</v>
      </c>
      <c r="X222" s="113">
        <v>266937</v>
      </c>
      <c r="Y222" s="113">
        <v>7001</v>
      </c>
      <c r="Z222" s="113">
        <v>0</v>
      </c>
      <c r="AA222" s="113">
        <v>273938</v>
      </c>
      <c r="AB222" s="113">
        <f t="shared" si="3"/>
        <v>29.977894506456554</v>
      </c>
    </row>
    <row r="223" spans="1:28" ht="15.75" thickBot="1" x14ac:dyDescent="0.3">
      <c r="A223" s="44" t="s">
        <v>1578</v>
      </c>
      <c r="B223" s="107" t="s">
        <v>1579</v>
      </c>
      <c r="C223" s="110" t="s">
        <v>808</v>
      </c>
      <c r="D223" s="110" t="s">
        <v>2184</v>
      </c>
      <c r="E223" s="111" t="s">
        <v>804</v>
      </c>
      <c r="F223" s="111" t="s">
        <v>805</v>
      </c>
      <c r="G223" s="112">
        <v>7370</v>
      </c>
      <c r="H223" s="112">
        <v>7370</v>
      </c>
      <c r="I223" s="113">
        <v>32219</v>
      </c>
      <c r="J223" s="113">
        <v>398162</v>
      </c>
      <c r="K223" s="113">
        <v>5647</v>
      </c>
      <c r="L223" s="114">
        <v>0</v>
      </c>
      <c r="M223" s="113">
        <v>436028</v>
      </c>
      <c r="N223" s="113">
        <v>24855</v>
      </c>
      <c r="O223" s="115">
        <v>0</v>
      </c>
      <c r="P223" s="114">
        <v>0</v>
      </c>
      <c r="Q223" s="114">
        <v>0</v>
      </c>
      <c r="R223" s="114">
        <v>0</v>
      </c>
      <c r="S223" s="114">
        <v>0</v>
      </c>
      <c r="T223" s="114">
        <v>0</v>
      </c>
      <c r="U223" s="114">
        <v>0</v>
      </c>
      <c r="V223" s="113">
        <v>436028</v>
      </c>
      <c r="W223" s="113">
        <v>24855</v>
      </c>
      <c r="X223" s="113">
        <v>460883</v>
      </c>
      <c r="Y223" s="113">
        <v>5647</v>
      </c>
      <c r="Z223" s="113">
        <v>0</v>
      </c>
      <c r="AA223" s="113">
        <v>466530</v>
      </c>
      <c r="AB223" s="113">
        <f t="shared" si="3"/>
        <v>63.301221166892809</v>
      </c>
    </row>
    <row r="224" spans="1:28" ht="15.75" thickBot="1" x14ac:dyDescent="0.3">
      <c r="A224" s="44" t="s">
        <v>1582</v>
      </c>
      <c r="B224" s="107" t="s">
        <v>1583</v>
      </c>
      <c r="C224" s="110" t="s">
        <v>808</v>
      </c>
      <c r="D224" s="110" t="s">
        <v>2180</v>
      </c>
      <c r="E224" s="111" t="s">
        <v>804</v>
      </c>
      <c r="F224" s="111" t="s">
        <v>805</v>
      </c>
      <c r="G224" s="112">
        <v>8533</v>
      </c>
      <c r="H224" s="112">
        <v>7634</v>
      </c>
      <c r="I224" s="113">
        <v>25517</v>
      </c>
      <c r="J224" s="113">
        <v>247044</v>
      </c>
      <c r="K224" s="113">
        <v>0</v>
      </c>
      <c r="L224" s="113">
        <v>48622</v>
      </c>
      <c r="M224" s="113">
        <v>321183</v>
      </c>
      <c r="N224" s="114">
        <v>0</v>
      </c>
      <c r="O224" s="116">
        <v>899</v>
      </c>
      <c r="P224" s="113">
        <v>3003</v>
      </c>
      <c r="Q224" s="114">
        <v>0</v>
      </c>
      <c r="R224" s="114">
        <v>0</v>
      </c>
      <c r="S224" s="114">
        <v>0</v>
      </c>
      <c r="T224" s="113">
        <v>3003</v>
      </c>
      <c r="U224" s="114">
        <v>0</v>
      </c>
      <c r="V224" s="113">
        <v>324186</v>
      </c>
      <c r="W224" s="114">
        <v>0</v>
      </c>
      <c r="X224" s="113">
        <v>324186</v>
      </c>
      <c r="Y224" s="113">
        <v>6538</v>
      </c>
      <c r="Z224" s="113">
        <v>0</v>
      </c>
      <c r="AA224" s="113">
        <v>330724</v>
      </c>
      <c r="AB224" s="113">
        <f t="shared" si="3"/>
        <v>38.758232743466543</v>
      </c>
    </row>
    <row r="225" spans="1:28" ht="15.75" thickBot="1" x14ac:dyDescent="0.3">
      <c r="A225" s="44" t="s">
        <v>1584</v>
      </c>
      <c r="B225" s="107" t="s">
        <v>1585</v>
      </c>
      <c r="C225" s="110" t="s">
        <v>808</v>
      </c>
      <c r="D225" s="110" t="s">
        <v>2309</v>
      </c>
      <c r="E225" s="111" t="s">
        <v>799</v>
      </c>
      <c r="F225" s="111" t="s">
        <v>800</v>
      </c>
      <c r="G225" s="112">
        <v>11811</v>
      </c>
      <c r="H225" s="112">
        <v>11811</v>
      </c>
      <c r="I225" s="113">
        <v>20736</v>
      </c>
      <c r="J225" s="113">
        <v>299578</v>
      </c>
      <c r="K225" s="113">
        <v>418</v>
      </c>
      <c r="L225" s="113">
        <v>15331</v>
      </c>
      <c r="M225" s="113">
        <v>336063</v>
      </c>
      <c r="N225" s="113">
        <v>35932</v>
      </c>
      <c r="O225" s="115">
        <v>0</v>
      </c>
      <c r="P225" s="114">
        <v>0</v>
      </c>
      <c r="Q225" s="114">
        <v>0</v>
      </c>
      <c r="R225" s="114">
        <v>0</v>
      </c>
      <c r="S225" s="114">
        <v>0</v>
      </c>
      <c r="T225" s="114">
        <v>0</v>
      </c>
      <c r="U225" s="114">
        <v>0</v>
      </c>
      <c r="V225" s="113">
        <v>336063</v>
      </c>
      <c r="W225" s="113">
        <v>35932</v>
      </c>
      <c r="X225" s="113">
        <v>371995</v>
      </c>
      <c r="Y225" s="113">
        <v>8661</v>
      </c>
      <c r="Z225" s="113">
        <v>0</v>
      </c>
      <c r="AA225" s="113">
        <v>380656</v>
      </c>
      <c r="AB225" s="113">
        <f t="shared" si="3"/>
        <v>32.228939124544915</v>
      </c>
    </row>
    <row r="226" spans="1:28" ht="15.75" thickBot="1" x14ac:dyDescent="0.3">
      <c r="A226" s="44" t="s">
        <v>1590</v>
      </c>
      <c r="B226" s="107" t="s">
        <v>1591</v>
      </c>
      <c r="C226" s="110" t="s">
        <v>808</v>
      </c>
      <c r="D226" s="110" t="s">
        <v>2091</v>
      </c>
      <c r="E226" s="111" t="s">
        <v>804</v>
      </c>
      <c r="F226" s="111" t="s">
        <v>805</v>
      </c>
      <c r="G226" s="112">
        <v>10014</v>
      </c>
      <c r="H226" s="112">
        <v>10014</v>
      </c>
      <c r="I226" s="113">
        <v>59182</v>
      </c>
      <c r="J226" s="113">
        <v>142799</v>
      </c>
      <c r="K226" s="114">
        <v>0</v>
      </c>
      <c r="L226" s="114">
        <v>0</v>
      </c>
      <c r="M226" s="113">
        <v>201981</v>
      </c>
      <c r="N226" s="113">
        <v>32294</v>
      </c>
      <c r="O226" s="115">
        <v>0</v>
      </c>
      <c r="P226" s="114">
        <v>0</v>
      </c>
      <c r="Q226" s="114">
        <v>0</v>
      </c>
      <c r="R226" s="114">
        <v>0</v>
      </c>
      <c r="S226" s="114">
        <v>0</v>
      </c>
      <c r="T226" s="114">
        <v>0</v>
      </c>
      <c r="U226" s="114">
        <v>0</v>
      </c>
      <c r="V226" s="113">
        <v>201981</v>
      </c>
      <c r="W226" s="113">
        <v>32294</v>
      </c>
      <c r="X226" s="113">
        <v>234275</v>
      </c>
      <c r="Y226" s="113">
        <v>12596</v>
      </c>
      <c r="Z226" s="113">
        <v>0</v>
      </c>
      <c r="AA226" s="113">
        <v>246871</v>
      </c>
      <c r="AB226" s="113">
        <f t="shared" si="3"/>
        <v>24.652586379069302</v>
      </c>
    </row>
    <row r="227" spans="1:28" ht="15.75" thickBot="1" x14ac:dyDescent="0.3">
      <c r="A227" s="44" t="s">
        <v>801</v>
      </c>
      <c r="B227" s="107" t="s">
        <v>802</v>
      </c>
      <c r="C227" s="110" t="s">
        <v>803</v>
      </c>
      <c r="D227" s="110" t="s">
        <v>1892</v>
      </c>
      <c r="E227" s="111" t="s">
        <v>804</v>
      </c>
      <c r="F227" s="111" t="s">
        <v>805</v>
      </c>
      <c r="G227" s="112">
        <v>21133</v>
      </c>
      <c r="H227" s="112">
        <v>21133</v>
      </c>
      <c r="I227" s="113">
        <v>53771</v>
      </c>
      <c r="J227" s="113">
        <v>899473</v>
      </c>
      <c r="K227" s="114">
        <v>0</v>
      </c>
      <c r="L227" s="114">
        <v>0</v>
      </c>
      <c r="M227" s="113">
        <v>953244</v>
      </c>
      <c r="N227" s="113">
        <v>27996</v>
      </c>
      <c r="O227" s="115">
        <v>0</v>
      </c>
      <c r="P227" s="114">
        <v>0</v>
      </c>
      <c r="Q227" s="114">
        <v>0</v>
      </c>
      <c r="R227" s="114">
        <v>0</v>
      </c>
      <c r="S227" s="114">
        <v>0</v>
      </c>
      <c r="T227" s="114">
        <v>0</v>
      </c>
      <c r="U227" s="114">
        <v>0</v>
      </c>
      <c r="V227" s="113">
        <v>953244</v>
      </c>
      <c r="W227" s="113">
        <v>27996</v>
      </c>
      <c r="X227" s="113">
        <v>981240</v>
      </c>
      <c r="Y227" s="113">
        <v>25875</v>
      </c>
      <c r="Z227" s="113">
        <v>0</v>
      </c>
      <c r="AA227" s="113">
        <v>1007115</v>
      </c>
      <c r="AB227" s="113">
        <f t="shared" si="3"/>
        <v>47.656035584157479</v>
      </c>
    </row>
    <row r="228" spans="1:28" ht="15.75" thickBot="1" x14ac:dyDescent="0.3">
      <c r="A228" s="44" t="s">
        <v>818</v>
      </c>
      <c r="B228" s="107" t="s">
        <v>819</v>
      </c>
      <c r="C228" s="110" t="s">
        <v>803</v>
      </c>
      <c r="D228" s="110" t="s">
        <v>1919</v>
      </c>
      <c r="E228" s="111" t="s">
        <v>804</v>
      </c>
      <c r="F228" s="111" t="s">
        <v>805</v>
      </c>
      <c r="G228" s="112">
        <v>17401</v>
      </c>
      <c r="H228" s="112">
        <v>16743</v>
      </c>
      <c r="I228" s="113">
        <v>99119</v>
      </c>
      <c r="J228" s="113">
        <v>852929</v>
      </c>
      <c r="K228" s="114">
        <v>0</v>
      </c>
      <c r="L228" s="113">
        <v>56088</v>
      </c>
      <c r="M228" s="113">
        <v>1008136</v>
      </c>
      <c r="N228" s="113">
        <v>30639</v>
      </c>
      <c r="O228" s="116">
        <v>658</v>
      </c>
      <c r="P228" s="113">
        <v>3895</v>
      </c>
      <c r="Q228" s="113">
        <v>33525</v>
      </c>
      <c r="R228" s="114">
        <v>0</v>
      </c>
      <c r="S228" s="113">
        <v>2205</v>
      </c>
      <c r="T228" s="113">
        <v>39625</v>
      </c>
      <c r="U228" s="113">
        <v>1204</v>
      </c>
      <c r="V228" s="113">
        <v>1047761</v>
      </c>
      <c r="W228" s="113">
        <v>31843</v>
      </c>
      <c r="X228" s="113">
        <v>1079604</v>
      </c>
      <c r="Y228" s="113">
        <v>13333</v>
      </c>
      <c r="Z228" s="113">
        <v>10171</v>
      </c>
      <c r="AA228" s="113">
        <v>1103108</v>
      </c>
      <c r="AB228" s="113">
        <f t="shared" si="3"/>
        <v>63.393368197230046</v>
      </c>
    </row>
    <row r="229" spans="1:28" ht="15.75" thickBot="1" x14ac:dyDescent="0.3">
      <c r="A229" s="44" t="s">
        <v>846</v>
      </c>
      <c r="B229" s="107" t="s">
        <v>847</v>
      </c>
      <c r="C229" s="110" t="s">
        <v>803</v>
      </c>
      <c r="D229" s="110" t="s">
        <v>1885</v>
      </c>
      <c r="E229" s="111" t="s">
        <v>799</v>
      </c>
      <c r="F229" s="111" t="s">
        <v>800</v>
      </c>
      <c r="G229" s="112">
        <v>21412</v>
      </c>
      <c r="H229" s="112">
        <v>21412</v>
      </c>
      <c r="I229" s="113">
        <v>44775</v>
      </c>
      <c r="J229" s="113">
        <v>1043804</v>
      </c>
      <c r="K229" s="113">
        <v>94940</v>
      </c>
      <c r="L229" s="113">
        <v>19310</v>
      </c>
      <c r="M229" s="113">
        <v>1202829</v>
      </c>
      <c r="N229" s="113">
        <v>31215</v>
      </c>
      <c r="O229" s="115">
        <v>0</v>
      </c>
      <c r="P229" s="114">
        <v>0</v>
      </c>
      <c r="Q229" s="114">
        <v>0</v>
      </c>
      <c r="R229" s="114">
        <v>0</v>
      </c>
      <c r="S229" s="114">
        <v>0</v>
      </c>
      <c r="T229" s="114">
        <v>0</v>
      </c>
      <c r="U229" s="114">
        <v>0</v>
      </c>
      <c r="V229" s="113">
        <v>1202829</v>
      </c>
      <c r="W229" s="113">
        <v>31215</v>
      </c>
      <c r="X229" s="113">
        <v>1234044</v>
      </c>
      <c r="Y229" s="113">
        <v>16400</v>
      </c>
      <c r="Z229" s="113">
        <v>0</v>
      </c>
      <c r="AA229" s="113">
        <v>1250444</v>
      </c>
      <c r="AB229" s="113">
        <f t="shared" si="3"/>
        <v>58.399215393237434</v>
      </c>
    </row>
    <row r="230" spans="1:28" ht="15.75" thickBot="1" x14ac:dyDescent="0.3">
      <c r="A230" s="44" t="s">
        <v>851</v>
      </c>
      <c r="B230" s="107" t="s">
        <v>852</v>
      </c>
      <c r="C230" s="110" t="s">
        <v>803</v>
      </c>
      <c r="D230" s="110" t="s">
        <v>1925</v>
      </c>
      <c r="E230" s="111" t="s">
        <v>804</v>
      </c>
      <c r="F230" s="111" t="s">
        <v>805</v>
      </c>
      <c r="G230" s="112">
        <v>25883</v>
      </c>
      <c r="H230" s="112">
        <v>25883</v>
      </c>
      <c r="I230" s="113">
        <v>20238</v>
      </c>
      <c r="J230" s="113">
        <v>888579</v>
      </c>
      <c r="K230" s="114">
        <v>0</v>
      </c>
      <c r="L230" s="114">
        <v>0</v>
      </c>
      <c r="M230" s="113">
        <v>908817</v>
      </c>
      <c r="N230" s="113">
        <v>35254</v>
      </c>
      <c r="O230" s="115">
        <v>0</v>
      </c>
      <c r="P230" s="114">
        <v>0</v>
      </c>
      <c r="Q230" s="114">
        <v>0</v>
      </c>
      <c r="R230" s="114">
        <v>0</v>
      </c>
      <c r="S230" s="114">
        <v>0</v>
      </c>
      <c r="T230" s="114">
        <v>0</v>
      </c>
      <c r="U230" s="114">
        <v>0</v>
      </c>
      <c r="V230" s="113">
        <v>908817</v>
      </c>
      <c r="W230" s="113">
        <v>35254</v>
      </c>
      <c r="X230" s="113">
        <v>944071</v>
      </c>
      <c r="Y230" s="113">
        <v>20746</v>
      </c>
      <c r="Z230" s="113">
        <v>8488</v>
      </c>
      <c r="AA230" s="113">
        <v>973305</v>
      </c>
      <c r="AB230" s="113">
        <f t="shared" si="3"/>
        <v>37.604025808445698</v>
      </c>
    </row>
    <row r="231" spans="1:28" ht="15.75" thickBot="1" x14ac:dyDescent="0.3">
      <c r="A231" s="44" t="s">
        <v>871</v>
      </c>
      <c r="B231" s="107" t="s">
        <v>872</v>
      </c>
      <c r="C231" s="110" t="s">
        <v>803</v>
      </c>
      <c r="D231" s="110" t="s">
        <v>2001</v>
      </c>
      <c r="E231" s="111" t="s">
        <v>804</v>
      </c>
      <c r="F231" s="111" t="s">
        <v>805</v>
      </c>
      <c r="G231" s="112">
        <v>24787</v>
      </c>
      <c r="H231" s="112">
        <v>10038</v>
      </c>
      <c r="I231" s="113">
        <v>74096</v>
      </c>
      <c r="J231" s="113">
        <v>285701</v>
      </c>
      <c r="K231" s="113">
        <v>23926</v>
      </c>
      <c r="L231" s="113">
        <v>15460</v>
      </c>
      <c r="M231" s="113">
        <v>399183</v>
      </c>
      <c r="N231" s="113">
        <v>13382</v>
      </c>
      <c r="O231" s="116">
        <v>14749</v>
      </c>
      <c r="P231" s="113">
        <v>108406</v>
      </c>
      <c r="Q231" s="114">
        <v>0</v>
      </c>
      <c r="R231" s="114">
        <v>0</v>
      </c>
      <c r="S231" s="114">
        <v>0</v>
      </c>
      <c r="T231" s="113">
        <v>108406</v>
      </c>
      <c r="U231" s="113">
        <v>25000</v>
      </c>
      <c r="V231" s="113">
        <v>507589</v>
      </c>
      <c r="W231" s="113">
        <v>38382</v>
      </c>
      <c r="X231" s="113">
        <v>545971</v>
      </c>
      <c r="Y231" s="113">
        <v>21867</v>
      </c>
      <c r="Z231" s="113">
        <v>0</v>
      </c>
      <c r="AA231" s="113">
        <v>567838</v>
      </c>
      <c r="AB231" s="113">
        <f t="shared" si="3"/>
        <v>22.908702142251986</v>
      </c>
    </row>
    <row r="232" spans="1:28" ht="15.75" thickBot="1" x14ac:dyDescent="0.3">
      <c r="A232" s="44" t="s">
        <v>877</v>
      </c>
      <c r="B232" s="107" t="s">
        <v>878</v>
      </c>
      <c r="C232" s="110" t="s">
        <v>803</v>
      </c>
      <c r="D232" s="110" t="s">
        <v>1885</v>
      </c>
      <c r="E232" s="111" t="s">
        <v>804</v>
      </c>
      <c r="F232" s="111" t="s">
        <v>805</v>
      </c>
      <c r="G232" s="112">
        <v>14970</v>
      </c>
      <c r="H232" s="112">
        <v>14970</v>
      </c>
      <c r="I232" s="113">
        <v>31304</v>
      </c>
      <c r="J232" s="113">
        <v>0</v>
      </c>
      <c r="K232" s="113">
        <v>618252</v>
      </c>
      <c r="L232" s="113">
        <v>0</v>
      </c>
      <c r="M232" s="113">
        <v>649556</v>
      </c>
      <c r="N232" s="113">
        <v>62567</v>
      </c>
      <c r="O232" s="115">
        <v>0</v>
      </c>
      <c r="P232" s="113">
        <v>0</v>
      </c>
      <c r="Q232" s="113">
        <v>0</v>
      </c>
      <c r="R232" s="113">
        <v>0</v>
      </c>
      <c r="S232" s="113">
        <v>0</v>
      </c>
      <c r="T232" s="113">
        <v>0</v>
      </c>
      <c r="U232" s="113">
        <v>0</v>
      </c>
      <c r="V232" s="113">
        <v>649556</v>
      </c>
      <c r="W232" s="113">
        <v>62567</v>
      </c>
      <c r="X232" s="113">
        <v>712123</v>
      </c>
      <c r="Y232" s="113">
        <v>13070</v>
      </c>
      <c r="Z232" s="113">
        <v>1885</v>
      </c>
      <c r="AA232" s="113">
        <v>727078</v>
      </c>
      <c r="AB232" s="113">
        <f t="shared" si="3"/>
        <v>48.569004676018707</v>
      </c>
    </row>
    <row r="233" spans="1:28" ht="15.75" thickBot="1" x14ac:dyDescent="0.3">
      <c r="A233" s="44" t="s">
        <v>887</v>
      </c>
      <c r="B233" s="107" t="s">
        <v>888</v>
      </c>
      <c r="C233" s="110" t="s">
        <v>803</v>
      </c>
      <c r="D233" s="110" t="s">
        <v>1976</v>
      </c>
      <c r="E233" s="111" t="s">
        <v>804</v>
      </c>
      <c r="F233" s="111" t="s">
        <v>805</v>
      </c>
      <c r="G233" s="112">
        <v>20025</v>
      </c>
      <c r="H233" s="112">
        <v>10601</v>
      </c>
      <c r="I233" s="113">
        <v>53357</v>
      </c>
      <c r="J233" s="114">
        <v>0</v>
      </c>
      <c r="K233" s="113">
        <v>149650</v>
      </c>
      <c r="L233" s="113">
        <v>133600</v>
      </c>
      <c r="M233" s="113">
        <v>336607</v>
      </c>
      <c r="N233" s="113">
        <v>41644</v>
      </c>
      <c r="O233" s="116">
        <v>9424</v>
      </c>
      <c r="P233" s="113">
        <v>45856</v>
      </c>
      <c r="Q233" s="113">
        <v>26767</v>
      </c>
      <c r="R233" s="114">
        <v>0</v>
      </c>
      <c r="S233" s="114">
        <v>0</v>
      </c>
      <c r="T233" s="113">
        <v>72623</v>
      </c>
      <c r="U233" s="114">
        <v>0</v>
      </c>
      <c r="V233" s="113">
        <v>409230</v>
      </c>
      <c r="W233" s="113">
        <v>41644</v>
      </c>
      <c r="X233" s="113">
        <v>450874</v>
      </c>
      <c r="Y233" s="113">
        <v>15343</v>
      </c>
      <c r="Z233" s="113">
        <v>0</v>
      </c>
      <c r="AA233" s="113">
        <v>466217</v>
      </c>
      <c r="AB233" s="113">
        <f t="shared" si="3"/>
        <v>23.281747815230961</v>
      </c>
    </row>
    <row r="234" spans="1:28" ht="15.75" thickBot="1" x14ac:dyDescent="0.3">
      <c r="A234" s="44" t="s">
        <v>899</v>
      </c>
      <c r="B234" s="107" t="s">
        <v>900</v>
      </c>
      <c r="C234" s="110" t="s">
        <v>803</v>
      </c>
      <c r="D234" s="110" t="s">
        <v>1885</v>
      </c>
      <c r="E234" s="111" t="s">
        <v>799</v>
      </c>
      <c r="F234" s="111" t="s">
        <v>800</v>
      </c>
      <c r="G234" s="112">
        <v>15175</v>
      </c>
      <c r="H234" s="112">
        <v>15175</v>
      </c>
      <c r="I234" s="113">
        <v>31733</v>
      </c>
      <c r="J234" s="113">
        <v>1018102</v>
      </c>
      <c r="K234" s="113">
        <v>0</v>
      </c>
      <c r="L234" s="113">
        <v>0</v>
      </c>
      <c r="M234" s="113">
        <v>1049835</v>
      </c>
      <c r="N234" s="113">
        <v>84571</v>
      </c>
      <c r="O234" s="115">
        <v>0</v>
      </c>
      <c r="P234" s="113">
        <v>0</v>
      </c>
      <c r="Q234" s="113">
        <v>0</v>
      </c>
      <c r="R234" s="113">
        <v>0</v>
      </c>
      <c r="S234" s="113">
        <v>0</v>
      </c>
      <c r="T234" s="113">
        <v>0</v>
      </c>
      <c r="U234" s="113">
        <v>0</v>
      </c>
      <c r="V234" s="113">
        <v>1049835</v>
      </c>
      <c r="W234" s="113">
        <v>84571</v>
      </c>
      <c r="X234" s="113">
        <v>1134406</v>
      </c>
      <c r="Y234" s="113">
        <v>11128</v>
      </c>
      <c r="Z234" s="113">
        <v>0</v>
      </c>
      <c r="AA234" s="113">
        <v>1145534</v>
      </c>
      <c r="AB234" s="113">
        <f t="shared" si="3"/>
        <v>75.488237232289947</v>
      </c>
    </row>
    <row r="235" spans="1:28" ht="15.75" thickBot="1" x14ac:dyDescent="0.3">
      <c r="A235" s="44" t="s">
        <v>901</v>
      </c>
      <c r="B235" s="107" t="s">
        <v>902</v>
      </c>
      <c r="C235" s="110" t="s">
        <v>803</v>
      </c>
      <c r="D235" s="110" t="s">
        <v>2043</v>
      </c>
      <c r="E235" s="111" t="s">
        <v>799</v>
      </c>
      <c r="F235" s="111" t="s">
        <v>800</v>
      </c>
      <c r="G235" s="112">
        <v>12667</v>
      </c>
      <c r="H235" s="112">
        <v>10514</v>
      </c>
      <c r="I235" s="113">
        <v>30143</v>
      </c>
      <c r="J235" s="113">
        <v>284790</v>
      </c>
      <c r="K235" s="114">
        <v>0</v>
      </c>
      <c r="L235" s="113">
        <v>0</v>
      </c>
      <c r="M235" s="113">
        <v>314933</v>
      </c>
      <c r="N235" s="113">
        <v>32390</v>
      </c>
      <c r="O235" s="116">
        <v>2153</v>
      </c>
      <c r="P235" s="113">
        <v>6173</v>
      </c>
      <c r="Q235" s="114">
        <v>0</v>
      </c>
      <c r="R235" s="114">
        <v>0</v>
      </c>
      <c r="S235" s="114">
        <v>0</v>
      </c>
      <c r="T235" s="113">
        <v>6173</v>
      </c>
      <c r="U235" s="114">
        <v>0</v>
      </c>
      <c r="V235" s="113">
        <v>321106</v>
      </c>
      <c r="W235" s="113">
        <v>32390</v>
      </c>
      <c r="X235" s="113">
        <v>353496</v>
      </c>
      <c r="Y235" s="113">
        <v>13667</v>
      </c>
      <c r="Z235" s="113">
        <v>0</v>
      </c>
      <c r="AA235" s="113">
        <v>367163</v>
      </c>
      <c r="AB235" s="113">
        <f t="shared" si="3"/>
        <v>28.985789847635587</v>
      </c>
    </row>
    <row r="236" spans="1:28" ht="15.75" thickBot="1" x14ac:dyDescent="0.3">
      <c r="A236" s="44" t="s">
        <v>905</v>
      </c>
      <c r="B236" s="107" t="s">
        <v>906</v>
      </c>
      <c r="C236" s="110" t="s">
        <v>803</v>
      </c>
      <c r="D236" s="110" t="s">
        <v>1980</v>
      </c>
      <c r="E236" s="111" t="s">
        <v>804</v>
      </c>
      <c r="F236" s="111" t="s">
        <v>805</v>
      </c>
      <c r="G236" s="112">
        <v>19336</v>
      </c>
      <c r="H236" s="112">
        <v>19336</v>
      </c>
      <c r="I236" s="113">
        <v>107693</v>
      </c>
      <c r="J236" s="113">
        <v>475422</v>
      </c>
      <c r="K236" s="113">
        <v>0</v>
      </c>
      <c r="L236" s="113">
        <v>782</v>
      </c>
      <c r="M236" s="113">
        <v>583897</v>
      </c>
      <c r="N236" s="113">
        <v>29962</v>
      </c>
      <c r="O236" s="115">
        <v>0</v>
      </c>
      <c r="P236" s="114">
        <v>0</v>
      </c>
      <c r="Q236" s="114">
        <v>0</v>
      </c>
      <c r="R236" s="114">
        <v>0</v>
      </c>
      <c r="S236" s="114">
        <v>0</v>
      </c>
      <c r="T236" s="114">
        <v>0</v>
      </c>
      <c r="U236" s="114">
        <v>0</v>
      </c>
      <c r="V236" s="113">
        <v>583897</v>
      </c>
      <c r="W236" s="113">
        <v>29962</v>
      </c>
      <c r="X236" s="113">
        <v>613859</v>
      </c>
      <c r="Y236" s="113">
        <v>17397</v>
      </c>
      <c r="Z236" s="113">
        <v>0</v>
      </c>
      <c r="AA236" s="113">
        <v>631256</v>
      </c>
      <c r="AB236" s="113">
        <f t="shared" si="3"/>
        <v>32.646669424906911</v>
      </c>
    </row>
    <row r="237" spans="1:28" ht="15.75" thickBot="1" x14ac:dyDescent="0.3">
      <c r="A237" s="44" t="s">
        <v>941</v>
      </c>
      <c r="B237" s="107" t="s">
        <v>942</v>
      </c>
      <c r="C237" s="110" t="s">
        <v>803</v>
      </c>
      <c r="D237" s="110" t="s">
        <v>1919</v>
      </c>
      <c r="E237" s="111" t="s">
        <v>804</v>
      </c>
      <c r="F237" s="111" t="s">
        <v>805</v>
      </c>
      <c r="G237" s="112">
        <v>15068</v>
      </c>
      <c r="H237" s="112">
        <v>15068</v>
      </c>
      <c r="I237" s="113">
        <v>69530</v>
      </c>
      <c r="J237" s="113">
        <v>708383</v>
      </c>
      <c r="K237" s="113">
        <v>0</v>
      </c>
      <c r="L237" s="113">
        <v>11019</v>
      </c>
      <c r="M237" s="113">
        <v>788932</v>
      </c>
      <c r="N237" s="113">
        <v>11556</v>
      </c>
      <c r="O237" s="115">
        <v>0</v>
      </c>
      <c r="P237" s="114">
        <v>0</v>
      </c>
      <c r="Q237" s="114">
        <v>0</v>
      </c>
      <c r="R237" s="114">
        <v>0</v>
      </c>
      <c r="S237" s="114">
        <v>0</v>
      </c>
      <c r="T237" s="114">
        <v>0</v>
      </c>
      <c r="U237" s="114">
        <v>0</v>
      </c>
      <c r="V237" s="113">
        <v>788932</v>
      </c>
      <c r="W237" s="113">
        <v>11556</v>
      </c>
      <c r="X237" s="113">
        <v>800488</v>
      </c>
      <c r="Y237" s="113">
        <v>17030</v>
      </c>
      <c r="Z237" s="113">
        <v>0</v>
      </c>
      <c r="AA237" s="113">
        <v>817518</v>
      </c>
      <c r="AB237" s="113">
        <f t="shared" si="3"/>
        <v>54.255242898858505</v>
      </c>
    </row>
    <row r="238" spans="1:28" ht="15.75" thickBot="1" x14ac:dyDescent="0.3">
      <c r="A238" s="44" t="s">
        <v>945</v>
      </c>
      <c r="B238" s="107" t="s">
        <v>946</v>
      </c>
      <c r="C238" s="110" t="s">
        <v>803</v>
      </c>
      <c r="D238" s="110" t="s">
        <v>1999</v>
      </c>
      <c r="E238" s="111" t="s">
        <v>804</v>
      </c>
      <c r="F238" s="111" t="s">
        <v>805</v>
      </c>
      <c r="G238" s="112">
        <v>24370</v>
      </c>
      <c r="H238" s="112">
        <v>16002</v>
      </c>
      <c r="I238" s="113">
        <v>35817</v>
      </c>
      <c r="J238" s="113">
        <v>621522</v>
      </c>
      <c r="K238" s="113">
        <v>0</v>
      </c>
      <c r="L238" s="113">
        <v>15491</v>
      </c>
      <c r="M238" s="113">
        <v>672830</v>
      </c>
      <c r="N238" s="113">
        <v>43235</v>
      </c>
      <c r="O238" s="116">
        <v>8368</v>
      </c>
      <c r="P238" s="113">
        <v>54177</v>
      </c>
      <c r="Q238" s="113">
        <v>0</v>
      </c>
      <c r="R238" s="113">
        <v>0</v>
      </c>
      <c r="S238" s="113">
        <v>2741</v>
      </c>
      <c r="T238" s="113">
        <v>56918</v>
      </c>
      <c r="U238" s="113">
        <v>0</v>
      </c>
      <c r="V238" s="113">
        <v>729748</v>
      </c>
      <c r="W238" s="113">
        <v>43235</v>
      </c>
      <c r="X238" s="113">
        <v>772983</v>
      </c>
      <c r="Y238" s="113">
        <v>8872</v>
      </c>
      <c r="Z238" s="113">
        <v>0</v>
      </c>
      <c r="AA238" s="113">
        <v>781855</v>
      </c>
      <c r="AB238" s="113">
        <f t="shared" si="3"/>
        <v>32.082683627410752</v>
      </c>
    </row>
    <row r="239" spans="1:28" ht="15.75" thickBot="1" x14ac:dyDescent="0.3">
      <c r="A239" s="44" t="s">
        <v>949</v>
      </c>
      <c r="B239" s="107" t="s">
        <v>950</v>
      </c>
      <c r="C239" s="110" t="s">
        <v>803</v>
      </c>
      <c r="D239" s="110" t="s">
        <v>2120</v>
      </c>
      <c r="E239" s="111" t="s">
        <v>804</v>
      </c>
      <c r="F239" s="111" t="s">
        <v>805</v>
      </c>
      <c r="G239" s="112">
        <v>13894</v>
      </c>
      <c r="H239" s="112">
        <v>13894</v>
      </c>
      <c r="I239" s="113">
        <v>93367</v>
      </c>
      <c r="J239" s="113">
        <v>617132</v>
      </c>
      <c r="K239" s="114">
        <v>0</v>
      </c>
      <c r="L239" s="114">
        <v>0</v>
      </c>
      <c r="M239" s="113">
        <v>710499</v>
      </c>
      <c r="N239" s="113">
        <v>41297</v>
      </c>
      <c r="O239" s="115">
        <v>0</v>
      </c>
      <c r="P239" s="114">
        <v>0</v>
      </c>
      <c r="Q239" s="114">
        <v>0</v>
      </c>
      <c r="R239" s="114">
        <v>0</v>
      </c>
      <c r="S239" s="114">
        <v>0</v>
      </c>
      <c r="T239" s="114">
        <v>0</v>
      </c>
      <c r="U239" s="114">
        <v>0</v>
      </c>
      <c r="V239" s="113">
        <v>710499</v>
      </c>
      <c r="W239" s="113">
        <v>41297</v>
      </c>
      <c r="X239" s="113">
        <v>751796</v>
      </c>
      <c r="Y239" s="113">
        <v>10646</v>
      </c>
      <c r="Z239" s="113">
        <v>0</v>
      </c>
      <c r="AA239" s="113">
        <v>762442</v>
      </c>
      <c r="AB239" s="113">
        <f t="shared" si="3"/>
        <v>54.875629768245282</v>
      </c>
    </row>
    <row r="240" spans="1:28" ht="15.75" thickBot="1" x14ac:dyDescent="0.3">
      <c r="A240" s="44" t="s">
        <v>951</v>
      </c>
      <c r="B240" s="107" t="s">
        <v>952</v>
      </c>
      <c r="C240" s="110" t="s">
        <v>803</v>
      </c>
      <c r="D240" s="110" t="s">
        <v>1948</v>
      </c>
      <c r="E240" s="111" t="s">
        <v>799</v>
      </c>
      <c r="F240" s="111" t="s">
        <v>800</v>
      </c>
      <c r="G240" s="112">
        <v>15010</v>
      </c>
      <c r="H240" s="112">
        <v>15010</v>
      </c>
      <c r="I240" s="113">
        <v>21000</v>
      </c>
      <c r="J240" s="113">
        <v>1677317</v>
      </c>
      <c r="K240" s="114">
        <v>0</v>
      </c>
      <c r="L240" s="113">
        <v>0</v>
      </c>
      <c r="M240" s="113">
        <v>1698317</v>
      </c>
      <c r="N240" s="113">
        <v>107761</v>
      </c>
      <c r="O240" s="115">
        <v>0</v>
      </c>
      <c r="P240" s="114">
        <v>0</v>
      </c>
      <c r="Q240" s="114">
        <v>0</v>
      </c>
      <c r="R240" s="114">
        <v>0</v>
      </c>
      <c r="S240" s="114">
        <v>0</v>
      </c>
      <c r="T240" s="114">
        <v>0</v>
      </c>
      <c r="U240" s="114">
        <v>0</v>
      </c>
      <c r="V240" s="113">
        <v>1698317</v>
      </c>
      <c r="W240" s="113">
        <v>107761</v>
      </c>
      <c r="X240" s="113">
        <v>1806078</v>
      </c>
      <c r="Y240" s="113">
        <v>71128</v>
      </c>
      <c r="Z240" s="113">
        <v>0</v>
      </c>
      <c r="AA240" s="113">
        <v>1877206</v>
      </c>
      <c r="AB240" s="113">
        <f t="shared" si="3"/>
        <v>125.06369087275149</v>
      </c>
    </row>
    <row r="241" spans="1:28" ht="15.75" thickBot="1" x14ac:dyDescent="0.3">
      <c r="A241" s="44" t="s">
        <v>965</v>
      </c>
      <c r="B241" s="107" t="s">
        <v>966</v>
      </c>
      <c r="C241" s="110" t="s">
        <v>803</v>
      </c>
      <c r="D241" s="110" t="s">
        <v>2001</v>
      </c>
      <c r="E241" s="111" t="s">
        <v>804</v>
      </c>
      <c r="F241" s="111" t="s">
        <v>805</v>
      </c>
      <c r="G241" s="112">
        <v>12982</v>
      </c>
      <c r="H241" s="112">
        <v>6503</v>
      </c>
      <c r="I241" s="113">
        <v>47877</v>
      </c>
      <c r="J241" s="113">
        <v>216607</v>
      </c>
      <c r="K241" s="113">
        <v>0</v>
      </c>
      <c r="L241" s="113">
        <v>0</v>
      </c>
      <c r="M241" s="113">
        <v>264484</v>
      </c>
      <c r="N241" s="113">
        <v>36297</v>
      </c>
      <c r="O241" s="116">
        <v>6479</v>
      </c>
      <c r="P241" s="113">
        <v>47700</v>
      </c>
      <c r="Q241" s="114">
        <v>0</v>
      </c>
      <c r="R241" s="114">
        <v>0</v>
      </c>
      <c r="S241" s="113">
        <v>9000</v>
      </c>
      <c r="T241" s="113">
        <v>56700</v>
      </c>
      <c r="U241" s="114">
        <v>0</v>
      </c>
      <c r="V241" s="113">
        <v>321184</v>
      </c>
      <c r="W241" s="113">
        <v>36297</v>
      </c>
      <c r="X241" s="113">
        <v>357481</v>
      </c>
      <c r="Y241" s="113">
        <v>9947</v>
      </c>
      <c r="Z241" s="113">
        <v>0</v>
      </c>
      <c r="AA241" s="113">
        <v>367428</v>
      </c>
      <c r="AB241" s="113">
        <f t="shared" si="3"/>
        <v>28.302880912032045</v>
      </c>
    </row>
    <row r="242" spans="1:28" ht="15.75" thickBot="1" x14ac:dyDescent="0.3">
      <c r="A242" s="44" t="s">
        <v>975</v>
      </c>
      <c r="B242" s="107" t="s">
        <v>976</v>
      </c>
      <c r="C242" s="110" t="s">
        <v>803</v>
      </c>
      <c r="D242" s="110" t="s">
        <v>1964</v>
      </c>
      <c r="E242" s="111" t="s">
        <v>799</v>
      </c>
      <c r="F242" s="111" t="s">
        <v>800</v>
      </c>
      <c r="G242" s="112">
        <v>14854</v>
      </c>
      <c r="H242" s="112">
        <v>14854</v>
      </c>
      <c r="I242" s="113">
        <v>17840</v>
      </c>
      <c r="J242" s="113">
        <v>764238</v>
      </c>
      <c r="K242" s="113">
        <v>0</v>
      </c>
      <c r="L242" s="113">
        <v>41985</v>
      </c>
      <c r="M242" s="113">
        <v>824063</v>
      </c>
      <c r="N242" s="113">
        <v>19384</v>
      </c>
      <c r="O242" s="115">
        <v>0</v>
      </c>
      <c r="P242" s="114">
        <v>0</v>
      </c>
      <c r="Q242" s="114">
        <v>0</v>
      </c>
      <c r="R242" s="114">
        <v>0</v>
      </c>
      <c r="S242" s="114">
        <v>0</v>
      </c>
      <c r="T242" s="114">
        <v>0</v>
      </c>
      <c r="U242" s="114">
        <v>0</v>
      </c>
      <c r="V242" s="113">
        <v>824063</v>
      </c>
      <c r="W242" s="113">
        <v>19384</v>
      </c>
      <c r="X242" s="113">
        <v>843447</v>
      </c>
      <c r="Y242" s="113">
        <v>10892</v>
      </c>
      <c r="Z242" s="113">
        <v>0</v>
      </c>
      <c r="AA242" s="113">
        <v>854339</v>
      </c>
      <c r="AB242" s="113">
        <f t="shared" si="3"/>
        <v>57.515753332435708</v>
      </c>
    </row>
    <row r="243" spans="1:28" ht="15.75" thickBot="1" x14ac:dyDescent="0.3">
      <c r="A243" s="44" t="s">
        <v>981</v>
      </c>
      <c r="B243" s="107" t="s">
        <v>982</v>
      </c>
      <c r="C243" s="110" t="s">
        <v>803</v>
      </c>
      <c r="D243" s="110" t="s">
        <v>2172</v>
      </c>
      <c r="E243" s="111" t="s">
        <v>885</v>
      </c>
      <c r="F243" s="111" t="s">
        <v>886</v>
      </c>
      <c r="G243" s="112">
        <v>14074</v>
      </c>
      <c r="H243" s="112">
        <v>14074</v>
      </c>
      <c r="I243" s="113">
        <v>101170</v>
      </c>
      <c r="J243" s="113">
        <v>248500</v>
      </c>
      <c r="K243" s="113">
        <v>117030</v>
      </c>
      <c r="L243" s="114">
        <v>0</v>
      </c>
      <c r="M243" s="113">
        <v>466700</v>
      </c>
      <c r="N243" s="114">
        <v>0</v>
      </c>
      <c r="O243" s="115">
        <v>0</v>
      </c>
      <c r="P243" s="114">
        <v>0</v>
      </c>
      <c r="Q243" s="114">
        <v>0</v>
      </c>
      <c r="R243" s="114">
        <v>0</v>
      </c>
      <c r="S243" s="114">
        <v>0</v>
      </c>
      <c r="T243" s="114">
        <v>0</v>
      </c>
      <c r="U243" s="114">
        <v>0</v>
      </c>
      <c r="V243" s="113">
        <v>466700</v>
      </c>
      <c r="W243" s="114">
        <v>0</v>
      </c>
      <c r="X243" s="113">
        <v>466700</v>
      </c>
      <c r="Y243" s="113">
        <v>0</v>
      </c>
      <c r="Z243" s="113">
        <v>0</v>
      </c>
      <c r="AA243" s="113">
        <v>466700</v>
      </c>
      <c r="AB243" s="113">
        <f t="shared" si="3"/>
        <v>33.160437686514136</v>
      </c>
    </row>
    <row r="244" spans="1:28" ht="15.75" thickBot="1" x14ac:dyDescent="0.3">
      <c r="A244" s="44" t="s">
        <v>1007</v>
      </c>
      <c r="B244" s="107" t="s">
        <v>1008</v>
      </c>
      <c r="C244" s="110" t="s">
        <v>803</v>
      </c>
      <c r="D244" s="110" t="s">
        <v>1980</v>
      </c>
      <c r="E244" s="111" t="s">
        <v>804</v>
      </c>
      <c r="F244" s="111" t="s">
        <v>805</v>
      </c>
      <c r="G244" s="112">
        <v>20542</v>
      </c>
      <c r="H244" s="112">
        <v>20542</v>
      </c>
      <c r="I244" s="113">
        <v>114409</v>
      </c>
      <c r="J244" s="113">
        <v>744191</v>
      </c>
      <c r="K244" s="114">
        <v>0</v>
      </c>
      <c r="L244" s="113">
        <v>0</v>
      </c>
      <c r="M244" s="113">
        <v>858600</v>
      </c>
      <c r="N244" s="113">
        <v>55781</v>
      </c>
      <c r="O244" s="115">
        <v>0</v>
      </c>
      <c r="P244" s="114">
        <v>0</v>
      </c>
      <c r="Q244" s="114">
        <v>0</v>
      </c>
      <c r="R244" s="114">
        <v>0</v>
      </c>
      <c r="S244" s="114">
        <v>0</v>
      </c>
      <c r="T244" s="114">
        <v>0</v>
      </c>
      <c r="U244" s="114">
        <v>0</v>
      </c>
      <c r="V244" s="113">
        <v>858600</v>
      </c>
      <c r="W244" s="113">
        <v>55781</v>
      </c>
      <c r="X244" s="113">
        <v>914381</v>
      </c>
      <c r="Y244" s="113">
        <v>16464</v>
      </c>
      <c r="Z244" s="113">
        <v>0</v>
      </c>
      <c r="AA244" s="113">
        <v>930845</v>
      </c>
      <c r="AB244" s="113">
        <f t="shared" si="3"/>
        <v>45.314234251776845</v>
      </c>
    </row>
    <row r="245" spans="1:28" ht="15.75" thickBot="1" x14ac:dyDescent="0.3">
      <c r="A245" s="44" t="s">
        <v>1009</v>
      </c>
      <c r="B245" s="107" t="s">
        <v>1010</v>
      </c>
      <c r="C245" s="110" t="s">
        <v>803</v>
      </c>
      <c r="D245" s="110" t="s">
        <v>1948</v>
      </c>
      <c r="E245" s="111" t="s">
        <v>885</v>
      </c>
      <c r="F245" s="111" t="s">
        <v>886</v>
      </c>
      <c r="G245" s="112">
        <v>19591</v>
      </c>
      <c r="H245" s="112">
        <v>19591</v>
      </c>
      <c r="I245" s="113">
        <v>27093</v>
      </c>
      <c r="J245" s="113">
        <v>1441460</v>
      </c>
      <c r="K245" s="113">
        <v>0</v>
      </c>
      <c r="L245" s="113">
        <v>0</v>
      </c>
      <c r="M245" s="113">
        <v>1468553</v>
      </c>
      <c r="N245" s="113">
        <v>123894</v>
      </c>
      <c r="O245" s="115">
        <v>0</v>
      </c>
      <c r="P245" s="114">
        <v>0</v>
      </c>
      <c r="Q245" s="114">
        <v>0</v>
      </c>
      <c r="R245" s="114">
        <v>0</v>
      </c>
      <c r="S245" s="114">
        <v>0</v>
      </c>
      <c r="T245" s="114">
        <v>0</v>
      </c>
      <c r="U245" s="114">
        <v>0</v>
      </c>
      <c r="V245" s="113">
        <v>1468553</v>
      </c>
      <c r="W245" s="113">
        <v>123894</v>
      </c>
      <c r="X245" s="113">
        <v>1592447</v>
      </c>
      <c r="Y245" s="113">
        <v>15703</v>
      </c>
      <c r="Z245" s="113">
        <v>3286</v>
      </c>
      <c r="AA245" s="113">
        <v>1611436</v>
      </c>
      <c r="AB245" s="113">
        <f t="shared" si="3"/>
        <v>82.253892093308153</v>
      </c>
    </row>
    <row r="246" spans="1:28" ht="15.75" thickBot="1" x14ac:dyDescent="0.3">
      <c r="A246" s="44" t="s">
        <v>1017</v>
      </c>
      <c r="B246" s="107" t="s">
        <v>1018</v>
      </c>
      <c r="C246" s="110" t="s">
        <v>803</v>
      </c>
      <c r="D246" s="110" t="s">
        <v>2095</v>
      </c>
      <c r="E246" s="111" t="s">
        <v>885</v>
      </c>
      <c r="F246" s="111" t="s">
        <v>886</v>
      </c>
      <c r="G246" s="112">
        <v>13306</v>
      </c>
      <c r="H246" s="112">
        <v>13306</v>
      </c>
      <c r="I246" s="113">
        <v>50999</v>
      </c>
      <c r="J246" s="113">
        <v>354943</v>
      </c>
      <c r="K246" s="114">
        <v>0</v>
      </c>
      <c r="L246" s="114">
        <v>0</v>
      </c>
      <c r="M246" s="113">
        <v>405942</v>
      </c>
      <c r="N246" s="113">
        <v>47478</v>
      </c>
      <c r="O246" s="115">
        <v>0</v>
      </c>
      <c r="P246" s="114">
        <v>0</v>
      </c>
      <c r="Q246" s="114">
        <v>0</v>
      </c>
      <c r="R246" s="114">
        <v>0</v>
      </c>
      <c r="S246" s="114">
        <v>0</v>
      </c>
      <c r="T246" s="114">
        <v>0</v>
      </c>
      <c r="U246" s="114">
        <v>0</v>
      </c>
      <c r="V246" s="113">
        <v>405942</v>
      </c>
      <c r="W246" s="113">
        <v>47478</v>
      </c>
      <c r="X246" s="113">
        <v>453420</v>
      </c>
      <c r="Y246" s="113">
        <v>14844</v>
      </c>
      <c r="Z246" s="113">
        <v>0</v>
      </c>
      <c r="AA246" s="113">
        <v>468264</v>
      </c>
      <c r="AB246" s="113">
        <f t="shared" si="3"/>
        <v>35.191943484142492</v>
      </c>
    </row>
    <row r="247" spans="1:28" ht="15.75" thickBot="1" x14ac:dyDescent="0.3">
      <c r="A247" s="44" t="s">
        <v>1027</v>
      </c>
      <c r="B247" s="107" t="s">
        <v>1028</v>
      </c>
      <c r="C247" s="110" t="s">
        <v>803</v>
      </c>
      <c r="D247" s="110" t="s">
        <v>1999</v>
      </c>
      <c r="E247" s="111" t="s">
        <v>804</v>
      </c>
      <c r="F247" s="111" t="s">
        <v>805</v>
      </c>
      <c r="G247" s="112">
        <v>12670</v>
      </c>
      <c r="H247" s="112">
        <v>12670</v>
      </c>
      <c r="I247" s="113">
        <v>39150</v>
      </c>
      <c r="J247" s="113">
        <v>363082</v>
      </c>
      <c r="K247" s="113">
        <v>175000</v>
      </c>
      <c r="L247" s="113">
        <v>0</v>
      </c>
      <c r="M247" s="113">
        <v>577232</v>
      </c>
      <c r="N247" s="113">
        <v>19529</v>
      </c>
      <c r="O247" s="115">
        <v>0</v>
      </c>
      <c r="P247" s="114">
        <v>0</v>
      </c>
      <c r="Q247" s="114">
        <v>0</v>
      </c>
      <c r="R247" s="114">
        <v>0</v>
      </c>
      <c r="S247" s="114">
        <v>0</v>
      </c>
      <c r="T247" s="114">
        <v>0</v>
      </c>
      <c r="U247" s="114">
        <v>0</v>
      </c>
      <c r="V247" s="113">
        <v>577232</v>
      </c>
      <c r="W247" s="113">
        <v>19529</v>
      </c>
      <c r="X247" s="113">
        <v>596761</v>
      </c>
      <c r="Y247" s="113">
        <v>9708</v>
      </c>
      <c r="Z247" s="113">
        <v>0</v>
      </c>
      <c r="AA247" s="113">
        <v>606469</v>
      </c>
      <c r="AB247" s="113">
        <f t="shared" si="3"/>
        <v>47.866535122336231</v>
      </c>
    </row>
    <row r="248" spans="1:28" ht="15.75" thickBot="1" x14ac:dyDescent="0.3">
      <c r="A248" s="44" t="s">
        <v>1043</v>
      </c>
      <c r="B248" s="107" t="s">
        <v>1044</v>
      </c>
      <c r="C248" s="110" t="s">
        <v>803</v>
      </c>
      <c r="D248" s="110" t="s">
        <v>2203</v>
      </c>
      <c r="E248" s="111" t="s">
        <v>804</v>
      </c>
      <c r="F248" s="111" t="s">
        <v>805</v>
      </c>
      <c r="G248" s="112">
        <v>25830</v>
      </c>
      <c r="H248" s="112">
        <v>12616</v>
      </c>
      <c r="I248" s="113">
        <v>55558</v>
      </c>
      <c r="J248" s="113">
        <v>0</v>
      </c>
      <c r="K248" s="113">
        <v>400000</v>
      </c>
      <c r="L248" s="113">
        <v>0</v>
      </c>
      <c r="M248" s="113">
        <v>455558</v>
      </c>
      <c r="N248" s="113">
        <v>34912</v>
      </c>
      <c r="O248" s="116">
        <v>13214</v>
      </c>
      <c r="P248" s="113">
        <v>58189</v>
      </c>
      <c r="Q248" s="113">
        <v>0</v>
      </c>
      <c r="R248" s="113">
        <v>0</v>
      </c>
      <c r="S248" s="113">
        <v>0</v>
      </c>
      <c r="T248" s="113">
        <v>58189</v>
      </c>
      <c r="U248" s="113">
        <v>0</v>
      </c>
      <c r="V248" s="113">
        <v>513747</v>
      </c>
      <c r="W248" s="113">
        <v>34912</v>
      </c>
      <c r="X248" s="113">
        <v>548659</v>
      </c>
      <c r="Y248" s="113">
        <v>20703</v>
      </c>
      <c r="Z248" s="113">
        <v>0</v>
      </c>
      <c r="AA248" s="113">
        <v>569362</v>
      </c>
      <c r="AB248" s="113">
        <f t="shared" si="3"/>
        <v>22.042663569492838</v>
      </c>
    </row>
    <row r="249" spans="1:28" ht="15.75" thickBot="1" x14ac:dyDescent="0.3">
      <c r="A249" s="44" t="s">
        <v>1053</v>
      </c>
      <c r="B249" s="107" t="s">
        <v>1054</v>
      </c>
      <c r="C249" s="110" t="s">
        <v>803</v>
      </c>
      <c r="D249" s="110" t="s">
        <v>1919</v>
      </c>
      <c r="E249" s="111" t="s">
        <v>885</v>
      </c>
      <c r="F249" s="111" t="s">
        <v>886</v>
      </c>
      <c r="G249" s="112">
        <v>14230</v>
      </c>
      <c r="H249" s="112">
        <v>8835</v>
      </c>
      <c r="I249" s="113">
        <v>56782</v>
      </c>
      <c r="J249" s="113">
        <v>291170</v>
      </c>
      <c r="K249" s="113">
        <v>0</v>
      </c>
      <c r="L249" s="113">
        <v>0</v>
      </c>
      <c r="M249" s="113">
        <v>347952</v>
      </c>
      <c r="N249" s="113">
        <v>20839</v>
      </c>
      <c r="O249" s="116">
        <v>5395</v>
      </c>
      <c r="P249" s="113">
        <v>34674</v>
      </c>
      <c r="Q249" s="113">
        <v>0</v>
      </c>
      <c r="R249" s="113">
        <v>0</v>
      </c>
      <c r="S249" s="113">
        <v>3238</v>
      </c>
      <c r="T249" s="113">
        <v>37912</v>
      </c>
      <c r="U249" s="113">
        <v>0</v>
      </c>
      <c r="V249" s="113">
        <v>385864</v>
      </c>
      <c r="W249" s="113">
        <v>20839</v>
      </c>
      <c r="X249" s="113">
        <v>406703</v>
      </c>
      <c r="Y249" s="113">
        <v>12353</v>
      </c>
      <c r="Z249" s="113">
        <v>0</v>
      </c>
      <c r="AA249" s="113">
        <v>419056</v>
      </c>
      <c r="AB249" s="113">
        <f t="shared" si="3"/>
        <v>29.448770203794801</v>
      </c>
    </row>
    <row r="250" spans="1:28" ht="15.75" thickBot="1" x14ac:dyDescent="0.3">
      <c r="A250" s="44" t="s">
        <v>1055</v>
      </c>
      <c r="B250" s="107" t="s">
        <v>1056</v>
      </c>
      <c r="C250" s="110" t="s">
        <v>803</v>
      </c>
      <c r="D250" s="110" t="s">
        <v>1885</v>
      </c>
      <c r="E250" s="111" t="s">
        <v>804</v>
      </c>
      <c r="F250" s="111" t="s">
        <v>805</v>
      </c>
      <c r="G250" s="112">
        <v>19900</v>
      </c>
      <c r="H250" s="112">
        <v>19900</v>
      </c>
      <c r="I250" s="113">
        <v>41614</v>
      </c>
      <c r="J250" s="113">
        <v>1895029</v>
      </c>
      <c r="K250" s="113">
        <v>0</v>
      </c>
      <c r="L250" s="113">
        <v>12193</v>
      </c>
      <c r="M250" s="113">
        <v>1948836</v>
      </c>
      <c r="N250" s="113">
        <v>59952</v>
      </c>
      <c r="O250" s="115">
        <v>0</v>
      </c>
      <c r="P250" s="113">
        <v>0</v>
      </c>
      <c r="Q250" s="113">
        <v>0</v>
      </c>
      <c r="R250" s="113">
        <v>0</v>
      </c>
      <c r="S250" s="113">
        <v>0</v>
      </c>
      <c r="T250" s="113">
        <v>0</v>
      </c>
      <c r="U250" s="113">
        <v>0</v>
      </c>
      <c r="V250" s="113">
        <v>1948836</v>
      </c>
      <c r="W250" s="113">
        <v>59952</v>
      </c>
      <c r="X250" s="113">
        <v>2008788</v>
      </c>
      <c r="Y250" s="113">
        <v>8005</v>
      </c>
      <c r="Z250" s="113">
        <v>574</v>
      </c>
      <c r="AA250" s="113">
        <v>2017367</v>
      </c>
      <c r="AB250" s="113">
        <f t="shared" si="3"/>
        <v>101.37522613065326</v>
      </c>
    </row>
    <row r="251" spans="1:28" ht="15.75" thickBot="1" x14ac:dyDescent="0.3">
      <c r="A251" s="44" t="s">
        <v>1059</v>
      </c>
      <c r="B251" s="107" t="s">
        <v>1060</v>
      </c>
      <c r="C251" s="110" t="s">
        <v>803</v>
      </c>
      <c r="D251" s="110" t="s">
        <v>2091</v>
      </c>
      <c r="E251" s="111" t="s">
        <v>804</v>
      </c>
      <c r="F251" s="111" t="s">
        <v>805</v>
      </c>
      <c r="G251" s="112">
        <v>17626</v>
      </c>
      <c r="H251" s="112">
        <v>17626</v>
      </c>
      <c r="I251" s="113">
        <v>94327</v>
      </c>
      <c r="J251" s="113">
        <v>564575</v>
      </c>
      <c r="K251" s="114">
        <v>0</v>
      </c>
      <c r="L251" s="113">
        <v>77907</v>
      </c>
      <c r="M251" s="113">
        <v>736809</v>
      </c>
      <c r="N251" s="113">
        <v>101256</v>
      </c>
      <c r="O251" s="115">
        <v>0</v>
      </c>
      <c r="P251" s="114">
        <v>0</v>
      </c>
      <c r="Q251" s="114">
        <v>0</v>
      </c>
      <c r="R251" s="114">
        <v>0</v>
      </c>
      <c r="S251" s="114">
        <v>0</v>
      </c>
      <c r="T251" s="114">
        <v>0</v>
      </c>
      <c r="U251" s="114">
        <v>0</v>
      </c>
      <c r="V251" s="113">
        <v>736809</v>
      </c>
      <c r="W251" s="113">
        <v>101256</v>
      </c>
      <c r="X251" s="113">
        <v>838065</v>
      </c>
      <c r="Y251" s="113">
        <v>13506</v>
      </c>
      <c r="Z251" s="113">
        <v>0</v>
      </c>
      <c r="AA251" s="113">
        <v>851571</v>
      </c>
      <c r="AB251" s="113">
        <f t="shared" si="3"/>
        <v>48.313343923749009</v>
      </c>
    </row>
    <row r="252" spans="1:28" ht="15.75" thickBot="1" x14ac:dyDescent="0.3">
      <c r="A252" s="44" t="s">
        <v>1061</v>
      </c>
      <c r="B252" s="107" t="s">
        <v>1062</v>
      </c>
      <c r="C252" s="110" t="s">
        <v>803</v>
      </c>
      <c r="D252" s="110" t="s">
        <v>1925</v>
      </c>
      <c r="E252" s="111" t="s">
        <v>804</v>
      </c>
      <c r="F252" s="111" t="s">
        <v>805</v>
      </c>
      <c r="G252" s="112">
        <v>17823</v>
      </c>
      <c r="H252" s="112">
        <v>9878</v>
      </c>
      <c r="I252" s="113">
        <v>30878</v>
      </c>
      <c r="J252" s="113">
        <v>364540</v>
      </c>
      <c r="K252" s="113">
        <v>184264</v>
      </c>
      <c r="L252" s="113">
        <v>16286</v>
      </c>
      <c r="M252" s="113">
        <v>595968</v>
      </c>
      <c r="N252" s="113">
        <v>19717</v>
      </c>
      <c r="O252" s="116">
        <v>7945</v>
      </c>
      <c r="P252" s="113">
        <v>0</v>
      </c>
      <c r="Q252" s="113">
        <v>0</v>
      </c>
      <c r="R252" s="113">
        <v>0</v>
      </c>
      <c r="S252" s="113">
        <v>26845</v>
      </c>
      <c r="T252" s="113">
        <v>26845</v>
      </c>
      <c r="U252" s="113">
        <v>0</v>
      </c>
      <c r="V252" s="113">
        <v>622813</v>
      </c>
      <c r="W252" s="113">
        <v>19717</v>
      </c>
      <c r="X252" s="113">
        <v>642530</v>
      </c>
      <c r="Y252" s="113">
        <v>8700</v>
      </c>
      <c r="Z252" s="113">
        <v>0</v>
      </c>
      <c r="AA252" s="113">
        <v>651230</v>
      </c>
      <c r="AB252" s="113">
        <f t="shared" si="3"/>
        <v>36.538742074847107</v>
      </c>
    </row>
    <row r="253" spans="1:28" ht="15.75" thickBot="1" x14ac:dyDescent="0.3">
      <c r="A253" s="44" t="s">
        <v>1067</v>
      </c>
      <c r="B253" s="107" t="s">
        <v>1068</v>
      </c>
      <c r="C253" s="110" t="s">
        <v>803</v>
      </c>
      <c r="D253" s="110" t="s">
        <v>2052</v>
      </c>
      <c r="E253" s="111" t="s">
        <v>804</v>
      </c>
      <c r="F253" s="111" t="s">
        <v>805</v>
      </c>
      <c r="G253" s="112">
        <v>17068</v>
      </c>
      <c r="H253" s="112">
        <v>16169</v>
      </c>
      <c r="I253" s="113">
        <v>44782</v>
      </c>
      <c r="J253" s="113">
        <v>767100</v>
      </c>
      <c r="K253" s="114">
        <v>0</v>
      </c>
      <c r="L253" s="114">
        <v>0</v>
      </c>
      <c r="M253" s="113">
        <v>811882</v>
      </c>
      <c r="N253" s="113">
        <v>14053</v>
      </c>
      <c r="O253" s="116">
        <v>899</v>
      </c>
      <c r="P253" s="113">
        <v>2490</v>
      </c>
      <c r="Q253" s="113">
        <v>2170</v>
      </c>
      <c r="R253" s="114">
        <v>0</v>
      </c>
      <c r="S253" s="114">
        <v>0</v>
      </c>
      <c r="T253" s="113">
        <v>4660</v>
      </c>
      <c r="U253" s="114">
        <v>0</v>
      </c>
      <c r="V253" s="113">
        <v>816542</v>
      </c>
      <c r="W253" s="113">
        <v>14053</v>
      </c>
      <c r="X253" s="113">
        <v>830595</v>
      </c>
      <c r="Y253" s="113">
        <v>13078</v>
      </c>
      <c r="Z253" s="113">
        <v>0</v>
      </c>
      <c r="AA253" s="113">
        <v>843673</v>
      </c>
      <c r="AB253" s="113">
        <f t="shared" si="3"/>
        <v>49.43010311694399</v>
      </c>
    </row>
    <row r="254" spans="1:28" ht="15.75" thickBot="1" x14ac:dyDescent="0.3">
      <c r="A254" s="44" t="s">
        <v>1073</v>
      </c>
      <c r="B254" s="107" t="s">
        <v>1074</v>
      </c>
      <c r="C254" s="110" t="s">
        <v>803</v>
      </c>
      <c r="D254" s="110" t="s">
        <v>1952</v>
      </c>
      <c r="E254" s="111" t="s">
        <v>804</v>
      </c>
      <c r="F254" s="111" t="s">
        <v>805</v>
      </c>
      <c r="G254" s="112">
        <v>14480</v>
      </c>
      <c r="H254" s="112">
        <v>14480</v>
      </c>
      <c r="I254" s="113">
        <v>15020</v>
      </c>
      <c r="J254" s="113">
        <v>454291</v>
      </c>
      <c r="K254" s="113">
        <v>22881</v>
      </c>
      <c r="L254" s="113">
        <v>0</v>
      </c>
      <c r="M254" s="113">
        <v>492192</v>
      </c>
      <c r="N254" s="113">
        <v>19958</v>
      </c>
      <c r="O254" s="115">
        <v>0</v>
      </c>
      <c r="P254" s="113">
        <v>0</v>
      </c>
      <c r="Q254" s="113">
        <v>0</v>
      </c>
      <c r="R254" s="113">
        <v>0</v>
      </c>
      <c r="S254" s="113">
        <v>0</v>
      </c>
      <c r="T254" s="113">
        <v>0</v>
      </c>
      <c r="U254" s="113">
        <v>0</v>
      </c>
      <c r="V254" s="113">
        <v>492192</v>
      </c>
      <c r="W254" s="113">
        <v>19958</v>
      </c>
      <c r="X254" s="113">
        <v>512150</v>
      </c>
      <c r="Y254" s="113">
        <v>87063</v>
      </c>
      <c r="Z254" s="113">
        <v>0</v>
      </c>
      <c r="AA254" s="113">
        <v>599213</v>
      </c>
      <c r="AB254" s="113">
        <f t="shared" si="3"/>
        <v>41.382113259668508</v>
      </c>
    </row>
    <row r="255" spans="1:28" ht="15.75" thickBot="1" x14ac:dyDescent="0.3">
      <c r="A255" s="44" t="s">
        <v>1077</v>
      </c>
      <c r="B255" s="107" t="s">
        <v>1078</v>
      </c>
      <c r="C255" s="110" t="s">
        <v>803</v>
      </c>
      <c r="D255" s="110" t="s">
        <v>2180</v>
      </c>
      <c r="E255" s="111" t="s">
        <v>799</v>
      </c>
      <c r="F255" s="111" t="s">
        <v>800</v>
      </c>
      <c r="G255" s="112">
        <v>13326</v>
      </c>
      <c r="H255" s="112">
        <v>13326</v>
      </c>
      <c r="I255" s="113">
        <v>42739</v>
      </c>
      <c r="J255" s="113">
        <v>543805</v>
      </c>
      <c r="K255" s="114">
        <v>0</v>
      </c>
      <c r="L255" s="113">
        <v>19825</v>
      </c>
      <c r="M255" s="113">
        <v>606369</v>
      </c>
      <c r="N255" s="113">
        <v>202349</v>
      </c>
      <c r="O255" s="115">
        <v>0</v>
      </c>
      <c r="P255" s="114">
        <v>0</v>
      </c>
      <c r="Q255" s="114">
        <v>0</v>
      </c>
      <c r="R255" s="114">
        <v>0</v>
      </c>
      <c r="S255" s="114">
        <v>0</v>
      </c>
      <c r="T255" s="114">
        <v>0</v>
      </c>
      <c r="U255" s="114">
        <v>0</v>
      </c>
      <c r="V255" s="113">
        <v>606369</v>
      </c>
      <c r="W255" s="113">
        <v>202349</v>
      </c>
      <c r="X255" s="113">
        <v>808718</v>
      </c>
      <c r="Y255" s="113">
        <v>85720</v>
      </c>
      <c r="Z255" s="113">
        <v>0</v>
      </c>
      <c r="AA255" s="113">
        <v>894438</v>
      </c>
      <c r="AB255" s="113">
        <f t="shared" si="3"/>
        <v>67.119765871229177</v>
      </c>
    </row>
    <row r="256" spans="1:28" ht="15.75" thickBot="1" x14ac:dyDescent="0.3">
      <c r="A256" s="44" t="s">
        <v>1079</v>
      </c>
      <c r="B256" s="107" t="s">
        <v>1080</v>
      </c>
      <c r="C256" s="110" t="s">
        <v>803</v>
      </c>
      <c r="D256" s="110" t="s">
        <v>2309</v>
      </c>
      <c r="E256" s="111" t="s">
        <v>844</v>
      </c>
      <c r="F256" s="111" t="s">
        <v>845</v>
      </c>
      <c r="G256" s="112">
        <v>13598</v>
      </c>
      <c r="H256" s="112">
        <v>13598</v>
      </c>
      <c r="I256" s="113">
        <v>23873</v>
      </c>
      <c r="J256" s="113">
        <v>218436</v>
      </c>
      <c r="K256" s="113">
        <v>0</v>
      </c>
      <c r="L256" s="113">
        <v>0</v>
      </c>
      <c r="M256" s="113">
        <v>242309</v>
      </c>
      <c r="N256" s="113">
        <v>6887</v>
      </c>
      <c r="O256" s="115">
        <v>0</v>
      </c>
      <c r="P256" s="114">
        <v>0</v>
      </c>
      <c r="Q256" s="114">
        <v>0</v>
      </c>
      <c r="R256" s="114">
        <v>0</v>
      </c>
      <c r="S256" s="114">
        <v>0</v>
      </c>
      <c r="T256" s="114">
        <v>0</v>
      </c>
      <c r="U256" s="114">
        <v>0</v>
      </c>
      <c r="V256" s="113">
        <v>242309</v>
      </c>
      <c r="W256" s="113">
        <v>6887</v>
      </c>
      <c r="X256" s="113">
        <v>249196</v>
      </c>
      <c r="Y256" s="113">
        <v>9972</v>
      </c>
      <c r="Z256" s="113">
        <v>0</v>
      </c>
      <c r="AA256" s="113">
        <v>259168</v>
      </c>
      <c r="AB256" s="113">
        <f t="shared" si="3"/>
        <v>19.059273422562143</v>
      </c>
    </row>
    <row r="257" spans="1:28" ht="15.75" thickBot="1" x14ac:dyDescent="0.3">
      <c r="A257" s="44" t="s">
        <v>1097</v>
      </c>
      <c r="B257" s="107" t="s">
        <v>1098</v>
      </c>
      <c r="C257" s="110" t="s">
        <v>803</v>
      </c>
      <c r="D257" s="110" t="s">
        <v>2332</v>
      </c>
      <c r="E257" s="111" t="s">
        <v>799</v>
      </c>
      <c r="F257" s="111" t="s">
        <v>800</v>
      </c>
      <c r="G257" s="112">
        <v>25692</v>
      </c>
      <c r="H257" s="112">
        <v>25692</v>
      </c>
      <c r="I257" s="113">
        <v>172460</v>
      </c>
      <c r="J257" s="113">
        <v>465936</v>
      </c>
      <c r="K257" s="114">
        <v>0</v>
      </c>
      <c r="L257" s="114">
        <v>0</v>
      </c>
      <c r="M257" s="113">
        <v>638396</v>
      </c>
      <c r="N257" s="114">
        <v>0</v>
      </c>
      <c r="O257" s="115">
        <v>0</v>
      </c>
      <c r="P257" s="114">
        <v>0</v>
      </c>
      <c r="Q257" s="114">
        <v>0</v>
      </c>
      <c r="R257" s="114">
        <v>0</v>
      </c>
      <c r="S257" s="114">
        <v>0</v>
      </c>
      <c r="T257" s="114">
        <v>0</v>
      </c>
      <c r="U257" s="114">
        <v>0</v>
      </c>
      <c r="V257" s="113">
        <v>638396</v>
      </c>
      <c r="W257" s="114">
        <v>0</v>
      </c>
      <c r="X257" s="113">
        <v>638396</v>
      </c>
      <c r="Y257" s="113">
        <v>18840</v>
      </c>
      <c r="Z257" s="113">
        <v>0</v>
      </c>
      <c r="AA257" s="113">
        <v>657236</v>
      </c>
      <c r="AB257" s="113">
        <f t="shared" si="3"/>
        <v>25.581348279620116</v>
      </c>
    </row>
    <row r="258" spans="1:28" ht="15.75" thickBot="1" x14ac:dyDescent="0.3">
      <c r="A258" s="44" t="s">
        <v>1105</v>
      </c>
      <c r="B258" s="107" t="s">
        <v>1106</v>
      </c>
      <c r="C258" s="110" t="s">
        <v>803</v>
      </c>
      <c r="D258" s="110" t="s">
        <v>1999</v>
      </c>
      <c r="E258" s="111" t="s">
        <v>804</v>
      </c>
      <c r="F258" s="111" t="s">
        <v>805</v>
      </c>
      <c r="G258" s="112">
        <v>15959</v>
      </c>
      <c r="H258" s="112">
        <v>15959</v>
      </c>
      <c r="I258" s="113">
        <v>59962</v>
      </c>
      <c r="J258" s="113">
        <v>630961</v>
      </c>
      <c r="K258" s="114">
        <v>0</v>
      </c>
      <c r="L258" s="114">
        <v>0</v>
      </c>
      <c r="M258" s="113">
        <v>690923</v>
      </c>
      <c r="N258" s="113">
        <v>32851</v>
      </c>
      <c r="O258" s="115">
        <v>0</v>
      </c>
      <c r="P258" s="114">
        <v>0</v>
      </c>
      <c r="Q258" s="114">
        <v>0</v>
      </c>
      <c r="R258" s="114">
        <v>0</v>
      </c>
      <c r="S258" s="114">
        <v>0</v>
      </c>
      <c r="T258" s="114">
        <v>0</v>
      </c>
      <c r="U258" s="114">
        <v>0</v>
      </c>
      <c r="V258" s="113">
        <v>690923</v>
      </c>
      <c r="W258" s="113">
        <v>32851</v>
      </c>
      <c r="X258" s="113">
        <v>723774</v>
      </c>
      <c r="Y258" s="113">
        <v>12228</v>
      </c>
      <c r="Z258" s="113">
        <v>0</v>
      </c>
      <c r="AA258" s="113">
        <v>736002</v>
      </c>
      <c r="AB258" s="113">
        <f t="shared" si="3"/>
        <v>46.118303151826552</v>
      </c>
    </row>
    <row r="259" spans="1:28" ht="15.75" thickBot="1" x14ac:dyDescent="0.3">
      <c r="A259" s="44" t="s">
        <v>1115</v>
      </c>
      <c r="B259" s="107" t="s">
        <v>1116</v>
      </c>
      <c r="C259" s="110" t="s">
        <v>803</v>
      </c>
      <c r="D259" s="110" t="s">
        <v>2052</v>
      </c>
      <c r="E259" s="111" t="s">
        <v>804</v>
      </c>
      <c r="F259" s="111" t="s">
        <v>805</v>
      </c>
      <c r="G259" s="112">
        <v>21165</v>
      </c>
      <c r="H259" s="112">
        <v>21165</v>
      </c>
      <c r="I259" s="113">
        <v>58853</v>
      </c>
      <c r="J259" s="113">
        <v>813965</v>
      </c>
      <c r="K259" s="113">
        <v>0</v>
      </c>
      <c r="L259" s="113">
        <v>0</v>
      </c>
      <c r="M259" s="113">
        <v>872818</v>
      </c>
      <c r="N259" s="113">
        <v>44077</v>
      </c>
      <c r="O259" s="115">
        <v>0</v>
      </c>
      <c r="P259" s="113">
        <v>0</v>
      </c>
      <c r="Q259" s="113">
        <v>0</v>
      </c>
      <c r="R259" s="113">
        <v>0</v>
      </c>
      <c r="S259" s="113">
        <v>0</v>
      </c>
      <c r="T259" s="113">
        <v>0</v>
      </c>
      <c r="U259" s="113">
        <v>0</v>
      </c>
      <c r="V259" s="113">
        <v>872818</v>
      </c>
      <c r="W259" s="113">
        <v>44077</v>
      </c>
      <c r="X259" s="113">
        <v>916895</v>
      </c>
      <c r="Y259" s="113">
        <v>16964</v>
      </c>
      <c r="Z259" s="113">
        <v>0</v>
      </c>
      <c r="AA259" s="113">
        <v>933859</v>
      </c>
      <c r="AB259" s="113">
        <f t="shared" si="3"/>
        <v>44.122797070635485</v>
      </c>
    </row>
    <row r="260" spans="1:28" ht="15.75" thickBot="1" x14ac:dyDescent="0.3">
      <c r="A260" s="44" t="s">
        <v>1117</v>
      </c>
      <c r="B260" s="107" t="s">
        <v>1118</v>
      </c>
      <c r="C260" s="110" t="s">
        <v>803</v>
      </c>
      <c r="D260" s="110" t="s">
        <v>1925</v>
      </c>
      <c r="E260" s="111" t="s">
        <v>804</v>
      </c>
      <c r="F260" s="111" t="s">
        <v>805</v>
      </c>
      <c r="G260" s="112">
        <v>22423</v>
      </c>
      <c r="H260" s="112">
        <v>22423</v>
      </c>
      <c r="I260" s="113">
        <v>12773</v>
      </c>
      <c r="J260" s="113">
        <v>375524</v>
      </c>
      <c r="K260" s="113">
        <v>0</v>
      </c>
      <c r="L260" s="113">
        <v>8899</v>
      </c>
      <c r="M260" s="113">
        <v>397196</v>
      </c>
      <c r="N260" s="113">
        <v>25442</v>
      </c>
      <c r="O260" s="115">
        <v>0</v>
      </c>
      <c r="P260" s="114">
        <v>0</v>
      </c>
      <c r="Q260" s="114">
        <v>0</v>
      </c>
      <c r="R260" s="114">
        <v>0</v>
      </c>
      <c r="S260" s="114">
        <v>0</v>
      </c>
      <c r="T260" s="114">
        <v>0</v>
      </c>
      <c r="U260" s="114">
        <v>0</v>
      </c>
      <c r="V260" s="113">
        <v>397196</v>
      </c>
      <c r="W260" s="113">
        <v>25442</v>
      </c>
      <c r="X260" s="113">
        <v>422638</v>
      </c>
      <c r="Y260" s="113">
        <v>8899</v>
      </c>
      <c r="Z260" s="113">
        <v>7449</v>
      </c>
      <c r="AA260" s="113">
        <v>438986</v>
      </c>
      <c r="AB260" s="113">
        <f t="shared" ref="AB260:AB323" si="4">AA260/G260</f>
        <v>19.577487401328991</v>
      </c>
    </row>
    <row r="261" spans="1:28" ht="15.75" thickBot="1" x14ac:dyDescent="0.3">
      <c r="A261" s="44" t="s">
        <v>1121</v>
      </c>
      <c r="B261" s="107" t="s">
        <v>1122</v>
      </c>
      <c r="C261" s="110" t="s">
        <v>803</v>
      </c>
      <c r="D261" s="110" t="s">
        <v>1925</v>
      </c>
      <c r="E261" s="111" t="s">
        <v>799</v>
      </c>
      <c r="F261" s="111" t="s">
        <v>800</v>
      </c>
      <c r="G261" s="112">
        <v>14236</v>
      </c>
      <c r="H261" s="112">
        <v>14236</v>
      </c>
      <c r="I261" s="113">
        <v>8109</v>
      </c>
      <c r="J261" s="113">
        <v>365706</v>
      </c>
      <c r="K261" s="113">
        <v>0</v>
      </c>
      <c r="L261" s="113">
        <v>73387</v>
      </c>
      <c r="M261" s="113">
        <v>447202</v>
      </c>
      <c r="N261" s="113">
        <v>21996</v>
      </c>
      <c r="O261" s="115">
        <v>0</v>
      </c>
      <c r="P261" s="113">
        <v>0</v>
      </c>
      <c r="Q261" s="113">
        <v>0</v>
      </c>
      <c r="R261" s="113">
        <v>0</v>
      </c>
      <c r="S261" s="113">
        <v>0</v>
      </c>
      <c r="T261" s="113">
        <v>0</v>
      </c>
      <c r="U261" s="113">
        <v>0</v>
      </c>
      <c r="V261" s="113">
        <v>447202</v>
      </c>
      <c r="W261" s="113">
        <v>21996</v>
      </c>
      <c r="X261" s="113">
        <v>469198</v>
      </c>
      <c r="Y261" s="113">
        <v>10440</v>
      </c>
      <c r="Z261" s="113">
        <v>0</v>
      </c>
      <c r="AA261" s="113">
        <v>479638</v>
      </c>
      <c r="AB261" s="113">
        <f t="shared" si="4"/>
        <v>33.691907839280695</v>
      </c>
    </row>
    <row r="262" spans="1:28" ht="15.75" thickBot="1" x14ac:dyDescent="0.3">
      <c r="A262" s="44" t="s">
        <v>1123</v>
      </c>
      <c r="B262" s="107" t="s">
        <v>1124</v>
      </c>
      <c r="C262" s="110" t="s">
        <v>803</v>
      </c>
      <c r="D262" s="110" t="s">
        <v>2376</v>
      </c>
      <c r="E262" s="111" t="s">
        <v>804</v>
      </c>
      <c r="F262" s="111" t="s">
        <v>805</v>
      </c>
      <c r="G262" s="112">
        <v>12920</v>
      </c>
      <c r="H262" s="112">
        <v>7830</v>
      </c>
      <c r="I262" s="113">
        <v>53885</v>
      </c>
      <c r="J262" s="113">
        <v>196409</v>
      </c>
      <c r="K262" s="113">
        <v>0</v>
      </c>
      <c r="L262" s="113">
        <v>0</v>
      </c>
      <c r="M262" s="113">
        <v>250294</v>
      </c>
      <c r="N262" s="113">
        <v>18375</v>
      </c>
      <c r="O262" s="116">
        <v>5090</v>
      </c>
      <c r="P262" s="113">
        <v>35028</v>
      </c>
      <c r="Q262" s="113">
        <v>0</v>
      </c>
      <c r="R262" s="113">
        <v>0</v>
      </c>
      <c r="S262" s="113">
        <v>0</v>
      </c>
      <c r="T262" s="113">
        <v>35028</v>
      </c>
      <c r="U262" s="113">
        <v>0</v>
      </c>
      <c r="V262" s="113">
        <v>285322</v>
      </c>
      <c r="W262" s="113">
        <v>18375</v>
      </c>
      <c r="X262" s="113">
        <v>303697</v>
      </c>
      <c r="Y262" s="113">
        <v>9425</v>
      </c>
      <c r="Z262" s="113">
        <v>0</v>
      </c>
      <c r="AA262" s="113">
        <v>313122</v>
      </c>
      <c r="AB262" s="113">
        <f t="shared" si="4"/>
        <v>24.235448916408668</v>
      </c>
    </row>
    <row r="263" spans="1:28" ht="15.75" thickBot="1" x14ac:dyDescent="0.3">
      <c r="A263" s="44" t="s">
        <v>1125</v>
      </c>
      <c r="B263" s="107" t="s">
        <v>1126</v>
      </c>
      <c r="C263" s="110" t="s">
        <v>803</v>
      </c>
      <c r="D263" s="110" t="s">
        <v>1952</v>
      </c>
      <c r="E263" s="111" t="s">
        <v>799</v>
      </c>
      <c r="F263" s="111" t="s">
        <v>800</v>
      </c>
      <c r="G263" s="112">
        <v>24587</v>
      </c>
      <c r="H263" s="112">
        <v>24587</v>
      </c>
      <c r="I263" s="113">
        <v>21291</v>
      </c>
      <c r="J263" s="113">
        <v>434761</v>
      </c>
      <c r="K263" s="114">
        <v>0</v>
      </c>
      <c r="L263" s="114">
        <v>0</v>
      </c>
      <c r="M263" s="113">
        <v>456052</v>
      </c>
      <c r="N263" s="113">
        <v>6276</v>
      </c>
      <c r="O263" s="115">
        <v>0</v>
      </c>
      <c r="P263" s="114">
        <v>0</v>
      </c>
      <c r="Q263" s="114">
        <v>0</v>
      </c>
      <c r="R263" s="114">
        <v>0</v>
      </c>
      <c r="S263" s="114">
        <v>0</v>
      </c>
      <c r="T263" s="114">
        <v>0</v>
      </c>
      <c r="U263" s="114">
        <v>0</v>
      </c>
      <c r="V263" s="113">
        <v>456052</v>
      </c>
      <c r="W263" s="113">
        <v>6276</v>
      </c>
      <c r="X263" s="113">
        <v>462328</v>
      </c>
      <c r="Y263" s="113">
        <v>18030</v>
      </c>
      <c r="Z263" s="113">
        <v>0</v>
      </c>
      <c r="AA263" s="113">
        <v>480358</v>
      </c>
      <c r="AB263" s="113">
        <f t="shared" si="4"/>
        <v>19.537072436653517</v>
      </c>
    </row>
    <row r="264" spans="1:28" ht="15.75" thickBot="1" x14ac:dyDescent="0.3">
      <c r="A264" s="44" t="s">
        <v>1131</v>
      </c>
      <c r="B264" s="107" t="s">
        <v>1132</v>
      </c>
      <c r="C264" s="110" t="s">
        <v>803</v>
      </c>
      <c r="D264" s="110" t="s">
        <v>2205</v>
      </c>
      <c r="E264" s="111" t="s">
        <v>804</v>
      </c>
      <c r="F264" s="111" t="s">
        <v>805</v>
      </c>
      <c r="G264" s="112">
        <v>13233</v>
      </c>
      <c r="H264" s="112">
        <v>7350</v>
      </c>
      <c r="I264" s="113">
        <v>8055</v>
      </c>
      <c r="J264" s="113">
        <v>0</v>
      </c>
      <c r="K264" s="113">
        <v>296479</v>
      </c>
      <c r="L264" s="113">
        <v>0</v>
      </c>
      <c r="M264" s="113">
        <v>304534</v>
      </c>
      <c r="N264" s="113">
        <v>83241</v>
      </c>
      <c r="O264" s="116">
        <v>5883</v>
      </c>
      <c r="P264" s="113">
        <v>0</v>
      </c>
      <c r="Q264" s="113">
        <v>359946</v>
      </c>
      <c r="R264" s="113">
        <v>0</v>
      </c>
      <c r="S264" s="113">
        <v>0</v>
      </c>
      <c r="T264" s="113">
        <v>359946</v>
      </c>
      <c r="U264" s="113">
        <v>0</v>
      </c>
      <c r="V264" s="113">
        <v>664480</v>
      </c>
      <c r="W264" s="113">
        <v>83241</v>
      </c>
      <c r="X264" s="113">
        <v>747721</v>
      </c>
      <c r="Y264" s="113">
        <v>12139</v>
      </c>
      <c r="Z264" s="113">
        <v>0</v>
      </c>
      <c r="AA264" s="113">
        <v>759860</v>
      </c>
      <c r="AB264" s="113">
        <f t="shared" si="4"/>
        <v>57.421597521348147</v>
      </c>
    </row>
    <row r="265" spans="1:28" ht="15.75" thickBot="1" x14ac:dyDescent="0.3">
      <c r="A265" s="44" t="s">
        <v>1133</v>
      </c>
      <c r="B265" s="107" t="s">
        <v>1134</v>
      </c>
      <c r="C265" s="110" t="s">
        <v>803</v>
      </c>
      <c r="D265" s="110" t="s">
        <v>1885</v>
      </c>
      <c r="E265" s="111" t="s">
        <v>804</v>
      </c>
      <c r="F265" s="111" t="s">
        <v>805</v>
      </c>
      <c r="G265" s="112">
        <v>16422</v>
      </c>
      <c r="H265" s="112">
        <v>16422</v>
      </c>
      <c r="I265" s="113">
        <v>37021</v>
      </c>
      <c r="J265" s="113">
        <v>447268</v>
      </c>
      <c r="K265" s="113">
        <v>0</v>
      </c>
      <c r="L265" s="113">
        <v>18769</v>
      </c>
      <c r="M265" s="113">
        <v>503058</v>
      </c>
      <c r="N265" s="113">
        <v>27021</v>
      </c>
      <c r="O265" s="115">
        <v>0</v>
      </c>
      <c r="P265" s="113">
        <v>0</v>
      </c>
      <c r="Q265" s="113">
        <v>0</v>
      </c>
      <c r="R265" s="113">
        <v>0</v>
      </c>
      <c r="S265" s="113">
        <v>0</v>
      </c>
      <c r="T265" s="113">
        <v>0</v>
      </c>
      <c r="U265" s="113">
        <v>0</v>
      </c>
      <c r="V265" s="113">
        <v>503058</v>
      </c>
      <c r="W265" s="113">
        <v>27021</v>
      </c>
      <c r="X265" s="113">
        <v>530079</v>
      </c>
      <c r="Y265" s="113">
        <v>18769</v>
      </c>
      <c r="Z265" s="113">
        <v>0</v>
      </c>
      <c r="AA265" s="113">
        <v>548848</v>
      </c>
      <c r="AB265" s="113">
        <f t="shared" si="4"/>
        <v>33.421507733528195</v>
      </c>
    </row>
    <row r="266" spans="1:28" ht="15.75" thickBot="1" x14ac:dyDescent="0.3">
      <c r="A266" s="44" t="s">
        <v>1141</v>
      </c>
      <c r="B266" s="107" t="s">
        <v>1142</v>
      </c>
      <c r="C266" s="110" t="s">
        <v>803</v>
      </c>
      <c r="D266" s="110" t="s">
        <v>1885</v>
      </c>
      <c r="E266" s="111" t="s">
        <v>799</v>
      </c>
      <c r="F266" s="111" t="s">
        <v>800</v>
      </c>
      <c r="G266" s="112">
        <v>19202</v>
      </c>
      <c r="H266" s="112">
        <v>19202</v>
      </c>
      <c r="I266" s="113">
        <v>40154</v>
      </c>
      <c r="J266" s="113">
        <v>902225</v>
      </c>
      <c r="K266" s="113">
        <v>0</v>
      </c>
      <c r="L266" s="113">
        <v>0</v>
      </c>
      <c r="M266" s="113">
        <v>942379</v>
      </c>
      <c r="N266" s="113">
        <v>105921</v>
      </c>
      <c r="O266" s="115">
        <v>0</v>
      </c>
      <c r="P266" s="114">
        <v>0</v>
      </c>
      <c r="Q266" s="114">
        <v>0</v>
      </c>
      <c r="R266" s="114">
        <v>0</v>
      </c>
      <c r="S266" s="114">
        <v>0</v>
      </c>
      <c r="T266" s="114">
        <v>0</v>
      </c>
      <c r="U266" s="114">
        <v>0</v>
      </c>
      <c r="V266" s="113">
        <v>942379</v>
      </c>
      <c r="W266" s="113">
        <v>105921</v>
      </c>
      <c r="X266" s="113">
        <v>1048300</v>
      </c>
      <c r="Y266" s="113">
        <v>14081</v>
      </c>
      <c r="Z266" s="113">
        <v>0</v>
      </c>
      <c r="AA266" s="113">
        <v>1062381</v>
      </c>
      <c r="AB266" s="113">
        <f t="shared" si="4"/>
        <v>55.326580564524527</v>
      </c>
    </row>
    <row r="267" spans="1:28" ht="15.75" thickBot="1" x14ac:dyDescent="0.3">
      <c r="A267" s="44" t="s">
        <v>1145</v>
      </c>
      <c r="B267" s="107" t="s">
        <v>1146</v>
      </c>
      <c r="C267" s="110" t="s">
        <v>803</v>
      </c>
      <c r="D267" s="110" t="s">
        <v>1885</v>
      </c>
      <c r="E267" s="111" t="s">
        <v>804</v>
      </c>
      <c r="F267" s="111" t="s">
        <v>805</v>
      </c>
      <c r="G267" s="112">
        <v>23088</v>
      </c>
      <c r="H267" s="112">
        <v>11362</v>
      </c>
      <c r="I267" s="113">
        <v>23632</v>
      </c>
      <c r="J267" s="113">
        <v>290638</v>
      </c>
      <c r="K267" s="113">
        <v>0</v>
      </c>
      <c r="L267" s="113">
        <v>0</v>
      </c>
      <c r="M267" s="113">
        <v>314270</v>
      </c>
      <c r="N267" s="113">
        <v>5093</v>
      </c>
      <c r="O267" s="116">
        <v>11726</v>
      </c>
      <c r="P267" s="113">
        <v>24652</v>
      </c>
      <c r="Q267" s="113">
        <v>0</v>
      </c>
      <c r="R267" s="113">
        <v>0</v>
      </c>
      <c r="S267" s="113">
        <v>13110</v>
      </c>
      <c r="T267" s="113">
        <v>37762</v>
      </c>
      <c r="U267" s="114">
        <v>0</v>
      </c>
      <c r="V267" s="113">
        <v>352032</v>
      </c>
      <c r="W267" s="113">
        <v>5093</v>
      </c>
      <c r="X267" s="113">
        <v>357125</v>
      </c>
      <c r="Y267" s="113">
        <v>17690</v>
      </c>
      <c r="Z267" s="113">
        <v>0</v>
      </c>
      <c r="AA267" s="113">
        <v>374815</v>
      </c>
      <c r="AB267" s="113">
        <f t="shared" si="4"/>
        <v>16.234190921690921</v>
      </c>
    </row>
    <row r="268" spans="1:28" ht="15.75" thickBot="1" x14ac:dyDescent="0.3">
      <c r="A268" s="44" t="s">
        <v>1153</v>
      </c>
      <c r="B268" s="107" t="s">
        <v>1154</v>
      </c>
      <c r="C268" s="110" t="s">
        <v>803</v>
      </c>
      <c r="D268" s="110" t="s">
        <v>2415</v>
      </c>
      <c r="E268" s="111" t="s">
        <v>804</v>
      </c>
      <c r="F268" s="111" t="s">
        <v>805</v>
      </c>
      <c r="G268" s="112">
        <v>15322</v>
      </c>
      <c r="H268" s="112">
        <v>15322</v>
      </c>
      <c r="I268" s="113">
        <v>116800</v>
      </c>
      <c r="J268" s="113">
        <v>535734</v>
      </c>
      <c r="K268" s="114">
        <v>0</v>
      </c>
      <c r="L268" s="113">
        <v>4166</v>
      </c>
      <c r="M268" s="113">
        <v>656700</v>
      </c>
      <c r="N268" s="113">
        <v>20744</v>
      </c>
      <c r="O268" s="115">
        <v>0</v>
      </c>
      <c r="P268" s="114">
        <v>0</v>
      </c>
      <c r="Q268" s="114">
        <v>0</v>
      </c>
      <c r="R268" s="114">
        <v>0</v>
      </c>
      <c r="S268" s="114">
        <v>0</v>
      </c>
      <c r="T268" s="114">
        <v>0</v>
      </c>
      <c r="U268" s="114">
        <v>0</v>
      </c>
      <c r="V268" s="113">
        <v>656700</v>
      </c>
      <c r="W268" s="113">
        <v>20744</v>
      </c>
      <c r="X268" s="113">
        <v>677444</v>
      </c>
      <c r="Y268" s="113">
        <v>12281</v>
      </c>
      <c r="Z268" s="113">
        <v>0</v>
      </c>
      <c r="AA268" s="113">
        <v>689725</v>
      </c>
      <c r="AB268" s="113">
        <f t="shared" si="4"/>
        <v>45.015337423312886</v>
      </c>
    </row>
    <row r="269" spans="1:28" ht="15.75" thickBot="1" x14ac:dyDescent="0.3">
      <c r="A269" s="44" t="s">
        <v>1155</v>
      </c>
      <c r="B269" s="107" t="s">
        <v>1156</v>
      </c>
      <c r="C269" s="110" t="s">
        <v>803</v>
      </c>
      <c r="D269" s="110" t="s">
        <v>1926</v>
      </c>
      <c r="E269" s="111" t="s">
        <v>804</v>
      </c>
      <c r="F269" s="111" t="s">
        <v>805</v>
      </c>
      <c r="G269" s="112">
        <v>22115</v>
      </c>
      <c r="H269" s="112">
        <v>5504</v>
      </c>
      <c r="I269" s="113">
        <v>17723</v>
      </c>
      <c r="J269" s="113">
        <v>0</v>
      </c>
      <c r="K269" s="113">
        <v>550000</v>
      </c>
      <c r="L269" s="113">
        <v>122197</v>
      </c>
      <c r="M269" s="113">
        <v>689920</v>
      </c>
      <c r="N269" s="113">
        <v>77245</v>
      </c>
      <c r="O269" s="116">
        <v>16611</v>
      </c>
      <c r="P269" s="113">
        <v>53512</v>
      </c>
      <c r="Q269" s="113">
        <v>30446</v>
      </c>
      <c r="R269" s="113">
        <v>46509</v>
      </c>
      <c r="S269" s="113">
        <v>125000</v>
      </c>
      <c r="T269" s="113">
        <v>255467</v>
      </c>
      <c r="U269" s="114">
        <v>0</v>
      </c>
      <c r="V269" s="113">
        <v>945387</v>
      </c>
      <c r="W269" s="113">
        <v>77245</v>
      </c>
      <c r="X269" s="113">
        <v>1022632</v>
      </c>
      <c r="Y269" s="113">
        <v>8777</v>
      </c>
      <c r="Z269" s="113">
        <v>0</v>
      </c>
      <c r="AA269" s="113">
        <v>1031409</v>
      </c>
      <c r="AB269" s="113">
        <f t="shared" si="4"/>
        <v>46.638435451051322</v>
      </c>
    </row>
    <row r="270" spans="1:28" ht="15.75" thickBot="1" x14ac:dyDescent="0.3">
      <c r="A270" s="44" t="s">
        <v>1169</v>
      </c>
      <c r="B270" s="107" t="s">
        <v>1170</v>
      </c>
      <c r="C270" s="110" t="s">
        <v>803</v>
      </c>
      <c r="D270" s="110" t="s">
        <v>1944</v>
      </c>
      <c r="E270" s="111" t="s">
        <v>804</v>
      </c>
      <c r="F270" s="111" t="s">
        <v>805</v>
      </c>
      <c r="G270" s="112">
        <v>21871</v>
      </c>
      <c r="H270" s="112">
        <v>20891</v>
      </c>
      <c r="I270" s="113">
        <v>145256</v>
      </c>
      <c r="J270" s="113">
        <v>500355</v>
      </c>
      <c r="K270" s="113">
        <v>0</v>
      </c>
      <c r="L270" s="113">
        <v>0</v>
      </c>
      <c r="M270" s="113">
        <v>645611</v>
      </c>
      <c r="N270" s="113">
        <v>26995</v>
      </c>
      <c r="O270" s="116">
        <v>980</v>
      </c>
      <c r="P270" s="113">
        <v>0</v>
      </c>
      <c r="Q270" s="113">
        <v>0</v>
      </c>
      <c r="R270" s="113">
        <v>0</v>
      </c>
      <c r="S270" s="113">
        <v>0</v>
      </c>
      <c r="T270" s="113">
        <v>0</v>
      </c>
      <c r="U270" s="113">
        <v>0</v>
      </c>
      <c r="V270" s="113">
        <v>645611</v>
      </c>
      <c r="W270" s="113">
        <v>26995</v>
      </c>
      <c r="X270" s="113">
        <v>672606</v>
      </c>
      <c r="Y270" s="113">
        <v>17185</v>
      </c>
      <c r="Z270" s="113">
        <v>0</v>
      </c>
      <c r="AA270" s="113">
        <v>689791</v>
      </c>
      <c r="AB270" s="113">
        <f t="shared" si="4"/>
        <v>31.53907000137168</v>
      </c>
    </row>
    <row r="271" spans="1:28" ht="15.75" thickBot="1" x14ac:dyDescent="0.3">
      <c r="A271" s="44" t="s">
        <v>1175</v>
      </c>
      <c r="B271" s="107" t="s">
        <v>1176</v>
      </c>
      <c r="C271" s="110" t="s">
        <v>803</v>
      </c>
      <c r="D271" s="110" t="s">
        <v>2292</v>
      </c>
      <c r="E271" s="111" t="s">
        <v>799</v>
      </c>
      <c r="F271" s="111" t="s">
        <v>800</v>
      </c>
      <c r="G271" s="112">
        <v>13600</v>
      </c>
      <c r="H271" s="112">
        <v>6470</v>
      </c>
      <c r="I271" s="113">
        <v>18522</v>
      </c>
      <c r="J271" s="114">
        <v>0</v>
      </c>
      <c r="K271" s="113">
        <v>320288</v>
      </c>
      <c r="L271" s="114">
        <v>0</v>
      </c>
      <c r="M271" s="113">
        <v>338810</v>
      </c>
      <c r="N271" s="113">
        <v>9926</v>
      </c>
      <c r="O271" s="116">
        <v>7130</v>
      </c>
      <c r="P271" s="113">
        <v>20409</v>
      </c>
      <c r="Q271" s="114">
        <v>0</v>
      </c>
      <c r="R271" s="114">
        <v>0</v>
      </c>
      <c r="S271" s="113">
        <v>7067</v>
      </c>
      <c r="T271" s="113">
        <v>27476</v>
      </c>
      <c r="U271" s="114">
        <v>0</v>
      </c>
      <c r="V271" s="113">
        <v>366286</v>
      </c>
      <c r="W271" s="113">
        <v>9926</v>
      </c>
      <c r="X271" s="113">
        <v>376212</v>
      </c>
      <c r="Y271" s="113">
        <v>9973</v>
      </c>
      <c r="Z271" s="113">
        <v>0</v>
      </c>
      <c r="AA271" s="113">
        <v>386185</v>
      </c>
      <c r="AB271" s="113">
        <f t="shared" si="4"/>
        <v>28.39595588235294</v>
      </c>
    </row>
    <row r="272" spans="1:28" ht="15.75" thickBot="1" x14ac:dyDescent="0.3">
      <c r="A272" s="44" t="s">
        <v>1189</v>
      </c>
      <c r="B272" s="107" t="s">
        <v>1190</v>
      </c>
      <c r="C272" s="110" t="s">
        <v>803</v>
      </c>
      <c r="D272" s="110" t="s">
        <v>2451</v>
      </c>
      <c r="E272" s="111" t="s">
        <v>799</v>
      </c>
      <c r="F272" s="111" t="s">
        <v>800</v>
      </c>
      <c r="G272" s="112">
        <v>17153</v>
      </c>
      <c r="H272" s="112">
        <v>17153</v>
      </c>
      <c r="I272" s="113">
        <v>92420</v>
      </c>
      <c r="J272" s="113">
        <v>184479</v>
      </c>
      <c r="K272" s="113">
        <v>0</v>
      </c>
      <c r="L272" s="113">
        <v>4051</v>
      </c>
      <c r="M272" s="113">
        <v>280950</v>
      </c>
      <c r="N272" s="113">
        <v>23631</v>
      </c>
      <c r="O272" s="115">
        <v>0</v>
      </c>
      <c r="P272" s="114">
        <v>0</v>
      </c>
      <c r="Q272" s="114">
        <v>0</v>
      </c>
      <c r="R272" s="114">
        <v>0</v>
      </c>
      <c r="S272" s="114">
        <v>0</v>
      </c>
      <c r="T272" s="114">
        <v>0</v>
      </c>
      <c r="U272" s="114">
        <v>0</v>
      </c>
      <c r="V272" s="113">
        <v>280950</v>
      </c>
      <c r="W272" s="113">
        <v>23631</v>
      </c>
      <c r="X272" s="113">
        <v>304581</v>
      </c>
      <c r="Y272" s="113">
        <v>9851</v>
      </c>
      <c r="Z272" s="113">
        <v>0</v>
      </c>
      <c r="AA272" s="113">
        <v>314432</v>
      </c>
      <c r="AB272" s="113">
        <f t="shared" si="4"/>
        <v>18.331020812685829</v>
      </c>
    </row>
    <row r="273" spans="1:28" ht="15.75" thickBot="1" x14ac:dyDescent="0.3">
      <c r="A273" s="44" t="s">
        <v>1207</v>
      </c>
      <c r="B273" s="107" t="s">
        <v>1208</v>
      </c>
      <c r="C273" s="110" t="s">
        <v>803</v>
      </c>
      <c r="D273" s="110" t="s">
        <v>1925</v>
      </c>
      <c r="E273" s="111" t="s">
        <v>804</v>
      </c>
      <c r="F273" s="111" t="s">
        <v>805</v>
      </c>
      <c r="G273" s="112">
        <v>25369</v>
      </c>
      <c r="H273" s="112">
        <v>25369</v>
      </c>
      <c r="I273" s="113">
        <v>35335</v>
      </c>
      <c r="J273" s="113">
        <v>392570</v>
      </c>
      <c r="K273" s="113">
        <v>0</v>
      </c>
      <c r="L273" s="113">
        <v>0</v>
      </c>
      <c r="M273" s="113">
        <v>427905</v>
      </c>
      <c r="N273" s="113">
        <v>15301</v>
      </c>
      <c r="O273" s="115">
        <v>0</v>
      </c>
      <c r="P273" s="114">
        <v>0</v>
      </c>
      <c r="Q273" s="114">
        <v>0</v>
      </c>
      <c r="R273" s="114">
        <v>0</v>
      </c>
      <c r="S273" s="114">
        <v>0</v>
      </c>
      <c r="T273" s="114">
        <v>0</v>
      </c>
      <c r="U273" s="114">
        <v>0</v>
      </c>
      <c r="V273" s="113">
        <v>427905</v>
      </c>
      <c r="W273" s="113">
        <v>15301</v>
      </c>
      <c r="X273" s="113">
        <v>443206</v>
      </c>
      <c r="Y273" s="113">
        <v>27929</v>
      </c>
      <c r="Z273" s="113">
        <v>5573</v>
      </c>
      <c r="AA273" s="113">
        <v>476708</v>
      </c>
      <c r="AB273" s="113">
        <f t="shared" si="4"/>
        <v>18.790965351413142</v>
      </c>
    </row>
    <row r="274" spans="1:28" ht="15.75" thickBot="1" x14ac:dyDescent="0.3">
      <c r="A274" s="44" t="s">
        <v>1223</v>
      </c>
      <c r="B274" s="107" t="s">
        <v>1224</v>
      </c>
      <c r="C274" s="110" t="s">
        <v>803</v>
      </c>
      <c r="D274" s="110" t="s">
        <v>2001</v>
      </c>
      <c r="E274" s="111" t="s">
        <v>844</v>
      </c>
      <c r="F274" s="111" t="s">
        <v>845</v>
      </c>
      <c r="G274" s="112">
        <v>22258</v>
      </c>
      <c r="H274" s="112">
        <v>14691</v>
      </c>
      <c r="I274" s="113">
        <v>108167</v>
      </c>
      <c r="J274" s="113">
        <v>872007</v>
      </c>
      <c r="K274" s="113">
        <v>8613</v>
      </c>
      <c r="L274" s="113">
        <v>0</v>
      </c>
      <c r="M274" s="113">
        <v>988787</v>
      </c>
      <c r="N274" s="113">
        <v>66054</v>
      </c>
      <c r="O274" s="116">
        <v>7567</v>
      </c>
      <c r="P274" s="113">
        <v>55714</v>
      </c>
      <c r="Q274" s="113">
        <v>126219</v>
      </c>
      <c r="R274" s="113">
        <v>0</v>
      </c>
      <c r="S274" s="113">
        <v>0</v>
      </c>
      <c r="T274" s="113">
        <v>181933</v>
      </c>
      <c r="U274" s="113">
        <v>0</v>
      </c>
      <c r="V274" s="113">
        <v>1170720</v>
      </c>
      <c r="W274" s="113">
        <v>66054</v>
      </c>
      <c r="X274" s="113">
        <v>1236774</v>
      </c>
      <c r="Y274" s="113">
        <v>17055</v>
      </c>
      <c r="Z274" s="113">
        <v>1019</v>
      </c>
      <c r="AA274" s="113">
        <v>1254848</v>
      </c>
      <c r="AB274" s="113">
        <f t="shared" si="4"/>
        <v>56.377392398238833</v>
      </c>
    </row>
    <row r="275" spans="1:28" ht="15.75" thickBot="1" x14ac:dyDescent="0.3">
      <c r="A275" s="44" t="s">
        <v>1235</v>
      </c>
      <c r="B275" s="107" t="s">
        <v>1236</v>
      </c>
      <c r="C275" s="110" t="s">
        <v>803</v>
      </c>
      <c r="D275" s="110" t="s">
        <v>1885</v>
      </c>
      <c r="E275" s="111" t="s">
        <v>799</v>
      </c>
      <c r="F275" s="111" t="s">
        <v>800</v>
      </c>
      <c r="G275" s="112">
        <v>14545</v>
      </c>
      <c r="H275" s="112">
        <v>14545</v>
      </c>
      <c r="I275" s="113">
        <v>30415</v>
      </c>
      <c r="J275" s="113">
        <v>973235</v>
      </c>
      <c r="K275" s="113">
        <v>0</v>
      </c>
      <c r="L275" s="113">
        <v>0</v>
      </c>
      <c r="M275" s="113">
        <v>1003650</v>
      </c>
      <c r="N275" s="113">
        <v>24331</v>
      </c>
      <c r="O275" s="115">
        <v>0</v>
      </c>
      <c r="P275" s="113">
        <v>0</v>
      </c>
      <c r="Q275" s="113">
        <v>0</v>
      </c>
      <c r="R275" s="113">
        <v>0</v>
      </c>
      <c r="S275" s="113">
        <v>0</v>
      </c>
      <c r="T275" s="113">
        <v>0</v>
      </c>
      <c r="U275" s="113">
        <v>0</v>
      </c>
      <c r="V275" s="113">
        <v>1003650</v>
      </c>
      <c r="W275" s="113">
        <v>24331</v>
      </c>
      <c r="X275" s="113">
        <v>1027981</v>
      </c>
      <c r="Y275" s="113">
        <v>10666</v>
      </c>
      <c r="Z275" s="113">
        <v>0</v>
      </c>
      <c r="AA275" s="113">
        <v>1038647</v>
      </c>
      <c r="AB275" s="113">
        <f t="shared" si="4"/>
        <v>71.409212787899619</v>
      </c>
    </row>
    <row r="276" spans="1:28" ht="15.75" thickBot="1" x14ac:dyDescent="0.3">
      <c r="A276" s="44" t="s">
        <v>1241</v>
      </c>
      <c r="B276" s="107" t="s">
        <v>1242</v>
      </c>
      <c r="C276" s="110" t="s">
        <v>803</v>
      </c>
      <c r="D276" s="110" t="s">
        <v>1952</v>
      </c>
      <c r="E276" s="111" t="s">
        <v>804</v>
      </c>
      <c r="F276" s="111" t="s">
        <v>805</v>
      </c>
      <c r="G276" s="112">
        <v>13452</v>
      </c>
      <c r="H276" s="112">
        <v>12084</v>
      </c>
      <c r="I276" s="113">
        <v>14156</v>
      </c>
      <c r="J276" s="113">
        <v>493702</v>
      </c>
      <c r="K276" s="113">
        <v>3248</v>
      </c>
      <c r="L276" s="113">
        <v>0</v>
      </c>
      <c r="M276" s="113">
        <v>511106</v>
      </c>
      <c r="N276" s="113">
        <v>31433</v>
      </c>
      <c r="O276" s="116">
        <v>1368</v>
      </c>
      <c r="P276" s="113">
        <v>3947</v>
      </c>
      <c r="Q276" s="113">
        <v>0</v>
      </c>
      <c r="R276" s="113">
        <v>0</v>
      </c>
      <c r="S276" s="113">
        <v>0</v>
      </c>
      <c r="T276" s="113">
        <v>3947</v>
      </c>
      <c r="U276" s="113">
        <v>0</v>
      </c>
      <c r="V276" s="113">
        <v>515053</v>
      </c>
      <c r="W276" s="113">
        <v>31433</v>
      </c>
      <c r="X276" s="113">
        <v>546486</v>
      </c>
      <c r="Y276" s="113">
        <v>10307</v>
      </c>
      <c r="Z276" s="113">
        <v>0</v>
      </c>
      <c r="AA276" s="113">
        <v>556793</v>
      </c>
      <c r="AB276" s="113">
        <f t="shared" si="4"/>
        <v>41.391094261076418</v>
      </c>
    </row>
    <row r="277" spans="1:28" ht="15.75" thickBot="1" x14ac:dyDescent="0.3">
      <c r="A277" s="44" t="s">
        <v>1255</v>
      </c>
      <c r="B277" s="107" t="s">
        <v>1256</v>
      </c>
      <c r="C277" s="110" t="s">
        <v>803</v>
      </c>
      <c r="D277" s="110" t="s">
        <v>2517</v>
      </c>
      <c r="E277" s="111" t="s">
        <v>885</v>
      </c>
      <c r="F277" s="111" t="s">
        <v>886</v>
      </c>
      <c r="G277" s="112">
        <v>22995</v>
      </c>
      <c r="H277" s="112">
        <v>22995</v>
      </c>
      <c r="I277" s="113">
        <v>142811</v>
      </c>
      <c r="J277" s="113">
        <v>1199083</v>
      </c>
      <c r="K277" s="114">
        <v>0</v>
      </c>
      <c r="L277" s="113">
        <v>44357</v>
      </c>
      <c r="M277" s="113">
        <v>1386251</v>
      </c>
      <c r="N277" s="113">
        <v>22457</v>
      </c>
      <c r="O277" s="115">
        <v>0</v>
      </c>
      <c r="P277" s="114">
        <v>0</v>
      </c>
      <c r="Q277" s="114">
        <v>0</v>
      </c>
      <c r="R277" s="114">
        <v>0</v>
      </c>
      <c r="S277" s="114">
        <v>0</v>
      </c>
      <c r="T277" s="114">
        <v>0</v>
      </c>
      <c r="U277" s="114">
        <v>0</v>
      </c>
      <c r="V277" s="113">
        <v>1386251</v>
      </c>
      <c r="W277" s="113">
        <v>22457</v>
      </c>
      <c r="X277" s="113">
        <v>1408708</v>
      </c>
      <c r="Y277" s="113">
        <v>21289</v>
      </c>
      <c r="Z277" s="113">
        <v>0</v>
      </c>
      <c r="AA277" s="113">
        <v>1429997</v>
      </c>
      <c r="AB277" s="113">
        <f t="shared" si="4"/>
        <v>62.18730158730159</v>
      </c>
    </row>
    <row r="278" spans="1:28" ht="15.75" thickBot="1" x14ac:dyDescent="0.3">
      <c r="A278" s="44" t="s">
        <v>1265</v>
      </c>
      <c r="B278" s="107" t="s">
        <v>1266</v>
      </c>
      <c r="C278" s="110" t="s">
        <v>803</v>
      </c>
      <c r="D278" s="110" t="s">
        <v>1905</v>
      </c>
      <c r="E278" s="111" t="s">
        <v>804</v>
      </c>
      <c r="F278" s="111" t="s">
        <v>805</v>
      </c>
      <c r="G278" s="112">
        <v>14948</v>
      </c>
      <c r="H278" s="112">
        <v>14948</v>
      </c>
      <c r="I278" s="113">
        <v>31531</v>
      </c>
      <c r="J278" s="113">
        <v>918515</v>
      </c>
      <c r="K278" s="113">
        <v>0</v>
      </c>
      <c r="L278" s="113">
        <v>0</v>
      </c>
      <c r="M278" s="113">
        <v>950046</v>
      </c>
      <c r="N278" s="113">
        <v>50993</v>
      </c>
      <c r="O278" s="115">
        <v>0</v>
      </c>
      <c r="P278" s="114">
        <v>0</v>
      </c>
      <c r="Q278" s="114">
        <v>0</v>
      </c>
      <c r="R278" s="114">
        <v>0</v>
      </c>
      <c r="S278" s="114">
        <v>0</v>
      </c>
      <c r="T278" s="114">
        <v>0</v>
      </c>
      <c r="U278" s="114">
        <v>0</v>
      </c>
      <c r="V278" s="113">
        <v>950046</v>
      </c>
      <c r="W278" s="113">
        <v>50993</v>
      </c>
      <c r="X278" s="113">
        <v>1001039</v>
      </c>
      <c r="Y278" s="113">
        <v>11454</v>
      </c>
      <c r="Z278" s="113">
        <v>0</v>
      </c>
      <c r="AA278" s="113">
        <v>1012493</v>
      </c>
      <c r="AB278" s="113">
        <f t="shared" si="4"/>
        <v>67.734345731870491</v>
      </c>
    </row>
    <row r="279" spans="1:28" ht="15.75" thickBot="1" x14ac:dyDescent="0.3">
      <c r="A279" s="44" t="s">
        <v>1269</v>
      </c>
      <c r="B279" s="107" t="s">
        <v>1270</v>
      </c>
      <c r="C279" s="110" t="s">
        <v>803</v>
      </c>
      <c r="D279" s="110" t="s">
        <v>2001</v>
      </c>
      <c r="E279" s="111" t="s">
        <v>804</v>
      </c>
      <c r="F279" s="111" t="s">
        <v>805</v>
      </c>
      <c r="G279" s="112">
        <v>18393</v>
      </c>
      <c r="H279" s="112">
        <v>8365</v>
      </c>
      <c r="I279" s="113">
        <v>61590</v>
      </c>
      <c r="J279" s="113">
        <v>0</v>
      </c>
      <c r="K279" s="113">
        <v>362374</v>
      </c>
      <c r="L279" s="113">
        <v>6103</v>
      </c>
      <c r="M279" s="113">
        <v>430067</v>
      </c>
      <c r="N279" s="113">
        <v>115457</v>
      </c>
      <c r="O279" s="116">
        <v>10028</v>
      </c>
      <c r="P279" s="113">
        <v>73834</v>
      </c>
      <c r="Q279" s="113">
        <v>0</v>
      </c>
      <c r="R279" s="113">
        <v>0</v>
      </c>
      <c r="S279" s="113">
        <v>175000</v>
      </c>
      <c r="T279" s="113">
        <v>248834</v>
      </c>
      <c r="U279" s="113">
        <v>0</v>
      </c>
      <c r="V279" s="113">
        <v>678901</v>
      </c>
      <c r="W279" s="113">
        <v>115457</v>
      </c>
      <c r="X279" s="113">
        <v>794358</v>
      </c>
      <c r="Y279" s="113">
        <v>18821</v>
      </c>
      <c r="Z279" s="113">
        <v>0</v>
      </c>
      <c r="AA279" s="113">
        <v>813179</v>
      </c>
      <c r="AB279" s="113">
        <f t="shared" si="4"/>
        <v>44.211330397433805</v>
      </c>
    </row>
    <row r="280" spans="1:28" ht="15.75" thickBot="1" x14ac:dyDescent="0.3">
      <c r="A280" s="44" t="s">
        <v>1281</v>
      </c>
      <c r="B280" s="107" t="s">
        <v>1282</v>
      </c>
      <c r="C280" s="110" t="s">
        <v>803</v>
      </c>
      <c r="D280" s="110" t="s">
        <v>2540</v>
      </c>
      <c r="E280" s="111" t="s">
        <v>885</v>
      </c>
      <c r="F280" s="111" t="s">
        <v>886</v>
      </c>
      <c r="G280" s="112">
        <v>14384</v>
      </c>
      <c r="H280" s="112">
        <v>14384</v>
      </c>
      <c r="I280" s="113">
        <v>54827</v>
      </c>
      <c r="J280" s="113">
        <v>0</v>
      </c>
      <c r="K280" s="113">
        <v>255109</v>
      </c>
      <c r="L280" s="113">
        <v>47975</v>
      </c>
      <c r="M280" s="113">
        <v>357911</v>
      </c>
      <c r="N280" s="113">
        <v>7065</v>
      </c>
      <c r="O280" s="115">
        <v>0</v>
      </c>
      <c r="P280" s="114">
        <v>0</v>
      </c>
      <c r="Q280" s="114">
        <v>0</v>
      </c>
      <c r="R280" s="114">
        <v>0</v>
      </c>
      <c r="S280" s="114">
        <v>0</v>
      </c>
      <c r="T280" s="114">
        <v>0</v>
      </c>
      <c r="U280" s="114">
        <v>0</v>
      </c>
      <c r="V280" s="113">
        <v>357911</v>
      </c>
      <c r="W280" s="113">
        <v>7065</v>
      </c>
      <c r="X280" s="113">
        <v>364976</v>
      </c>
      <c r="Y280" s="113">
        <v>15770</v>
      </c>
      <c r="Z280" s="113">
        <v>0</v>
      </c>
      <c r="AA280" s="113">
        <v>380746</v>
      </c>
      <c r="AB280" s="113">
        <f t="shared" si="4"/>
        <v>26.470105672969968</v>
      </c>
    </row>
    <row r="281" spans="1:28" ht="15.75" thickBot="1" x14ac:dyDescent="0.3">
      <c r="A281" s="44" t="s">
        <v>1285</v>
      </c>
      <c r="B281" s="107" t="s">
        <v>1286</v>
      </c>
      <c r="C281" s="110" t="s">
        <v>803</v>
      </c>
      <c r="D281" s="110" t="s">
        <v>2544</v>
      </c>
      <c r="E281" s="111" t="s">
        <v>804</v>
      </c>
      <c r="F281" s="111" t="s">
        <v>805</v>
      </c>
      <c r="G281" s="112">
        <v>17511</v>
      </c>
      <c r="H281" s="112">
        <v>5836</v>
      </c>
      <c r="I281" s="113">
        <v>23574</v>
      </c>
      <c r="J281" s="113">
        <v>279876</v>
      </c>
      <c r="K281" s="114">
        <v>0</v>
      </c>
      <c r="L281" s="113">
        <v>49531</v>
      </c>
      <c r="M281" s="113">
        <v>352981</v>
      </c>
      <c r="N281" s="113">
        <v>20602</v>
      </c>
      <c r="O281" s="116">
        <v>11675</v>
      </c>
      <c r="P281" s="113">
        <v>16266</v>
      </c>
      <c r="Q281" s="113">
        <v>0</v>
      </c>
      <c r="R281" s="113">
        <v>0</v>
      </c>
      <c r="S281" s="113">
        <v>4000</v>
      </c>
      <c r="T281" s="113">
        <v>20266</v>
      </c>
      <c r="U281" s="113">
        <v>0</v>
      </c>
      <c r="V281" s="113">
        <v>373247</v>
      </c>
      <c r="W281" s="113">
        <v>20602</v>
      </c>
      <c r="X281" s="113">
        <v>393849</v>
      </c>
      <c r="Y281" s="113">
        <v>13900</v>
      </c>
      <c r="Z281" s="113">
        <v>0</v>
      </c>
      <c r="AA281" s="113">
        <v>407749</v>
      </c>
      <c r="AB281" s="113">
        <f t="shared" si="4"/>
        <v>23.285306378847583</v>
      </c>
    </row>
    <row r="282" spans="1:28" ht="15.75" thickBot="1" x14ac:dyDescent="0.3">
      <c r="A282" s="44" t="s">
        <v>1287</v>
      </c>
      <c r="B282" s="107" t="s">
        <v>1288</v>
      </c>
      <c r="C282" s="110" t="s">
        <v>803</v>
      </c>
      <c r="D282" s="110" t="s">
        <v>1885</v>
      </c>
      <c r="E282" s="111" t="s">
        <v>799</v>
      </c>
      <c r="F282" s="111" t="s">
        <v>800</v>
      </c>
      <c r="G282" s="112">
        <v>15736</v>
      </c>
      <c r="H282" s="112">
        <v>15736</v>
      </c>
      <c r="I282" s="113">
        <v>32906</v>
      </c>
      <c r="J282" s="113">
        <v>970282</v>
      </c>
      <c r="K282" s="113">
        <v>0</v>
      </c>
      <c r="L282" s="113">
        <v>86217</v>
      </c>
      <c r="M282" s="113">
        <v>1089405</v>
      </c>
      <c r="N282" s="113">
        <v>42228</v>
      </c>
      <c r="O282" s="115">
        <v>0</v>
      </c>
      <c r="P282" s="114">
        <v>0</v>
      </c>
      <c r="Q282" s="114">
        <v>0</v>
      </c>
      <c r="R282" s="114">
        <v>0</v>
      </c>
      <c r="S282" s="114">
        <v>0</v>
      </c>
      <c r="T282" s="114">
        <v>0</v>
      </c>
      <c r="U282" s="114">
        <v>0</v>
      </c>
      <c r="V282" s="113">
        <v>1089405</v>
      </c>
      <c r="W282" s="113">
        <v>42228</v>
      </c>
      <c r="X282" s="113">
        <v>1131633</v>
      </c>
      <c r="Y282" s="113">
        <v>11540</v>
      </c>
      <c r="Z282" s="113">
        <v>0</v>
      </c>
      <c r="AA282" s="113">
        <v>1143173</v>
      </c>
      <c r="AB282" s="113">
        <f t="shared" si="4"/>
        <v>72.646987798678197</v>
      </c>
    </row>
    <row r="283" spans="1:28" ht="15.75" thickBot="1" x14ac:dyDescent="0.3">
      <c r="A283" s="44" t="s">
        <v>1291</v>
      </c>
      <c r="B283" s="107" t="s">
        <v>1292</v>
      </c>
      <c r="C283" s="110" t="s">
        <v>803</v>
      </c>
      <c r="D283" s="110" t="s">
        <v>2267</v>
      </c>
      <c r="E283" s="111" t="s">
        <v>799</v>
      </c>
      <c r="F283" s="111" t="s">
        <v>800</v>
      </c>
      <c r="G283" s="112">
        <v>13097</v>
      </c>
      <c r="H283" s="112">
        <v>13097</v>
      </c>
      <c r="I283" s="113">
        <v>33663</v>
      </c>
      <c r="J283" s="113">
        <v>117307</v>
      </c>
      <c r="K283" s="113">
        <v>34798</v>
      </c>
      <c r="L283" s="113">
        <v>0</v>
      </c>
      <c r="M283" s="113">
        <v>185768</v>
      </c>
      <c r="N283" s="113">
        <v>1249</v>
      </c>
      <c r="O283" s="115">
        <v>0</v>
      </c>
      <c r="P283" s="114">
        <v>0</v>
      </c>
      <c r="Q283" s="114">
        <v>0</v>
      </c>
      <c r="R283" s="114">
        <v>0</v>
      </c>
      <c r="S283" s="114">
        <v>0</v>
      </c>
      <c r="T283" s="114">
        <v>0</v>
      </c>
      <c r="U283" s="114">
        <v>0</v>
      </c>
      <c r="V283" s="113">
        <v>185768</v>
      </c>
      <c r="W283" s="113">
        <v>1249</v>
      </c>
      <c r="X283" s="113">
        <v>187017</v>
      </c>
      <c r="Y283" s="113">
        <v>9604</v>
      </c>
      <c r="Z283" s="113">
        <v>0</v>
      </c>
      <c r="AA283" s="113">
        <v>196621</v>
      </c>
      <c r="AB283" s="113">
        <f t="shared" si="4"/>
        <v>15.0126746583187</v>
      </c>
    </row>
    <row r="284" spans="1:28" ht="15.75" thickBot="1" x14ac:dyDescent="0.3">
      <c r="A284" s="44" t="s">
        <v>1301</v>
      </c>
      <c r="B284" s="107" t="s">
        <v>1302</v>
      </c>
      <c r="C284" s="110" t="s">
        <v>803</v>
      </c>
      <c r="D284" s="110" t="s">
        <v>1952</v>
      </c>
      <c r="E284" s="111" t="s">
        <v>804</v>
      </c>
      <c r="F284" s="111" t="s">
        <v>805</v>
      </c>
      <c r="G284" s="112">
        <v>22857</v>
      </c>
      <c r="H284" s="112">
        <v>22857</v>
      </c>
      <c r="I284" s="113">
        <v>23709</v>
      </c>
      <c r="J284" s="113">
        <v>1235167</v>
      </c>
      <c r="K284" s="113">
        <v>83663</v>
      </c>
      <c r="L284" s="113">
        <v>2281</v>
      </c>
      <c r="M284" s="113">
        <v>1344820</v>
      </c>
      <c r="N284" s="113">
        <v>6434</v>
      </c>
      <c r="O284" s="115">
        <v>0</v>
      </c>
      <c r="P284" s="114">
        <v>0</v>
      </c>
      <c r="Q284" s="114">
        <v>0</v>
      </c>
      <c r="R284" s="114">
        <v>0</v>
      </c>
      <c r="S284" s="114">
        <v>0</v>
      </c>
      <c r="T284" s="114">
        <v>0</v>
      </c>
      <c r="U284" s="114">
        <v>0</v>
      </c>
      <c r="V284" s="113">
        <v>1344820</v>
      </c>
      <c r="W284" s="113">
        <v>6434</v>
      </c>
      <c r="X284" s="113">
        <v>1351254</v>
      </c>
      <c r="Y284" s="113">
        <v>85230</v>
      </c>
      <c r="Z284" s="113">
        <v>0</v>
      </c>
      <c r="AA284" s="113">
        <v>1436484</v>
      </c>
      <c r="AB284" s="113">
        <f t="shared" si="4"/>
        <v>62.846567791048692</v>
      </c>
    </row>
    <row r="285" spans="1:28" ht="15.75" thickBot="1" x14ac:dyDescent="0.3">
      <c r="A285" s="44" t="s">
        <v>1315</v>
      </c>
      <c r="B285" s="107" t="s">
        <v>1316</v>
      </c>
      <c r="C285" s="110" t="s">
        <v>803</v>
      </c>
      <c r="D285" s="110" t="s">
        <v>2001</v>
      </c>
      <c r="E285" s="111" t="s">
        <v>885</v>
      </c>
      <c r="F285" s="111" t="s">
        <v>886</v>
      </c>
      <c r="G285" s="112">
        <v>25686</v>
      </c>
      <c r="H285" s="112">
        <v>24520</v>
      </c>
      <c r="I285" s="113">
        <v>188636</v>
      </c>
      <c r="J285" s="113">
        <v>945685</v>
      </c>
      <c r="K285" s="113">
        <v>3748</v>
      </c>
      <c r="L285" s="113">
        <v>46042</v>
      </c>
      <c r="M285" s="113">
        <v>1184111</v>
      </c>
      <c r="N285" s="113">
        <v>73536</v>
      </c>
      <c r="O285" s="116">
        <v>1166</v>
      </c>
      <c r="P285" s="113">
        <v>8559</v>
      </c>
      <c r="Q285" s="114">
        <v>0</v>
      </c>
      <c r="R285" s="114">
        <v>0</v>
      </c>
      <c r="S285" s="114">
        <v>0</v>
      </c>
      <c r="T285" s="113">
        <v>8559</v>
      </c>
      <c r="U285" s="114">
        <v>0</v>
      </c>
      <c r="V285" s="113">
        <v>1192670</v>
      </c>
      <c r="W285" s="113">
        <v>73536</v>
      </c>
      <c r="X285" s="113">
        <v>1266206</v>
      </c>
      <c r="Y285" s="113">
        <v>20588</v>
      </c>
      <c r="Z285" s="113">
        <v>61297</v>
      </c>
      <c r="AA285" s="113">
        <v>1348091</v>
      </c>
      <c r="AB285" s="113">
        <f t="shared" si="4"/>
        <v>52.483492953359807</v>
      </c>
    </row>
    <row r="286" spans="1:28" ht="15.75" thickBot="1" x14ac:dyDescent="0.3">
      <c r="A286" s="44" t="s">
        <v>1331</v>
      </c>
      <c r="B286" s="107" t="s">
        <v>1332</v>
      </c>
      <c r="C286" s="110" t="s">
        <v>803</v>
      </c>
      <c r="D286" s="110" t="s">
        <v>2607</v>
      </c>
      <c r="E286" s="111" t="s">
        <v>885</v>
      </c>
      <c r="F286" s="111" t="s">
        <v>886</v>
      </c>
      <c r="G286" s="112">
        <v>12561</v>
      </c>
      <c r="H286" s="112">
        <v>5092</v>
      </c>
      <c r="I286" s="113">
        <v>61860</v>
      </c>
      <c r="J286" s="113">
        <v>127631</v>
      </c>
      <c r="K286" s="113">
        <v>0</v>
      </c>
      <c r="L286" s="113">
        <v>0</v>
      </c>
      <c r="M286" s="113">
        <v>189491</v>
      </c>
      <c r="N286" s="113">
        <v>0</v>
      </c>
      <c r="O286" s="116">
        <v>7469</v>
      </c>
      <c r="P286" s="113">
        <v>90737</v>
      </c>
      <c r="Q286" s="113">
        <v>0</v>
      </c>
      <c r="R286" s="113">
        <v>0</v>
      </c>
      <c r="S286" s="113">
        <v>0</v>
      </c>
      <c r="T286" s="113">
        <v>90737</v>
      </c>
      <c r="U286" s="113">
        <v>0</v>
      </c>
      <c r="V286" s="113">
        <v>280228</v>
      </c>
      <c r="W286" s="113">
        <v>0</v>
      </c>
      <c r="X286" s="113">
        <v>280228</v>
      </c>
      <c r="Y286" s="113">
        <v>10068</v>
      </c>
      <c r="Z286" s="113">
        <v>0</v>
      </c>
      <c r="AA286" s="113">
        <v>290296</v>
      </c>
      <c r="AB286" s="113">
        <f t="shared" si="4"/>
        <v>23.110898813788712</v>
      </c>
    </row>
    <row r="287" spans="1:28" ht="15.75" thickBot="1" x14ac:dyDescent="0.3">
      <c r="A287" s="44" t="s">
        <v>1341</v>
      </c>
      <c r="B287" s="107" t="s">
        <v>1342</v>
      </c>
      <c r="C287" s="110" t="s">
        <v>803</v>
      </c>
      <c r="D287" s="110" t="s">
        <v>2616</v>
      </c>
      <c r="E287" s="111" t="s">
        <v>799</v>
      </c>
      <c r="F287" s="111" t="s">
        <v>800</v>
      </c>
      <c r="G287" s="112">
        <v>24164</v>
      </c>
      <c r="H287" s="112">
        <v>24164</v>
      </c>
      <c r="I287" s="113">
        <v>146139</v>
      </c>
      <c r="J287" s="113">
        <v>504690</v>
      </c>
      <c r="K287" s="113">
        <v>0</v>
      </c>
      <c r="L287" s="113">
        <v>43597</v>
      </c>
      <c r="M287" s="113">
        <v>694426</v>
      </c>
      <c r="N287" s="113">
        <v>101369</v>
      </c>
      <c r="O287" s="115">
        <v>0</v>
      </c>
      <c r="P287" s="114">
        <v>0</v>
      </c>
      <c r="Q287" s="114">
        <v>0</v>
      </c>
      <c r="R287" s="114">
        <v>0</v>
      </c>
      <c r="S287" s="114">
        <v>0</v>
      </c>
      <c r="T287" s="114">
        <v>0</v>
      </c>
      <c r="U287" s="114">
        <v>0</v>
      </c>
      <c r="V287" s="113">
        <v>694426</v>
      </c>
      <c r="W287" s="113">
        <v>101369</v>
      </c>
      <c r="X287" s="113">
        <v>795795</v>
      </c>
      <c r="Y287" s="113">
        <v>21321</v>
      </c>
      <c r="Z287" s="113">
        <v>6527</v>
      </c>
      <c r="AA287" s="113">
        <v>823643</v>
      </c>
      <c r="AB287" s="113">
        <f t="shared" si="4"/>
        <v>34.08554047343155</v>
      </c>
    </row>
    <row r="288" spans="1:28" ht="15.75" thickBot="1" x14ac:dyDescent="0.3">
      <c r="A288" s="44" t="s">
        <v>1343</v>
      </c>
      <c r="B288" s="107" t="s">
        <v>1344</v>
      </c>
      <c r="C288" s="110" t="s">
        <v>803</v>
      </c>
      <c r="D288" s="110" t="s">
        <v>1919</v>
      </c>
      <c r="E288" s="111" t="s">
        <v>799</v>
      </c>
      <c r="F288" s="111" t="s">
        <v>800</v>
      </c>
      <c r="G288" s="112">
        <v>14230</v>
      </c>
      <c r="H288" s="112">
        <v>13312</v>
      </c>
      <c r="I288" s="113">
        <v>68801</v>
      </c>
      <c r="J288" s="113">
        <v>387510</v>
      </c>
      <c r="K288" s="113">
        <v>0</v>
      </c>
      <c r="L288" s="113">
        <v>75793</v>
      </c>
      <c r="M288" s="113">
        <v>532104</v>
      </c>
      <c r="N288" s="113">
        <v>0</v>
      </c>
      <c r="O288" s="116">
        <v>918</v>
      </c>
      <c r="P288" s="113">
        <v>5179</v>
      </c>
      <c r="Q288" s="113">
        <v>0</v>
      </c>
      <c r="R288" s="113">
        <v>0</v>
      </c>
      <c r="S288" s="113">
        <v>0</v>
      </c>
      <c r="T288" s="113">
        <v>5179</v>
      </c>
      <c r="U288" s="113">
        <v>5846</v>
      </c>
      <c r="V288" s="113">
        <v>537283</v>
      </c>
      <c r="W288" s="113">
        <v>5846</v>
      </c>
      <c r="X288" s="113">
        <v>543129</v>
      </c>
      <c r="Y288" s="113">
        <v>10435</v>
      </c>
      <c r="Z288" s="113">
        <v>1865</v>
      </c>
      <c r="AA288" s="113">
        <v>555429</v>
      </c>
      <c r="AB288" s="113">
        <f t="shared" si="4"/>
        <v>39.032255797610681</v>
      </c>
    </row>
    <row r="289" spans="1:28" ht="15.75" thickBot="1" x14ac:dyDescent="0.3">
      <c r="A289" s="44" t="s">
        <v>1347</v>
      </c>
      <c r="B289" s="107" t="s">
        <v>1348</v>
      </c>
      <c r="C289" s="110" t="s">
        <v>803</v>
      </c>
      <c r="D289" s="110" t="s">
        <v>1885</v>
      </c>
      <c r="E289" s="111" t="s">
        <v>799</v>
      </c>
      <c r="F289" s="111" t="s">
        <v>800</v>
      </c>
      <c r="G289" s="112">
        <v>20526</v>
      </c>
      <c r="H289" s="112">
        <v>20526</v>
      </c>
      <c r="I289" s="113">
        <v>43842</v>
      </c>
      <c r="J289" s="113">
        <v>1137722</v>
      </c>
      <c r="K289" s="114">
        <v>0</v>
      </c>
      <c r="L289" s="113">
        <v>60757</v>
      </c>
      <c r="M289" s="113">
        <v>1242321</v>
      </c>
      <c r="N289" s="113">
        <v>72437</v>
      </c>
      <c r="O289" s="115">
        <v>0</v>
      </c>
      <c r="P289" s="114">
        <v>0</v>
      </c>
      <c r="Q289" s="114">
        <v>0</v>
      </c>
      <c r="R289" s="114">
        <v>0</v>
      </c>
      <c r="S289" s="114">
        <v>0</v>
      </c>
      <c r="T289" s="114">
        <v>0</v>
      </c>
      <c r="U289" s="114">
        <v>0</v>
      </c>
      <c r="V289" s="113">
        <v>1242321</v>
      </c>
      <c r="W289" s="113">
        <v>72437</v>
      </c>
      <c r="X289" s="113">
        <v>1314758</v>
      </c>
      <c r="Y289" s="113">
        <v>16452</v>
      </c>
      <c r="Z289" s="113">
        <v>0</v>
      </c>
      <c r="AA289" s="113">
        <v>1331210</v>
      </c>
      <c r="AB289" s="113">
        <f t="shared" si="4"/>
        <v>64.854818279255582</v>
      </c>
    </row>
    <row r="290" spans="1:28" ht="15.75" thickBot="1" x14ac:dyDescent="0.3">
      <c r="A290" s="44" t="s">
        <v>1355</v>
      </c>
      <c r="B290" s="107" t="s">
        <v>1356</v>
      </c>
      <c r="C290" s="110" t="s">
        <v>803</v>
      </c>
      <c r="D290" s="110" t="s">
        <v>2385</v>
      </c>
      <c r="E290" s="111" t="s">
        <v>799</v>
      </c>
      <c r="F290" s="111" t="s">
        <v>800</v>
      </c>
      <c r="G290" s="112">
        <v>13579</v>
      </c>
      <c r="H290" s="112">
        <v>13579</v>
      </c>
      <c r="I290" s="113">
        <v>47406</v>
      </c>
      <c r="J290" s="113">
        <v>784111</v>
      </c>
      <c r="K290" s="113">
        <v>85987</v>
      </c>
      <c r="L290" s="113">
        <v>0</v>
      </c>
      <c r="M290" s="113">
        <v>917504</v>
      </c>
      <c r="N290" s="113">
        <v>40414</v>
      </c>
      <c r="O290" s="115">
        <v>0</v>
      </c>
      <c r="P290" s="114">
        <v>0</v>
      </c>
      <c r="Q290" s="114">
        <v>0</v>
      </c>
      <c r="R290" s="114">
        <v>0</v>
      </c>
      <c r="S290" s="114">
        <v>0</v>
      </c>
      <c r="T290" s="114">
        <v>0</v>
      </c>
      <c r="U290" s="114">
        <v>0</v>
      </c>
      <c r="V290" s="113">
        <v>917504</v>
      </c>
      <c r="W290" s="113">
        <v>40414</v>
      </c>
      <c r="X290" s="113">
        <v>957918</v>
      </c>
      <c r="Y290" s="113">
        <v>9958</v>
      </c>
      <c r="Z290" s="113">
        <v>0</v>
      </c>
      <c r="AA290" s="113">
        <v>967876</v>
      </c>
      <c r="AB290" s="113">
        <f t="shared" si="4"/>
        <v>71.277413653435445</v>
      </c>
    </row>
    <row r="291" spans="1:28" ht="15.75" thickBot="1" x14ac:dyDescent="0.3">
      <c r="A291" s="44" t="s">
        <v>1365</v>
      </c>
      <c r="B291" s="107" t="s">
        <v>1366</v>
      </c>
      <c r="C291" s="110" t="s">
        <v>803</v>
      </c>
      <c r="D291" s="110" t="s">
        <v>1903</v>
      </c>
      <c r="E291" s="111" t="s">
        <v>799</v>
      </c>
      <c r="F291" s="111" t="s">
        <v>800</v>
      </c>
      <c r="G291" s="112">
        <v>16709</v>
      </c>
      <c r="H291" s="112">
        <v>5670</v>
      </c>
      <c r="I291" s="113">
        <v>27313</v>
      </c>
      <c r="J291" s="113">
        <v>522383</v>
      </c>
      <c r="K291" s="114">
        <v>0</v>
      </c>
      <c r="L291" s="114">
        <v>0</v>
      </c>
      <c r="M291" s="113">
        <v>549696</v>
      </c>
      <c r="N291" s="113">
        <v>70990</v>
      </c>
      <c r="O291" s="116">
        <v>11039</v>
      </c>
      <c r="P291" s="113">
        <v>53176</v>
      </c>
      <c r="Q291" s="113">
        <v>389725</v>
      </c>
      <c r="R291" s="114">
        <v>0</v>
      </c>
      <c r="S291" s="114">
        <v>0</v>
      </c>
      <c r="T291" s="113">
        <v>442901</v>
      </c>
      <c r="U291" s="114">
        <v>0</v>
      </c>
      <c r="V291" s="113">
        <v>992597</v>
      </c>
      <c r="W291" s="113">
        <v>70990</v>
      </c>
      <c r="X291" s="113">
        <v>1063587</v>
      </c>
      <c r="Y291" s="113">
        <v>12253</v>
      </c>
      <c r="Z291" s="113">
        <v>0</v>
      </c>
      <c r="AA291" s="113">
        <v>1075840</v>
      </c>
      <c r="AB291" s="113">
        <f t="shared" si="4"/>
        <v>64.38685738224909</v>
      </c>
    </row>
    <row r="292" spans="1:28" ht="15.75" thickBot="1" x14ac:dyDescent="0.3">
      <c r="A292" s="44" t="s">
        <v>1381</v>
      </c>
      <c r="B292" s="107" t="s">
        <v>1382</v>
      </c>
      <c r="C292" s="110" t="s">
        <v>803</v>
      </c>
      <c r="D292" s="110" t="s">
        <v>2073</v>
      </c>
      <c r="E292" s="111" t="s">
        <v>804</v>
      </c>
      <c r="F292" s="111" t="s">
        <v>805</v>
      </c>
      <c r="G292" s="112">
        <v>19629</v>
      </c>
      <c r="H292" s="112">
        <v>10929</v>
      </c>
      <c r="I292" s="113">
        <v>17616</v>
      </c>
      <c r="J292" s="113">
        <v>476234</v>
      </c>
      <c r="K292" s="114">
        <v>0</v>
      </c>
      <c r="L292" s="113">
        <v>4000</v>
      </c>
      <c r="M292" s="113">
        <v>497850</v>
      </c>
      <c r="N292" s="113">
        <v>64893</v>
      </c>
      <c r="O292" s="116">
        <v>8700</v>
      </c>
      <c r="P292" s="113">
        <v>9655</v>
      </c>
      <c r="Q292" s="113">
        <v>39</v>
      </c>
      <c r="R292" s="114">
        <v>0</v>
      </c>
      <c r="S292" s="113">
        <v>53469</v>
      </c>
      <c r="T292" s="113">
        <v>63163</v>
      </c>
      <c r="U292" s="114">
        <v>0</v>
      </c>
      <c r="V292" s="113">
        <v>561013</v>
      </c>
      <c r="W292" s="113">
        <v>64893</v>
      </c>
      <c r="X292" s="113">
        <v>625906</v>
      </c>
      <c r="Y292" s="113">
        <v>15693</v>
      </c>
      <c r="Z292" s="113">
        <v>0</v>
      </c>
      <c r="AA292" s="113">
        <v>641599</v>
      </c>
      <c r="AB292" s="113">
        <f t="shared" si="4"/>
        <v>32.686280503336903</v>
      </c>
    </row>
    <row r="293" spans="1:28" ht="15.75" thickBot="1" x14ac:dyDescent="0.3">
      <c r="A293" s="44" t="s">
        <v>1383</v>
      </c>
      <c r="B293" s="107" t="s">
        <v>1384</v>
      </c>
      <c r="C293" s="110" t="s">
        <v>803</v>
      </c>
      <c r="D293" s="110" t="s">
        <v>1944</v>
      </c>
      <c r="E293" s="111" t="s">
        <v>804</v>
      </c>
      <c r="F293" s="111" t="s">
        <v>805</v>
      </c>
      <c r="G293" s="112">
        <v>13912</v>
      </c>
      <c r="H293" s="112">
        <v>10275</v>
      </c>
      <c r="I293" s="113">
        <v>62883</v>
      </c>
      <c r="J293" s="113">
        <v>369776</v>
      </c>
      <c r="K293" s="113">
        <v>0</v>
      </c>
      <c r="L293" s="113">
        <v>0</v>
      </c>
      <c r="M293" s="113">
        <v>432659</v>
      </c>
      <c r="N293" s="113">
        <v>40354</v>
      </c>
      <c r="O293" s="116">
        <v>3637</v>
      </c>
      <c r="P293" s="113">
        <v>20747</v>
      </c>
      <c r="Q293" s="113">
        <v>55094</v>
      </c>
      <c r="R293" s="113">
        <v>0</v>
      </c>
      <c r="S293" s="113">
        <v>300</v>
      </c>
      <c r="T293" s="113">
        <v>76141</v>
      </c>
      <c r="U293" s="113">
        <v>0</v>
      </c>
      <c r="V293" s="113">
        <v>508800</v>
      </c>
      <c r="W293" s="113">
        <v>40354</v>
      </c>
      <c r="X293" s="113">
        <v>549154</v>
      </c>
      <c r="Y293" s="113">
        <v>10660</v>
      </c>
      <c r="Z293" s="113">
        <v>0</v>
      </c>
      <c r="AA293" s="113">
        <v>559814</v>
      </c>
      <c r="AB293" s="113">
        <f t="shared" si="4"/>
        <v>40.239649223691778</v>
      </c>
    </row>
    <row r="294" spans="1:28" ht="15.75" thickBot="1" x14ac:dyDescent="0.3">
      <c r="A294" s="44" t="s">
        <v>1387</v>
      </c>
      <c r="B294" s="107" t="s">
        <v>1388</v>
      </c>
      <c r="C294" s="110" t="s">
        <v>803</v>
      </c>
      <c r="D294" s="110" t="s">
        <v>2685</v>
      </c>
      <c r="E294" s="111" t="s">
        <v>799</v>
      </c>
      <c r="F294" s="111" t="s">
        <v>800</v>
      </c>
      <c r="G294" s="112">
        <v>14878</v>
      </c>
      <c r="H294" s="112">
        <v>13376</v>
      </c>
      <c r="I294" s="113">
        <v>48713</v>
      </c>
      <c r="J294" s="113">
        <v>671636</v>
      </c>
      <c r="K294" s="113">
        <v>419</v>
      </c>
      <c r="L294" s="113">
        <v>13411</v>
      </c>
      <c r="M294" s="113">
        <v>734179</v>
      </c>
      <c r="N294" s="113">
        <v>110612</v>
      </c>
      <c r="O294" s="116">
        <v>1502</v>
      </c>
      <c r="P294" s="113">
        <v>8846</v>
      </c>
      <c r="Q294" s="114">
        <v>0</v>
      </c>
      <c r="R294" s="114">
        <v>0</v>
      </c>
      <c r="S294" s="114">
        <v>0</v>
      </c>
      <c r="T294" s="113">
        <v>8846</v>
      </c>
      <c r="U294" s="114">
        <v>0</v>
      </c>
      <c r="V294" s="113">
        <v>743025</v>
      </c>
      <c r="W294" s="113">
        <v>110612</v>
      </c>
      <c r="X294" s="113">
        <v>853637</v>
      </c>
      <c r="Y294" s="113">
        <v>11925</v>
      </c>
      <c r="Z294" s="113">
        <v>0</v>
      </c>
      <c r="AA294" s="113">
        <v>865562</v>
      </c>
      <c r="AB294" s="113">
        <f t="shared" si="4"/>
        <v>58.177308778061565</v>
      </c>
    </row>
    <row r="295" spans="1:28" ht="15.75" thickBot="1" x14ac:dyDescent="0.3">
      <c r="A295" s="44" t="s">
        <v>1421</v>
      </c>
      <c r="B295" s="107" t="s">
        <v>1422</v>
      </c>
      <c r="C295" s="110" t="s">
        <v>803</v>
      </c>
      <c r="D295" s="110" t="s">
        <v>1925</v>
      </c>
      <c r="E295" s="111" t="s">
        <v>804</v>
      </c>
      <c r="F295" s="111" t="s">
        <v>805</v>
      </c>
      <c r="G295" s="112">
        <v>12486</v>
      </c>
      <c r="H295" s="112">
        <v>12486</v>
      </c>
      <c r="I295" s="113">
        <v>9763</v>
      </c>
      <c r="J295" s="113">
        <v>244189</v>
      </c>
      <c r="K295" s="113">
        <v>0</v>
      </c>
      <c r="L295" s="113">
        <v>85000</v>
      </c>
      <c r="M295" s="113">
        <v>338952</v>
      </c>
      <c r="N295" s="113">
        <v>8821</v>
      </c>
      <c r="O295" s="115">
        <v>0</v>
      </c>
      <c r="P295" s="114">
        <v>0</v>
      </c>
      <c r="Q295" s="114">
        <v>0</v>
      </c>
      <c r="R295" s="114">
        <v>0</v>
      </c>
      <c r="S295" s="114">
        <v>0</v>
      </c>
      <c r="T295" s="114">
        <v>0</v>
      </c>
      <c r="U295" s="114">
        <v>0</v>
      </c>
      <c r="V295" s="113">
        <v>338952</v>
      </c>
      <c r="W295" s="113">
        <v>8821</v>
      </c>
      <c r="X295" s="113">
        <v>347773</v>
      </c>
      <c r="Y295" s="113">
        <v>0</v>
      </c>
      <c r="Z295" s="113">
        <v>0</v>
      </c>
      <c r="AA295" s="113">
        <v>347773</v>
      </c>
      <c r="AB295" s="113">
        <f t="shared" si="4"/>
        <v>27.853035399647606</v>
      </c>
    </row>
    <row r="296" spans="1:28" ht="15.75" thickBot="1" x14ac:dyDescent="0.3">
      <c r="A296" s="44" t="s">
        <v>1447</v>
      </c>
      <c r="B296" s="107" t="s">
        <v>1448</v>
      </c>
      <c r="C296" s="110" t="s">
        <v>803</v>
      </c>
      <c r="D296" s="110" t="s">
        <v>1948</v>
      </c>
      <c r="E296" s="111" t="s">
        <v>804</v>
      </c>
      <c r="F296" s="111" t="s">
        <v>805</v>
      </c>
      <c r="G296" s="112">
        <v>16753</v>
      </c>
      <c r="H296" s="112">
        <v>16753</v>
      </c>
      <c r="I296" s="113">
        <v>48342</v>
      </c>
      <c r="J296" s="113">
        <v>1419000</v>
      </c>
      <c r="K296" s="113">
        <v>0</v>
      </c>
      <c r="L296" s="113">
        <v>11634</v>
      </c>
      <c r="M296" s="113">
        <v>1478976</v>
      </c>
      <c r="N296" s="113">
        <v>149445</v>
      </c>
      <c r="O296" s="115">
        <v>0</v>
      </c>
      <c r="P296" s="114">
        <v>0</v>
      </c>
      <c r="Q296" s="114">
        <v>0</v>
      </c>
      <c r="R296" s="114">
        <v>0</v>
      </c>
      <c r="S296" s="114">
        <v>0</v>
      </c>
      <c r="T296" s="114">
        <v>0</v>
      </c>
      <c r="U296" s="114">
        <v>0</v>
      </c>
      <c r="V296" s="113">
        <v>1478976</v>
      </c>
      <c r="W296" s="113">
        <v>149445</v>
      </c>
      <c r="X296" s="113">
        <v>1628421</v>
      </c>
      <c r="Y296" s="113">
        <v>10849</v>
      </c>
      <c r="Z296" s="113">
        <v>0</v>
      </c>
      <c r="AA296" s="113">
        <v>1639270</v>
      </c>
      <c r="AB296" s="113">
        <f t="shared" si="4"/>
        <v>97.849340416641795</v>
      </c>
    </row>
    <row r="297" spans="1:28" ht="15.75" thickBot="1" x14ac:dyDescent="0.3">
      <c r="A297" s="44" t="s">
        <v>1490</v>
      </c>
      <c r="B297" s="107" t="s">
        <v>1491</v>
      </c>
      <c r="C297" s="110" t="s">
        <v>803</v>
      </c>
      <c r="D297" s="110" t="s">
        <v>1926</v>
      </c>
      <c r="E297" s="111" t="s">
        <v>799</v>
      </c>
      <c r="F297" s="111" t="s">
        <v>800</v>
      </c>
      <c r="G297" s="112">
        <v>18260</v>
      </c>
      <c r="H297" s="112">
        <v>14300</v>
      </c>
      <c r="I297" s="113">
        <v>59223</v>
      </c>
      <c r="J297" s="113">
        <v>1306077</v>
      </c>
      <c r="K297" s="113">
        <v>0</v>
      </c>
      <c r="L297" s="113">
        <v>0</v>
      </c>
      <c r="M297" s="113">
        <v>1365300</v>
      </c>
      <c r="N297" s="113">
        <v>97974</v>
      </c>
      <c r="O297" s="116">
        <v>3960</v>
      </c>
      <c r="P297" s="113">
        <v>11052</v>
      </c>
      <c r="Q297" s="113">
        <v>0</v>
      </c>
      <c r="R297" s="113">
        <v>0</v>
      </c>
      <c r="S297" s="113">
        <v>137106</v>
      </c>
      <c r="T297" s="113">
        <v>148158</v>
      </c>
      <c r="U297" s="113">
        <v>0</v>
      </c>
      <c r="V297" s="113">
        <v>1513458</v>
      </c>
      <c r="W297" s="113">
        <v>97974</v>
      </c>
      <c r="X297" s="113">
        <v>1611432</v>
      </c>
      <c r="Y297" s="113">
        <v>15511</v>
      </c>
      <c r="Z297" s="113">
        <v>0</v>
      </c>
      <c r="AA297" s="113">
        <v>1626943</v>
      </c>
      <c r="AB297" s="113">
        <f t="shared" si="4"/>
        <v>89.098740416210291</v>
      </c>
    </row>
    <row r="298" spans="1:28" ht="15.75" thickBot="1" x14ac:dyDescent="0.3">
      <c r="A298" s="44" t="s">
        <v>1492</v>
      </c>
      <c r="B298" s="107" t="s">
        <v>1493</v>
      </c>
      <c r="C298" s="110" t="s">
        <v>803</v>
      </c>
      <c r="D298" s="110" t="s">
        <v>1885</v>
      </c>
      <c r="E298" s="111" t="s">
        <v>799</v>
      </c>
      <c r="F298" s="111" t="s">
        <v>800</v>
      </c>
      <c r="G298" s="112">
        <v>13940</v>
      </c>
      <c r="H298" s="112">
        <v>13940</v>
      </c>
      <c r="I298" s="113">
        <v>29000</v>
      </c>
      <c r="J298" s="113">
        <v>570180</v>
      </c>
      <c r="K298" s="113">
        <v>646</v>
      </c>
      <c r="L298" s="113">
        <v>9898</v>
      </c>
      <c r="M298" s="113">
        <v>609724</v>
      </c>
      <c r="N298" s="113">
        <v>17587</v>
      </c>
      <c r="O298" s="115">
        <v>0</v>
      </c>
      <c r="P298" s="114">
        <v>0</v>
      </c>
      <c r="Q298" s="114">
        <v>0</v>
      </c>
      <c r="R298" s="114">
        <v>0</v>
      </c>
      <c r="S298" s="114">
        <v>0</v>
      </c>
      <c r="T298" s="114">
        <v>0</v>
      </c>
      <c r="U298" s="114">
        <v>0</v>
      </c>
      <c r="V298" s="113">
        <v>609724</v>
      </c>
      <c r="W298" s="113">
        <v>17587</v>
      </c>
      <c r="X298" s="113">
        <v>627311</v>
      </c>
      <c r="Y298" s="113">
        <v>10222</v>
      </c>
      <c r="Z298" s="113">
        <v>0</v>
      </c>
      <c r="AA298" s="113">
        <v>637533</v>
      </c>
      <c r="AB298" s="113">
        <f t="shared" si="4"/>
        <v>45.734074605451937</v>
      </c>
    </row>
    <row r="299" spans="1:28" ht="15.75" thickBot="1" x14ac:dyDescent="0.3">
      <c r="A299" s="44" t="s">
        <v>1498</v>
      </c>
      <c r="B299" s="107" t="s">
        <v>1499</v>
      </c>
      <c r="C299" s="110" t="s">
        <v>803</v>
      </c>
      <c r="D299" s="110" t="s">
        <v>2068</v>
      </c>
      <c r="E299" s="111" t="s">
        <v>885</v>
      </c>
      <c r="F299" s="111" t="s">
        <v>886</v>
      </c>
      <c r="G299" s="112">
        <v>17937</v>
      </c>
      <c r="H299" s="112">
        <v>17937</v>
      </c>
      <c r="I299" s="113">
        <v>48578</v>
      </c>
      <c r="J299" s="113">
        <v>493492</v>
      </c>
      <c r="K299" s="113">
        <v>0</v>
      </c>
      <c r="L299" s="113">
        <v>0</v>
      </c>
      <c r="M299" s="113">
        <v>542070</v>
      </c>
      <c r="N299" s="113">
        <v>114312</v>
      </c>
      <c r="O299" s="115">
        <v>0</v>
      </c>
      <c r="P299" s="114">
        <v>0</v>
      </c>
      <c r="Q299" s="114">
        <v>0</v>
      </c>
      <c r="R299" s="114">
        <v>0</v>
      </c>
      <c r="S299" s="114">
        <v>0</v>
      </c>
      <c r="T299" s="114">
        <v>0</v>
      </c>
      <c r="U299" s="114">
        <v>0</v>
      </c>
      <c r="V299" s="113">
        <v>542070</v>
      </c>
      <c r="W299" s="113">
        <v>114312</v>
      </c>
      <c r="X299" s="113">
        <v>656382</v>
      </c>
      <c r="Y299" s="113">
        <v>15083</v>
      </c>
      <c r="Z299" s="113">
        <v>0</v>
      </c>
      <c r="AA299" s="113">
        <v>671465</v>
      </c>
      <c r="AB299" s="113">
        <f t="shared" si="4"/>
        <v>37.434632324245975</v>
      </c>
    </row>
    <row r="300" spans="1:28" ht="15.75" thickBot="1" x14ac:dyDescent="0.3">
      <c r="A300" s="44" t="s">
        <v>1516</v>
      </c>
      <c r="B300" s="107" t="s">
        <v>1517</v>
      </c>
      <c r="C300" s="110" t="s">
        <v>803</v>
      </c>
      <c r="D300" s="110" t="s">
        <v>1892</v>
      </c>
      <c r="E300" s="111" t="s">
        <v>804</v>
      </c>
      <c r="F300" s="111" t="s">
        <v>805</v>
      </c>
      <c r="G300" s="112">
        <v>18134</v>
      </c>
      <c r="H300" s="112">
        <v>18134</v>
      </c>
      <c r="I300" s="113">
        <v>45465</v>
      </c>
      <c r="J300" s="113">
        <v>767525</v>
      </c>
      <c r="K300" s="114">
        <v>0</v>
      </c>
      <c r="L300" s="114">
        <v>0</v>
      </c>
      <c r="M300" s="113">
        <v>812990</v>
      </c>
      <c r="N300" s="113">
        <v>0</v>
      </c>
      <c r="O300" s="115">
        <v>0</v>
      </c>
      <c r="P300" s="114">
        <v>0</v>
      </c>
      <c r="Q300" s="114">
        <v>0</v>
      </c>
      <c r="R300" s="114">
        <v>0</v>
      </c>
      <c r="S300" s="114">
        <v>0</v>
      </c>
      <c r="T300" s="114">
        <v>0</v>
      </c>
      <c r="U300" s="114">
        <v>0</v>
      </c>
      <c r="V300" s="113">
        <v>812990</v>
      </c>
      <c r="W300" s="113">
        <v>0</v>
      </c>
      <c r="X300" s="113">
        <v>812990</v>
      </c>
      <c r="Y300" s="113">
        <v>13895</v>
      </c>
      <c r="Z300" s="113">
        <v>0</v>
      </c>
      <c r="AA300" s="113">
        <v>826885</v>
      </c>
      <c r="AB300" s="113">
        <f t="shared" si="4"/>
        <v>45.598599316201607</v>
      </c>
    </row>
    <row r="301" spans="1:28" ht="15.75" thickBot="1" x14ac:dyDescent="0.3">
      <c r="A301" s="44" t="s">
        <v>1528</v>
      </c>
      <c r="B301" s="107" t="s">
        <v>1529</v>
      </c>
      <c r="C301" s="110" t="s">
        <v>803</v>
      </c>
      <c r="D301" s="110" t="s">
        <v>2205</v>
      </c>
      <c r="E301" s="111" t="s">
        <v>804</v>
      </c>
      <c r="F301" s="111" t="s">
        <v>805</v>
      </c>
      <c r="G301" s="112">
        <v>15497</v>
      </c>
      <c r="H301" s="112">
        <v>15303</v>
      </c>
      <c r="I301" s="113">
        <v>12637</v>
      </c>
      <c r="J301" s="114">
        <v>0</v>
      </c>
      <c r="K301" s="114">
        <v>0</v>
      </c>
      <c r="L301" s="113">
        <v>186763</v>
      </c>
      <c r="M301" s="113">
        <v>199400</v>
      </c>
      <c r="N301" s="113">
        <v>1277</v>
      </c>
      <c r="O301" s="116">
        <v>194</v>
      </c>
      <c r="P301" s="114">
        <v>0</v>
      </c>
      <c r="Q301" s="114">
        <v>0</v>
      </c>
      <c r="R301" s="113">
        <v>1500</v>
      </c>
      <c r="S301" s="114">
        <v>0</v>
      </c>
      <c r="T301" s="113">
        <v>1500</v>
      </c>
      <c r="U301" s="114">
        <v>0</v>
      </c>
      <c r="V301" s="113">
        <v>200900</v>
      </c>
      <c r="W301" s="113">
        <v>1277</v>
      </c>
      <c r="X301" s="113">
        <v>202177</v>
      </c>
      <c r="Y301" s="113">
        <v>13531</v>
      </c>
      <c r="Z301" s="113">
        <v>0</v>
      </c>
      <c r="AA301" s="113">
        <v>215708</v>
      </c>
      <c r="AB301" s="113">
        <f t="shared" si="4"/>
        <v>13.919339226947152</v>
      </c>
    </row>
    <row r="302" spans="1:28" ht="15.75" thickBot="1" x14ac:dyDescent="0.3">
      <c r="A302" s="44" t="s">
        <v>1532</v>
      </c>
      <c r="B302" s="107" t="s">
        <v>1533</v>
      </c>
      <c r="C302" s="110" t="s">
        <v>803</v>
      </c>
      <c r="D302" s="110" t="s">
        <v>2068</v>
      </c>
      <c r="E302" s="111" t="s">
        <v>804</v>
      </c>
      <c r="F302" s="111" t="s">
        <v>805</v>
      </c>
      <c r="G302" s="112">
        <v>14253</v>
      </c>
      <c r="H302" s="112">
        <v>7811</v>
      </c>
      <c r="I302" s="113">
        <v>38601</v>
      </c>
      <c r="J302" s="113">
        <v>279779</v>
      </c>
      <c r="K302" s="114">
        <v>0</v>
      </c>
      <c r="L302" s="113">
        <v>435423</v>
      </c>
      <c r="M302" s="113">
        <v>753803</v>
      </c>
      <c r="N302" s="113">
        <v>267879</v>
      </c>
      <c r="O302" s="116">
        <v>6442</v>
      </c>
      <c r="P302" s="114">
        <v>0</v>
      </c>
      <c r="Q302" s="114">
        <v>0</v>
      </c>
      <c r="R302" s="114">
        <v>0</v>
      </c>
      <c r="S302" s="113">
        <v>73687</v>
      </c>
      <c r="T302" s="113">
        <v>73687</v>
      </c>
      <c r="U302" s="114">
        <v>0</v>
      </c>
      <c r="V302" s="113">
        <v>827490</v>
      </c>
      <c r="W302" s="113">
        <v>267879</v>
      </c>
      <c r="X302" s="113">
        <v>1095369</v>
      </c>
      <c r="Y302" s="113">
        <v>13422</v>
      </c>
      <c r="Z302" s="113">
        <v>1335</v>
      </c>
      <c r="AA302" s="113">
        <v>1110126</v>
      </c>
      <c r="AB302" s="113">
        <f t="shared" si="4"/>
        <v>77.887181645969264</v>
      </c>
    </row>
    <row r="303" spans="1:28" ht="15.75" thickBot="1" x14ac:dyDescent="0.3">
      <c r="A303" s="44" t="s">
        <v>1552</v>
      </c>
      <c r="B303" s="107" t="s">
        <v>1553</v>
      </c>
      <c r="C303" s="110" t="s">
        <v>803</v>
      </c>
      <c r="D303" s="110" t="s">
        <v>1964</v>
      </c>
      <c r="E303" s="111" t="s">
        <v>1037</v>
      </c>
      <c r="F303" s="111" t="s">
        <v>1469</v>
      </c>
      <c r="G303" s="112">
        <v>12238</v>
      </c>
      <c r="H303" s="112">
        <v>10937</v>
      </c>
      <c r="I303" s="113">
        <v>12044</v>
      </c>
      <c r="J303" s="113">
        <v>275021</v>
      </c>
      <c r="K303" s="114">
        <v>0</v>
      </c>
      <c r="L303" s="113">
        <v>28605</v>
      </c>
      <c r="M303" s="113">
        <v>315670</v>
      </c>
      <c r="N303" s="113">
        <v>13129</v>
      </c>
      <c r="O303" s="116">
        <v>1301</v>
      </c>
      <c r="P303" s="114">
        <v>0</v>
      </c>
      <c r="Q303" s="114">
        <v>0</v>
      </c>
      <c r="R303" s="114">
        <v>0</v>
      </c>
      <c r="S303" s="114">
        <v>0</v>
      </c>
      <c r="T303" s="114">
        <v>0</v>
      </c>
      <c r="U303" s="114">
        <v>0</v>
      </c>
      <c r="V303" s="113">
        <v>315670</v>
      </c>
      <c r="W303" s="113">
        <v>13129</v>
      </c>
      <c r="X303" s="113">
        <v>328799</v>
      </c>
      <c r="Y303" s="113">
        <v>7354</v>
      </c>
      <c r="Z303" s="113">
        <v>811</v>
      </c>
      <c r="AA303" s="113">
        <v>336964</v>
      </c>
      <c r="AB303" s="113">
        <f t="shared" si="4"/>
        <v>27.53423762052623</v>
      </c>
    </row>
    <row r="304" spans="1:28" ht="15.75" thickBot="1" x14ac:dyDescent="0.3">
      <c r="A304" s="44" t="s">
        <v>1572</v>
      </c>
      <c r="B304" s="107" t="s">
        <v>1573</v>
      </c>
      <c r="C304" s="110" t="s">
        <v>803</v>
      </c>
      <c r="D304" s="110" t="s">
        <v>1925</v>
      </c>
      <c r="E304" s="111" t="s">
        <v>804</v>
      </c>
      <c r="F304" s="111" t="s">
        <v>805</v>
      </c>
      <c r="G304" s="112">
        <v>17593</v>
      </c>
      <c r="H304" s="112">
        <v>17593</v>
      </c>
      <c r="I304" s="113">
        <v>14535</v>
      </c>
      <c r="J304" s="113">
        <v>356825</v>
      </c>
      <c r="K304" s="113">
        <v>356825</v>
      </c>
      <c r="L304" s="113">
        <v>0</v>
      </c>
      <c r="M304" s="113">
        <v>728185</v>
      </c>
      <c r="N304" s="113">
        <v>24561</v>
      </c>
      <c r="O304" s="115">
        <v>0</v>
      </c>
      <c r="P304" s="114">
        <v>0</v>
      </c>
      <c r="Q304" s="114">
        <v>0</v>
      </c>
      <c r="R304" s="114">
        <v>0</v>
      </c>
      <c r="S304" s="114">
        <v>0</v>
      </c>
      <c r="T304" s="114">
        <v>0</v>
      </c>
      <c r="U304" s="114">
        <v>0</v>
      </c>
      <c r="V304" s="113">
        <v>728185</v>
      </c>
      <c r="W304" s="113">
        <v>24561</v>
      </c>
      <c r="X304" s="113">
        <v>752746</v>
      </c>
      <c r="Y304" s="113">
        <v>14101</v>
      </c>
      <c r="Z304" s="113">
        <v>3985</v>
      </c>
      <c r="AA304" s="113">
        <v>770832</v>
      </c>
      <c r="AB304" s="113">
        <f t="shared" si="4"/>
        <v>43.81469902802251</v>
      </c>
    </row>
    <row r="305" spans="1:28" ht="15.75" thickBot="1" x14ac:dyDescent="0.3">
      <c r="A305" s="44" t="s">
        <v>1598</v>
      </c>
      <c r="B305" s="107" t="s">
        <v>1599</v>
      </c>
      <c r="C305" s="110" t="s">
        <v>803</v>
      </c>
      <c r="D305" s="110" t="s">
        <v>1885</v>
      </c>
      <c r="E305" s="111" t="s">
        <v>804</v>
      </c>
      <c r="F305" s="111" t="s">
        <v>805</v>
      </c>
      <c r="G305" s="112">
        <v>13498</v>
      </c>
      <c r="H305" s="112">
        <v>13498</v>
      </c>
      <c r="I305" s="113">
        <v>28831</v>
      </c>
      <c r="J305" s="113">
        <v>743966</v>
      </c>
      <c r="K305" s="114">
        <v>0</v>
      </c>
      <c r="L305" s="114">
        <v>0</v>
      </c>
      <c r="M305" s="113">
        <v>772797</v>
      </c>
      <c r="N305" s="113">
        <v>124316</v>
      </c>
      <c r="O305" s="115">
        <v>0</v>
      </c>
      <c r="P305" s="114">
        <v>0</v>
      </c>
      <c r="Q305" s="114">
        <v>0</v>
      </c>
      <c r="R305" s="114">
        <v>0</v>
      </c>
      <c r="S305" s="114">
        <v>0</v>
      </c>
      <c r="T305" s="114">
        <v>0</v>
      </c>
      <c r="U305" s="114">
        <v>0</v>
      </c>
      <c r="V305" s="113">
        <v>772797</v>
      </c>
      <c r="W305" s="113">
        <v>124316</v>
      </c>
      <c r="X305" s="113">
        <v>897113</v>
      </c>
      <c r="Y305" s="113">
        <v>10819</v>
      </c>
      <c r="Z305" s="113">
        <v>0</v>
      </c>
      <c r="AA305" s="113">
        <v>907932</v>
      </c>
      <c r="AB305" s="113">
        <f t="shared" si="4"/>
        <v>67.264187287005484</v>
      </c>
    </row>
    <row r="306" spans="1:28" ht="15.75" thickBot="1" x14ac:dyDescent="0.3">
      <c r="A306" s="44" t="s">
        <v>820</v>
      </c>
      <c r="B306" s="107" t="s">
        <v>821</v>
      </c>
      <c r="C306" s="110" t="s">
        <v>822</v>
      </c>
      <c r="D306" s="110" t="s">
        <v>1925</v>
      </c>
      <c r="E306" s="111" t="s">
        <v>804</v>
      </c>
      <c r="F306" s="111" t="s">
        <v>805</v>
      </c>
      <c r="G306" s="112">
        <v>28210</v>
      </c>
      <c r="H306" s="112">
        <v>28210</v>
      </c>
      <c r="I306" s="113">
        <v>82183</v>
      </c>
      <c r="J306" s="113">
        <v>0</v>
      </c>
      <c r="K306" s="113">
        <v>596017</v>
      </c>
      <c r="L306" s="113">
        <v>30304</v>
      </c>
      <c r="M306" s="113">
        <v>708504</v>
      </c>
      <c r="N306" s="113">
        <v>10017</v>
      </c>
      <c r="O306" s="115">
        <v>0</v>
      </c>
      <c r="P306" s="114">
        <v>0</v>
      </c>
      <c r="Q306" s="114">
        <v>0</v>
      </c>
      <c r="R306" s="114">
        <v>0</v>
      </c>
      <c r="S306" s="114">
        <v>0</v>
      </c>
      <c r="T306" s="114">
        <v>0</v>
      </c>
      <c r="U306" s="114">
        <v>0</v>
      </c>
      <c r="V306" s="113">
        <v>708504</v>
      </c>
      <c r="W306" s="113">
        <v>10017</v>
      </c>
      <c r="X306" s="113">
        <v>718521</v>
      </c>
      <c r="Y306" s="113">
        <v>22611</v>
      </c>
      <c r="Z306" s="113">
        <v>0</v>
      </c>
      <c r="AA306" s="113">
        <v>741132</v>
      </c>
      <c r="AB306" s="113">
        <f t="shared" si="4"/>
        <v>26.27196029776675</v>
      </c>
    </row>
    <row r="307" spans="1:28" ht="15.75" thickBot="1" x14ac:dyDescent="0.3">
      <c r="A307" s="44" t="s">
        <v>823</v>
      </c>
      <c r="B307" s="107" t="s">
        <v>824</v>
      </c>
      <c r="C307" s="110" t="s">
        <v>822</v>
      </c>
      <c r="D307" s="110" t="s">
        <v>1926</v>
      </c>
      <c r="E307" s="111" t="s">
        <v>799</v>
      </c>
      <c r="F307" s="111" t="s">
        <v>800</v>
      </c>
      <c r="G307" s="112">
        <v>28283</v>
      </c>
      <c r="H307" s="112">
        <v>20708</v>
      </c>
      <c r="I307" s="113">
        <v>59742</v>
      </c>
      <c r="J307" s="113">
        <v>159810</v>
      </c>
      <c r="K307" s="114">
        <v>0</v>
      </c>
      <c r="L307" s="114">
        <v>0</v>
      </c>
      <c r="M307" s="113">
        <v>219552</v>
      </c>
      <c r="N307" s="113">
        <v>18262</v>
      </c>
      <c r="O307" s="116">
        <v>7575</v>
      </c>
      <c r="P307" s="113">
        <v>21872</v>
      </c>
      <c r="Q307" s="113">
        <v>95773</v>
      </c>
      <c r="R307" s="113">
        <v>0</v>
      </c>
      <c r="S307" s="114">
        <v>0</v>
      </c>
      <c r="T307" s="113">
        <v>117645</v>
      </c>
      <c r="U307" s="114">
        <v>0</v>
      </c>
      <c r="V307" s="113">
        <v>337197</v>
      </c>
      <c r="W307" s="113">
        <v>18262</v>
      </c>
      <c r="X307" s="113">
        <v>355459</v>
      </c>
      <c r="Y307" s="113">
        <v>20741</v>
      </c>
      <c r="Z307" s="113">
        <v>0</v>
      </c>
      <c r="AA307" s="113">
        <v>376200</v>
      </c>
      <c r="AB307" s="113">
        <f t="shared" si="4"/>
        <v>13.301276385107661</v>
      </c>
    </row>
    <row r="308" spans="1:28" ht="15.75" thickBot="1" x14ac:dyDescent="0.3">
      <c r="A308" s="44" t="s">
        <v>831</v>
      </c>
      <c r="B308" s="107" t="s">
        <v>832</v>
      </c>
      <c r="C308" s="110" t="s">
        <v>822</v>
      </c>
      <c r="D308" s="110" t="s">
        <v>1939</v>
      </c>
      <c r="E308" s="111" t="s">
        <v>799</v>
      </c>
      <c r="F308" s="111" t="s">
        <v>800</v>
      </c>
      <c r="G308" s="112">
        <v>29598</v>
      </c>
      <c r="H308" s="112">
        <v>29598</v>
      </c>
      <c r="I308" s="113">
        <v>138023.98000000001</v>
      </c>
      <c r="J308" s="113">
        <v>911939.16</v>
      </c>
      <c r="K308" s="113">
        <v>49269.43</v>
      </c>
      <c r="L308" s="114">
        <v>0</v>
      </c>
      <c r="M308" s="113">
        <v>1099232.57</v>
      </c>
      <c r="N308" s="113">
        <v>77599</v>
      </c>
      <c r="O308" s="115">
        <v>0</v>
      </c>
      <c r="P308" s="114">
        <v>0</v>
      </c>
      <c r="Q308" s="114">
        <v>0</v>
      </c>
      <c r="R308" s="114">
        <v>0</v>
      </c>
      <c r="S308" s="114">
        <v>0</v>
      </c>
      <c r="T308" s="114">
        <v>0</v>
      </c>
      <c r="U308" s="114">
        <v>0</v>
      </c>
      <c r="V308" s="113">
        <v>1099232.57</v>
      </c>
      <c r="W308" s="113">
        <v>77599</v>
      </c>
      <c r="X308" s="113">
        <v>1176831.57</v>
      </c>
      <c r="Y308" s="113">
        <v>30417</v>
      </c>
      <c r="Z308" s="113">
        <v>1349</v>
      </c>
      <c r="AA308" s="113">
        <v>1208597.57</v>
      </c>
      <c r="AB308" s="113">
        <f t="shared" si="4"/>
        <v>40.833758024190828</v>
      </c>
    </row>
    <row r="309" spans="1:28" ht="15.75" thickBot="1" x14ac:dyDescent="0.3">
      <c r="A309" s="44" t="s">
        <v>855</v>
      </c>
      <c r="B309" s="107" t="s">
        <v>856</v>
      </c>
      <c r="C309" s="110" t="s">
        <v>822</v>
      </c>
      <c r="D309" s="110" t="s">
        <v>1885</v>
      </c>
      <c r="E309" s="111" t="s">
        <v>804</v>
      </c>
      <c r="F309" s="111" t="s">
        <v>805</v>
      </c>
      <c r="G309" s="112">
        <v>35350</v>
      </c>
      <c r="H309" s="112">
        <v>20103</v>
      </c>
      <c r="I309" s="113">
        <v>42939</v>
      </c>
      <c r="J309" s="113">
        <v>3266790</v>
      </c>
      <c r="K309" s="113">
        <v>0</v>
      </c>
      <c r="L309" s="113">
        <v>0</v>
      </c>
      <c r="M309" s="113">
        <v>3309729</v>
      </c>
      <c r="N309" s="113">
        <v>172494</v>
      </c>
      <c r="O309" s="116">
        <v>15247</v>
      </c>
      <c r="P309" s="113">
        <v>31883</v>
      </c>
      <c r="Q309" s="113">
        <v>0</v>
      </c>
      <c r="R309" s="113">
        <v>0</v>
      </c>
      <c r="S309" s="113">
        <v>910999</v>
      </c>
      <c r="T309" s="113">
        <v>942882</v>
      </c>
      <c r="U309" s="113">
        <v>0</v>
      </c>
      <c r="V309" s="113">
        <v>4252611</v>
      </c>
      <c r="W309" s="113">
        <v>172494</v>
      </c>
      <c r="X309" s="113">
        <v>4425105</v>
      </c>
      <c r="Y309" s="113">
        <v>28333</v>
      </c>
      <c r="Z309" s="113">
        <v>0</v>
      </c>
      <c r="AA309" s="113">
        <v>4453438</v>
      </c>
      <c r="AB309" s="113">
        <f t="shared" si="4"/>
        <v>125.9812729844413</v>
      </c>
    </row>
    <row r="310" spans="1:28" ht="15.75" thickBot="1" x14ac:dyDescent="0.3">
      <c r="A310" s="44" t="s">
        <v>867</v>
      </c>
      <c r="B310" s="107" t="s">
        <v>868</v>
      </c>
      <c r="C310" s="110" t="s">
        <v>822</v>
      </c>
      <c r="D310" s="110" t="s">
        <v>1925</v>
      </c>
      <c r="E310" s="111" t="s">
        <v>804</v>
      </c>
      <c r="F310" s="111" t="s">
        <v>805</v>
      </c>
      <c r="G310" s="112">
        <v>42361</v>
      </c>
      <c r="H310" s="112">
        <v>42361</v>
      </c>
      <c r="I310" s="113">
        <v>107685</v>
      </c>
      <c r="J310" s="113">
        <v>1926436</v>
      </c>
      <c r="K310" s="113">
        <v>0</v>
      </c>
      <c r="L310" s="113">
        <v>15652</v>
      </c>
      <c r="M310" s="113">
        <v>2049773</v>
      </c>
      <c r="N310" s="113">
        <v>36816</v>
      </c>
      <c r="O310" s="115">
        <v>0</v>
      </c>
      <c r="P310" s="114">
        <v>0</v>
      </c>
      <c r="Q310" s="114">
        <v>0</v>
      </c>
      <c r="R310" s="114">
        <v>0</v>
      </c>
      <c r="S310" s="114">
        <v>0</v>
      </c>
      <c r="T310" s="114">
        <v>0</v>
      </c>
      <c r="U310" s="114">
        <v>0</v>
      </c>
      <c r="V310" s="113">
        <v>2049773</v>
      </c>
      <c r="W310" s="113">
        <v>36816</v>
      </c>
      <c r="X310" s="113">
        <v>2086589</v>
      </c>
      <c r="Y310" s="113">
        <v>32458</v>
      </c>
      <c r="Z310" s="113">
        <v>4981</v>
      </c>
      <c r="AA310" s="113">
        <v>2124028</v>
      </c>
      <c r="AB310" s="113">
        <f t="shared" si="4"/>
        <v>50.141120370151789</v>
      </c>
    </row>
    <row r="311" spans="1:28" ht="15.75" thickBot="1" x14ac:dyDescent="0.3">
      <c r="A311" s="44" t="s">
        <v>891</v>
      </c>
      <c r="B311" s="107" t="s">
        <v>892</v>
      </c>
      <c r="C311" s="110" t="s">
        <v>822</v>
      </c>
      <c r="D311" s="110" t="s">
        <v>1885</v>
      </c>
      <c r="E311" s="111" t="s">
        <v>844</v>
      </c>
      <c r="F311" s="111" t="s">
        <v>845</v>
      </c>
      <c r="G311" s="112">
        <v>41070</v>
      </c>
      <c r="H311" s="112">
        <v>41070</v>
      </c>
      <c r="I311" s="113">
        <v>85883</v>
      </c>
      <c r="J311" s="113">
        <v>7095067</v>
      </c>
      <c r="K311" s="114">
        <v>0</v>
      </c>
      <c r="L311" s="114">
        <v>0</v>
      </c>
      <c r="M311" s="113">
        <v>7180950</v>
      </c>
      <c r="N311" s="113">
        <v>282729</v>
      </c>
      <c r="O311" s="115">
        <v>0</v>
      </c>
      <c r="P311" s="114">
        <v>0</v>
      </c>
      <c r="Q311" s="114">
        <v>0</v>
      </c>
      <c r="R311" s="114">
        <v>0</v>
      </c>
      <c r="S311" s="114">
        <v>0</v>
      </c>
      <c r="T311" s="114">
        <v>0</v>
      </c>
      <c r="U311" s="114">
        <v>0</v>
      </c>
      <c r="V311" s="113">
        <v>7180950</v>
      </c>
      <c r="W311" s="113">
        <v>282729</v>
      </c>
      <c r="X311" s="113">
        <v>7463679</v>
      </c>
      <c r="Y311" s="113">
        <v>30118</v>
      </c>
      <c r="Z311" s="113">
        <v>0</v>
      </c>
      <c r="AA311" s="113">
        <v>7493797</v>
      </c>
      <c r="AB311" s="113">
        <f t="shared" si="4"/>
        <v>182.46401266130997</v>
      </c>
    </row>
    <row r="312" spans="1:28" ht="15.75" thickBot="1" x14ac:dyDescent="0.3">
      <c r="A312" s="44" t="s">
        <v>897</v>
      </c>
      <c r="B312" s="107" t="s">
        <v>898</v>
      </c>
      <c r="C312" s="110" t="s">
        <v>822</v>
      </c>
      <c r="D312" s="110" t="s">
        <v>2033</v>
      </c>
      <c r="E312" s="111" t="s">
        <v>799</v>
      </c>
      <c r="F312" s="111" t="s">
        <v>800</v>
      </c>
      <c r="G312" s="112">
        <v>46905</v>
      </c>
      <c r="H312" s="112">
        <v>45248</v>
      </c>
      <c r="I312" s="113">
        <v>209074</v>
      </c>
      <c r="J312" s="113">
        <v>1597647</v>
      </c>
      <c r="K312" s="114">
        <v>0</v>
      </c>
      <c r="L312" s="113">
        <v>55922</v>
      </c>
      <c r="M312" s="113">
        <v>1862643</v>
      </c>
      <c r="N312" s="113">
        <v>52375</v>
      </c>
      <c r="O312" s="116">
        <v>1657</v>
      </c>
      <c r="P312" s="113">
        <v>5442</v>
      </c>
      <c r="Q312" s="114">
        <v>0</v>
      </c>
      <c r="R312" s="114">
        <v>0</v>
      </c>
      <c r="S312" s="114">
        <v>0</v>
      </c>
      <c r="T312" s="113">
        <v>5442</v>
      </c>
      <c r="U312" s="114">
        <v>0</v>
      </c>
      <c r="V312" s="113">
        <v>1868085</v>
      </c>
      <c r="W312" s="113">
        <v>52375</v>
      </c>
      <c r="X312" s="113">
        <v>1920460</v>
      </c>
      <c r="Y312" s="113">
        <v>34397</v>
      </c>
      <c r="Z312" s="113">
        <v>0</v>
      </c>
      <c r="AA312" s="113">
        <v>1954857</v>
      </c>
      <c r="AB312" s="113">
        <f t="shared" si="4"/>
        <v>41.676942756635754</v>
      </c>
    </row>
    <row r="313" spans="1:28" ht="15.75" thickBot="1" x14ac:dyDescent="0.3">
      <c r="A313" s="44" t="s">
        <v>907</v>
      </c>
      <c r="B313" s="107" t="s">
        <v>908</v>
      </c>
      <c r="C313" s="110" t="s">
        <v>822</v>
      </c>
      <c r="D313" s="110" t="s">
        <v>2052</v>
      </c>
      <c r="E313" s="111" t="s">
        <v>829</v>
      </c>
      <c r="F313" s="111" t="s">
        <v>830</v>
      </c>
      <c r="G313" s="112">
        <v>43254</v>
      </c>
      <c r="H313" s="112">
        <v>43254</v>
      </c>
      <c r="I313" s="113">
        <v>98623</v>
      </c>
      <c r="J313" s="113">
        <v>1857410</v>
      </c>
      <c r="K313" s="114">
        <v>0</v>
      </c>
      <c r="L313" s="113">
        <v>121902</v>
      </c>
      <c r="M313" s="113">
        <v>2077935</v>
      </c>
      <c r="N313" s="113">
        <v>91041</v>
      </c>
      <c r="O313" s="115">
        <v>0</v>
      </c>
      <c r="P313" s="114">
        <v>0</v>
      </c>
      <c r="Q313" s="114">
        <v>0</v>
      </c>
      <c r="R313" s="114">
        <v>0</v>
      </c>
      <c r="S313" s="114">
        <v>0</v>
      </c>
      <c r="T313" s="114">
        <v>0</v>
      </c>
      <c r="U313" s="114">
        <v>0</v>
      </c>
      <c r="V313" s="113">
        <v>2077935</v>
      </c>
      <c r="W313" s="113">
        <v>91041</v>
      </c>
      <c r="X313" s="113">
        <v>2168976</v>
      </c>
      <c r="Y313" s="113">
        <v>26009</v>
      </c>
      <c r="Z313" s="113">
        <v>0</v>
      </c>
      <c r="AA313" s="113">
        <v>2194985</v>
      </c>
      <c r="AB313" s="113">
        <f t="shared" si="4"/>
        <v>50.746404956767002</v>
      </c>
    </row>
    <row r="314" spans="1:28" ht="15.75" thickBot="1" x14ac:dyDescent="0.3">
      <c r="A314" s="44" t="s">
        <v>917</v>
      </c>
      <c r="B314" s="107" t="s">
        <v>918</v>
      </c>
      <c r="C314" s="110" t="s">
        <v>822</v>
      </c>
      <c r="D314" s="110" t="s">
        <v>2070</v>
      </c>
      <c r="E314" s="111" t="s">
        <v>799</v>
      </c>
      <c r="F314" s="111" t="s">
        <v>800</v>
      </c>
      <c r="G314" s="112">
        <v>35087</v>
      </c>
      <c r="H314" s="112">
        <v>32714</v>
      </c>
      <c r="I314" s="113">
        <v>176039</v>
      </c>
      <c r="J314" s="113">
        <v>704629</v>
      </c>
      <c r="K314" s="114">
        <v>0</v>
      </c>
      <c r="L314" s="114">
        <v>0</v>
      </c>
      <c r="M314" s="113">
        <v>880668</v>
      </c>
      <c r="N314" s="113">
        <v>38544</v>
      </c>
      <c r="O314" s="116">
        <v>2373</v>
      </c>
      <c r="P314" s="113">
        <v>15214</v>
      </c>
      <c r="Q314" s="113">
        <v>36268</v>
      </c>
      <c r="R314" s="114">
        <v>0</v>
      </c>
      <c r="S314" s="114">
        <v>0</v>
      </c>
      <c r="T314" s="113">
        <v>51482</v>
      </c>
      <c r="U314" s="113">
        <v>330</v>
      </c>
      <c r="V314" s="113">
        <v>932150</v>
      </c>
      <c r="W314" s="113">
        <v>38874</v>
      </c>
      <c r="X314" s="113">
        <v>971024</v>
      </c>
      <c r="Y314" s="113">
        <v>89353</v>
      </c>
      <c r="Z314" s="113">
        <v>0</v>
      </c>
      <c r="AA314" s="113">
        <v>1060377</v>
      </c>
      <c r="AB314" s="113">
        <f t="shared" si="4"/>
        <v>30.221364037962779</v>
      </c>
    </row>
    <row r="315" spans="1:28" ht="15.75" thickBot="1" x14ac:dyDescent="0.3">
      <c r="A315" s="44" t="s">
        <v>933</v>
      </c>
      <c r="B315" s="107" t="s">
        <v>934</v>
      </c>
      <c r="C315" s="110" t="s">
        <v>822</v>
      </c>
      <c r="D315" s="110" t="s">
        <v>2095</v>
      </c>
      <c r="E315" s="111" t="s">
        <v>799</v>
      </c>
      <c r="F315" s="111" t="s">
        <v>800</v>
      </c>
      <c r="G315" s="112">
        <v>38002</v>
      </c>
      <c r="H315" s="112">
        <v>38002</v>
      </c>
      <c r="I315" s="113">
        <v>105405</v>
      </c>
      <c r="J315" s="113">
        <v>1057373</v>
      </c>
      <c r="K315" s="114">
        <v>0</v>
      </c>
      <c r="L315" s="113">
        <v>69967</v>
      </c>
      <c r="M315" s="113">
        <v>1232745</v>
      </c>
      <c r="N315" s="113">
        <v>52017</v>
      </c>
      <c r="O315" s="115">
        <v>0</v>
      </c>
      <c r="P315" s="113">
        <v>0</v>
      </c>
      <c r="Q315" s="113">
        <v>0</v>
      </c>
      <c r="R315" s="113">
        <v>0</v>
      </c>
      <c r="S315" s="113">
        <v>0</v>
      </c>
      <c r="T315" s="113">
        <v>0</v>
      </c>
      <c r="U315" s="113">
        <v>0</v>
      </c>
      <c r="V315" s="113">
        <v>1232745</v>
      </c>
      <c r="W315" s="113">
        <v>52017</v>
      </c>
      <c r="X315" s="113">
        <v>1284762</v>
      </c>
      <c r="Y315" s="113">
        <v>27932</v>
      </c>
      <c r="Z315" s="113">
        <v>0</v>
      </c>
      <c r="AA315" s="113">
        <v>1312694</v>
      </c>
      <c r="AB315" s="113">
        <f t="shared" si="4"/>
        <v>34.54276090732067</v>
      </c>
    </row>
    <row r="316" spans="1:28" ht="15.75" thickBot="1" x14ac:dyDescent="0.3">
      <c r="A316" s="44" t="s">
        <v>953</v>
      </c>
      <c r="B316" s="107" t="s">
        <v>954</v>
      </c>
      <c r="C316" s="110" t="s">
        <v>822</v>
      </c>
      <c r="D316" s="110" t="s">
        <v>1952</v>
      </c>
      <c r="E316" s="111" t="s">
        <v>799</v>
      </c>
      <c r="F316" s="111" t="s">
        <v>800</v>
      </c>
      <c r="G316" s="112">
        <v>43381</v>
      </c>
      <c r="H316" s="112">
        <v>43381</v>
      </c>
      <c r="I316" s="113">
        <v>37566</v>
      </c>
      <c r="J316" s="113">
        <v>970717</v>
      </c>
      <c r="K316" s="114">
        <v>0</v>
      </c>
      <c r="L316" s="113">
        <v>51176</v>
      </c>
      <c r="M316" s="113">
        <v>1059459</v>
      </c>
      <c r="N316" s="113">
        <v>184511</v>
      </c>
      <c r="O316" s="115">
        <v>0</v>
      </c>
      <c r="P316" s="114">
        <v>0</v>
      </c>
      <c r="Q316" s="114">
        <v>0</v>
      </c>
      <c r="R316" s="114">
        <v>0</v>
      </c>
      <c r="S316" s="114">
        <v>0</v>
      </c>
      <c r="T316" s="114">
        <v>0</v>
      </c>
      <c r="U316" s="114">
        <v>0</v>
      </c>
      <c r="V316" s="113">
        <v>1059459</v>
      </c>
      <c r="W316" s="113">
        <v>184511</v>
      </c>
      <c r="X316" s="113">
        <v>1243970</v>
      </c>
      <c r="Y316" s="113">
        <v>35926</v>
      </c>
      <c r="Z316" s="113">
        <v>0</v>
      </c>
      <c r="AA316" s="113">
        <v>1279896</v>
      </c>
      <c r="AB316" s="113">
        <f t="shared" si="4"/>
        <v>29.503607570134392</v>
      </c>
    </row>
    <row r="317" spans="1:28" ht="15.75" thickBot="1" x14ac:dyDescent="0.3">
      <c r="A317" s="44" t="s">
        <v>957</v>
      </c>
      <c r="B317" s="107" t="s">
        <v>958</v>
      </c>
      <c r="C317" s="110" t="s">
        <v>822</v>
      </c>
      <c r="D317" s="110" t="s">
        <v>1885</v>
      </c>
      <c r="E317" s="111" t="s">
        <v>799</v>
      </c>
      <c r="F317" s="111" t="s">
        <v>800</v>
      </c>
      <c r="G317" s="112">
        <v>35563</v>
      </c>
      <c r="H317" s="112">
        <v>35563</v>
      </c>
      <c r="I317" s="113">
        <v>74367</v>
      </c>
      <c r="J317" s="113">
        <v>1888754</v>
      </c>
      <c r="K317" s="114">
        <v>0</v>
      </c>
      <c r="L317" s="114">
        <v>0</v>
      </c>
      <c r="M317" s="113">
        <v>1963121</v>
      </c>
      <c r="N317" s="113">
        <v>41030</v>
      </c>
      <c r="O317" s="115">
        <v>0</v>
      </c>
      <c r="P317" s="114">
        <v>0</v>
      </c>
      <c r="Q317" s="114">
        <v>0</v>
      </c>
      <c r="R317" s="114">
        <v>0</v>
      </c>
      <c r="S317" s="114">
        <v>0</v>
      </c>
      <c r="T317" s="114">
        <v>0</v>
      </c>
      <c r="U317" s="114">
        <v>0</v>
      </c>
      <c r="V317" s="113">
        <v>1963121</v>
      </c>
      <c r="W317" s="113">
        <v>41030</v>
      </c>
      <c r="X317" s="113">
        <v>2004151</v>
      </c>
      <c r="Y317" s="113">
        <v>26079</v>
      </c>
      <c r="Z317" s="113">
        <v>0</v>
      </c>
      <c r="AA317" s="113">
        <v>2030230</v>
      </c>
      <c r="AB317" s="113">
        <f t="shared" si="4"/>
        <v>57.088265894328373</v>
      </c>
    </row>
    <row r="318" spans="1:28" ht="15.75" thickBot="1" x14ac:dyDescent="0.3">
      <c r="A318" s="44" t="s">
        <v>971</v>
      </c>
      <c r="B318" s="107" t="s">
        <v>972</v>
      </c>
      <c r="C318" s="110" t="s">
        <v>822</v>
      </c>
      <c r="D318" s="110" t="s">
        <v>1885</v>
      </c>
      <c r="E318" s="111" t="s">
        <v>799</v>
      </c>
      <c r="F318" s="111" t="s">
        <v>800</v>
      </c>
      <c r="G318" s="112">
        <v>40186</v>
      </c>
      <c r="H318" s="112">
        <v>40186</v>
      </c>
      <c r="I318" s="113">
        <v>84034</v>
      </c>
      <c r="J318" s="113">
        <v>1738638</v>
      </c>
      <c r="K318" s="113">
        <v>17103</v>
      </c>
      <c r="L318" s="113">
        <v>29936</v>
      </c>
      <c r="M318" s="113">
        <v>1869711</v>
      </c>
      <c r="N318" s="113">
        <v>23969</v>
      </c>
      <c r="O318" s="115">
        <v>0</v>
      </c>
      <c r="P318" s="114">
        <v>0</v>
      </c>
      <c r="Q318" s="114">
        <v>0</v>
      </c>
      <c r="R318" s="114">
        <v>0</v>
      </c>
      <c r="S318" s="114">
        <v>0</v>
      </c>
      <c r="T318" s="114">
        <v>0</v>
      </c>
      <c r="U318" s="114">
        <v>0</v>
      </c>
      <c r="V318" s="113">
        <v>1869711</v>
      </c>
      <c r="W318" s="113">
        <v>23969</v>
      </c>
      <c r="X318" s="113">
        <v>1893680</v>
      </c>
      <c r="Y318" s="113">
        <v>29469</v>
      </c>
      <c r="Z318" s="113">
        <v>0</v>
      </c>
      <c r="AA318" s="113">
        <v>1923149</v>
      </c>
      <c r="AB318" s="113">
        <f t="shared" si="4"/>
        <v>47.856193699298267</v>
      </c>
    </row>
    <row r="319" spans="1:28" ht="15.75" thickBot="1" x14ac:dyDescent="0.3">
      <c r="A319" s="44" t="s">
        <v>973</v>
      </c>
      <c r="B319" s="107" t="s">
        <v>974</v>
      </c>
      <c r="C319" s="110" t="s">
        <v>822</v>
      </c>
      <c r="D319" s="110" t="s">
        <v>2157</v>
      </c>
      <c r="E319" s="111" t="s">
        <v>804</v>
      </c>
      <c r="F319" s="111" t="s">
        <v>805</v>
      </c>
      <c r="G319" s="112">
        <v>28263</v>
      </c>
      <c r="H319" s="112">
        <v>25433</v>
      </c>
      <c r="I319" s="113">
        <v>52664</v>
      </c>
      <c r="J319" s="113">
        <v>468278</v>
      </c>
      <c r="K319" s="114">
        <v>0</v>
      </c>
      <c r="L319" s="114">
        <v>0</v>
      </c>
      <c r="M319" s="113">
        <v>520942</v>
      </c>
      <c r="N319" s="114">
        <v>0</v>
      </c>
      <c r="O319" s="116">
        <v>2830</v>
      </c>
      <c r="P319" s="113">
        <v>8099</v>
      </c>
      <c r="Q319" s="114">
        <v>0</v>
      </c>
      <c r="R319" s="114">
        <v>0</v>
      </c>
      <c r="S319" s="114">
        <v>0</v>
      </c>
      <c r="T319" s="113">
        <v>8099</v>
      </c>
      <c r="U319" s="114">
        <v>0</v>
      </c>
      <c r="V319" s="113">
        <v>529041</v>
      </c>
      <c r="W319" s="114">
        <v>0</v>
      </c>
      <c r="X319" s="113">
        <v>529041</v>
      </c>
      <c r="Y319" s="113">
        <v>21655</v>
      </c>
      <c r="Z319" s="113">
        <v>0</v>
      </c>
      <c r="AA319" s="113">
        <v>550696</v>
      </c>
      <c r="AB319" s="113">
        <f t="shared" si="4"/>
        <v>19.484697307433748</v>
      </c>
    </row>
    <row r="320" spans="1:28" ht="15.75" thickBot="1" x14ac:dyDescent="0.3">
      <c r="A320" s="44" t="s">
        <v>983</v>
      </c>
      <c r="B320" s="107" t="s">
        <v>984</v>
      </c>
      <c r="C320" s="110" t="s">
        <v>822</v>
      </c>
      <c r="D320" s="110" t="s">
        <v>2052</v>
      </c>
      <c r="E320" s="111" t="s">
        <v>804</v>
      </c>
      <c r="F320" s="111" t="s">
        <v>805</v>
      </c>
      <c r="G320" s="112">
        <v>26391</v>
      </c>
      <c r="H320" s="112">
        <v>26391</v>
      </c>
      <c r="I320" s="113">
        <v>73385</v>
      </c>
      <c r="J320" s="113">
        <v>1901051</v>
      </c>
      <c r="K320" s="114">
        <v>0</v>
      </c>
      <c r="L320" s="113">
        <v>0</v>
      </c>
      <c r="M320" s="113">
        <v>1974436</v>
      </c>
      <c r="N320" s="114">
        <v>0</v>
      </c>
      <c r="O320" s="115">
        <v>0</v>
      </c>
      <c r="P320" s="114">
        <v>0</v>
      </c>
      <c r="Q320" s="114">
        <v>0</v>
      </c>
      <c r="R320" s="114">
        <v>0</v>
      </c>
      <c r="S320" s="114">
        <v>0</v>
      </c>
      <c r="T320" s="114">
        <v>0</v>
      </c>
      <c r="U320" s="114">
        <v>0</v>
      </c>
      <c r="V320" s="113">
        <v>1974436</v>
      </c>
      <c r="W320" s="114">
        <v>0</v>
      </c>
      <c r="X320" s="113">
        <v>1974436</v>
      </c>
      <c r="Y320" s="113">
        <v>20222</v>
      </c>
      <c r="Z320" s="113">
        <v>0</v>
      </c>
      <c r="AA320" s="113">
        <v>1994658</v>
      </c>
      <c r="AB320" s="113">
        <f t="shared" si="4"/>
        <v>75.580993520518362</v>
      </c>
    </row>
    <row r="321" spans="1:28" ht="15.75" thickBot="1" x14ac:dyDescent="0.3">
      <c r="A321" s="44" t="s">
        <v>1001</v>
      </c>
      <c r="B321" s="107" t="s">
        <v>1002</v>
      </c>
      <c r="C321" s="110" t="s">
        <v>822</v>
      </c>
      <c r="D321" s="110" t="s">
        <v>1999</v>
      </c>
      <c r="E321" s="111" t="s">
        <v>799</v>
      </c>
      <c r="F321" s="111" t="s">
        <v>800</v>
      </c>
      <c r="G321" s="112">
        <v>32799</v>
      </c>
      <c r="H321" s="112">
        <v>32799</v>
      </c>
      <c r="I321" s="113">
        <v>106742</v>
      </c>
      <c r="J321" s="113">
        <v>1503870</v>
      </c>
      <c r="K321" s="113">
        <v>0</v>
      </c>
      <c r="L321" s="113">
        <v>0</v>
      </c>
      <c r="M321" s="113">
        <v>1610612</v>
      </c>
      <c r="N321" s="113">
        <v>63226</v>
      </c>
      <c r="O321" s="115">
        <v>0</v>
      </c>
      <c r="P321" s="114">
        <v>0</v>
      </c>
      <c r="Q321" s="114">
        <v>0</v>
      </c>
      <c r="R321" s="114">
        <v>0</v>
      </c>
      <c r="S321" s="114">
        <v>0</v>
      </c>
      <c r="T321" s="114">
        <v>0</v>
      </c>
      <c r="U321" s="114">
        <v>0</v>
      </c>
      <c r="V321" s="113">
        <v>1610612</v>
      </c>
      <c r="W321" s="113">
        <v>63226</v>
      </c>
      <c r="X321" s="113">
        <v>1673838</v>
      </c>
      <c r="Y321" s="113">
        <v>24052</v>
      </c>
      <c r="Z321" s="113">
        <v>0</v>
      </c>
      <c r="AA321" s="113">
        <v>1697890</v>
      </c>
      <c r="AB321" s="113">
        <f t="shared" si="4"/>
        <v>51.766517271868047</v>
      </c>
    </row>
    <row r="322" spans="1:28" ht="15.75" thickBot="1" x14ac:dyDescent="0.3">
      <c r="A322" s="44" t="s">
        <v>1011</v>
      </c>
      <c r="B322" s="107" t="s">
        <v>1012</v>
      </c>
      <c r="C322" s="110" t="s">
        <v>822</v>
      </c>
      <c r="D322" s="110" t="s">
        <v>2221</v>
      </c>
      <c r="E322" s="111" t="s">
        <v>799</v>
      </c>
      <c r="F322" s="111" t="s">
        <v>800</v>
      </c>
      <c r="G322" s="112">
        <v>26168</v>
      </c>
      <c r="H322" s="112">
        <v>26168</v>
      </c>
      <c r="I322" s="113">
        <v>110428</v>
      </c>
      <c r="J322" s="113">
        <v>734279</v>
      </c>
      <c r="K322" s="114">
        <v>0</v>
      </c>
      <c r="L322" s="113">
        <v>181750</v>
      </c>
      <c r="M322" s="113">
        <v>1026457</v>
      </c>
      <c r="N322" s="113">
        <v>108954</v>
      </c>
      <c r="O322" s="115">
        <v>0</v>
      </c>
      <c r="P322" s="114">
        <v>0</v>
      </c>
      <c r="Q322" s="114">
        <v>0</v>
      </c>
      <c r="R322" s="114">
        <v>0</v>
      </c>
      <c r="S322" s="114">
        <v>0</v>
      </c>
      <c r="T322" s="114">
        <v>0</v>
      </c>
      <c r="U322" s="114">
        <v>0</v>
      </c>
      <c r="V322" s="113">
        <v>1026457</v>
      </c>
      <c r="W322" s="113">
        <v>108954</v>
      </c>
      <c r="X322" s="113">
        <v>1135411</v>
      </c>
      <c r="Y322" s="113">
        <v>33319</v>
      </c>
      <c r="Z322" s="113">
        <v>0</v>
      </c>
      <c r="AA322" s="113">
        <v>1168730</v>
      </c>
      <c r="AB322" s="113">
        <f t="shared" si="4"/>
        <v>44.662564964842559</v>
      </c>
    </row>
    <row r="323" spans="1:28" ht="15.75" thickBot="1" x14ac:dyDescent="0.3">
      <c r="A323" s="44" t="s">
        <v>1023</v>
      </c>
      <c r="B323" s="107" t="s">
        <v>1024</v>
      </c>
      <c r="C323" s="110" t="s">
        <v>822</v>
      </c>
      <c r="D323" s="110" t="s">
        <v>1884</v>
      </c>
      <c r="E323" s="111" t="s">
        <v>804</v>
      </c>
      <c r="F323" s="111" t="s">
        <v>805</v>
      </c>
      <c r="G323" s="112">
        <v>48579</v>
      </c>
      <c r="H323" s="112">
        <v>48579</v>
      </c>
      <c r="I323" s="113">
        <v>115435</v>
      </c>
      <c r="J323" s="113">
        <v>1821567</v>
      </c>
      <c r="K323" s="114">
        <v>0</v>
      </c>
      <c r="L323" s="114">
        <v>0</v>
      </c>
      <c r="M323" s="113">
        <v>1937002</v>
      </c>
      <c r="N323" s="113">
        <v>385209</v>
      </c>
      <c r="O323" s="115">
        <v>0</v>
      </c>
      <c r="P323" s="114">
        <v>0</v>
      </c>
      <c r="Q323" s="114">
        <v>0</v>
      </c>
      <c r="R323" s="114">
        <v>0</v>
      </c>
      <c r="S323" s="114">
        <v>0</v>
      </c>
      <c r="T323" s="114">
        <v>0</v>
      </c>
      <c r="U323" s="114">
        <v>0</v>
      </c>
      <c r="V323" s="113">
        <v>1937002</v>
      </c>
      <c r="W323" s="113">
        <v>385209</v>
      </c>
      <c r="X323" s="113">
        <v>2322211</v>
      </c>
      <c r="Y323" s="113">
        <v>37222</v>
      </c>
      <c r="Z323" s="113">
        <v>0</v>
      </c>
      <c r="AA323" s="113">
        <v>2359433</v>
      </c>
      <c r="AB323" s="113">
        <f t="shared" si="4"/>
        <v>48.568990716153067</v>
      </c>
    </row>
    <row r="324" spans="1:28" ht="15.75" thickBot="1" x14ac:dyDescent="0.3">
      <c r="A324" s="44" t="s">
        <v>1025</v>
      </c>
      <c r="B324" s="107" t="s">
        <v>1026</v>
      </c>
      <c r="C324" s="110" t="s">
        <v>822</v>
      </c>
      <c r="D324" s="110" t="s">
        <v>1952</v>
      </c>
      <c r="E324" s="111" t="s">
        <v>804</v>
      </c>
      <c r="F324" s="111" t="s">
        <v>805</v>
      </c>
      <c r="G324" s="112">
        <v>32442</v>
      </c>
      <c r="H324" s="112">
        <v>32442</v>
      </c>
      <c r="I324" s="113">
        <v>28093</v>
      </c>
      <c r="J324" s="113">
        <v>435258</v>
      </c>
      <c r="K324" s="113">
        <v>427647</v>
      </c>
      <c r="L324" s="113">
        <v>0</v>
      </c>
      <c r="M324" s="113">
        <v>890998</v>
      </c>
      <c r="N324" s="113">
        <v>34600</v>
      </c>
      <c r="O324" s="115">
        <v>0</v>
      </c>
      <c r="P324" s="114">
        <v>0</v>
      </c>
      <c r="Q324" s="114">
        <v>0</v>
      </c>
      <c r="R324" s="114">
        <v>0</v>
      </c>
      <c r="S324" s="114">
        <v>0</v>
      </c>
      <c r="T324" s="114">
        <v>0</v>
      </c>
      <c r="U324" s="114">
        <v>0</v>
      </c>
      <c r="V324" s="113">
        <v>890998</v>
      </c>
      <c r="W324" s="113">
        <v>34600</v>
      </c>
      <c r="X324" s="113">
        <v>925598</v>
      </c>
      <c r="Y324" s="113">
        <v>24858</v>
      </c>
      <c r="Z324" s="113">
        <v>0</v>
      </c>
      <c r="AA324" s="113">
        <v>950456</v>
      </c>
      <c r="AB324" s="113">
        <f t="shared" ref="AB324:AB387" si="5">AA324/G324</f>
        <v>29.297084026878739</v>
      </c>
    </row>
    <row r="325" spans="1:28" ht="15.75" thickBot="1" x14ac:dyDescent="0.3">
      <c r="A325" s="44" t="s">
        <v>1085</v>
      </c>
      <c r="B325" s="107" t="s">
        <v>1086</v>
      </c>
      <c r="C325" s="110" t="s">
        <v>822</v>
      </c>
      <c r="D325" s="110" t="s">
        <v>1925</v>
      </c>
      <c r="E325" s="111" t="s">
        <v>804</v>
      </c>
      <c r="F325" s="111" t="s">
        <v>805</v>
      </c>
      <c r="G325" s="112">
        <v>27692</v>
      </c>
      <c r="H325" s="112">
        <v>27692</v>
      </c>
      <c r="I325" s="113">
        <v>15774</v>
      </c>
      <c r="J325" s="113">
        <v>495462</v>
      </c>
      <c r="K325" s="113">
        <v>0</v>
      </c>
      <c r="L325" s="113">
        <v>0</v>
      </c>
      <c r="M325" s="113">
        <v>511236</v>
      </c>
      <c r="N325" s="113">
        <v>26265</v>
      </c>
      <c r="O325" s="115">
        <v>0</v>
      </c>
      <c r="P325" s="114">
        <v>0</v>
      </c>
      <c r="Q325" s="114">
        <v>0</v>
      </c>
      <c r="R325" s="114">
        <v>0</v>
      </c>
      <c r="S325" s="114">
        <v>0</v>
      </c>
      <c r="T325" s="114">
        <v>0</v>
      </c>
      <c r="U325" s="114">
        <v>0</v>
      </c>
      <c r="V325" s="113">
        <v>511236</v>
      </c>
      <c r="W325" s="113">
        <v>26265</v>
      </c>
      <c r="X325" s="113">
        <v>537501</v>
      </c>
      <c r="Y325" s="113">
        <v>21218</v>
      </c>
      <c r="Z325" s="113">
        <v>0</v>
      </c>
      <c r="AA325" s="113">
        <v>558719</v>
      </c>
      <c r="AB325" s="113">
        <f t="shared" si="5"/>
        <v>20.176188068756318</v>
      </c>
    </row>
    <row r="326" spans="1:28" ht="15.75" thickBot="1" x14ac:dyDescent="0.3">
      <c r="A326" s="44" t="s">
        <v>1093</v>
      </c>
      <c r="B326" s="107" t="s">
        <v>1094</v>
      </c>
      <c r="C326" s="110" t="s">
        <v>822</v>
      </c>
      <c r="D326" s="110" t="s">
        <v>1926</v>
      </c>
      <c r="E326" s="111" t="s">
        <v>799</v>
      </c>
      <c r="F326" s="111" t="s">
        <v>800</v>
      </c>
      <c r="G326" s="112">
        <v>46985</v>
      </c>
      <c r="H326" s="112">
        <v>46985</v>
      </c>
      <c r="I326" s="113">
        <v>151349</v>
      </c>
      <c r="J326" s="113">
        <v>0</v>
      </c>
      <c r="K326" s="113">
        <v>843879</v>
      </c>
      <c r="L326" s="113">
        <v>0</v>
      </c>
      <c r="M326" s="113">
        <v>995228</v>
      </c>
      <c r="N326" s="113">
        <v>24000</v>
      </c>
      <c r="O326" s="115">
        <v>0</v>
      </c>
      <c r="P326" s="114">
        <v>0</v>
      </c>
      <c r="Q326" s="114">
        <v>0</v>
      </c>
      <c r="R326" s="114">
        <v>0</v>
      </c>
      <c r="S326" s="114">
        <v>0</v>
      </c>
      <c r="T326" s="114">
        <v>0</v>
      </c>
      <c r="U326" s="114">
        <v>0</v>
      </c>
      <c r="V326" s="113">
        <v>995228</v>
      </c>
      <c r="W326" s="113">
        <v>24000</v>
      </c>
      <c r="X326" s="113">
        <v>1019228</v>
      </c>
      <c r="Y326" s="113">
        <v>36055</v>
      </c>
      <c r="Z326" s="113">
        <v>0</v>
      </c>
      <c r="AA326" s="113">
        <v>1055283</v>
      </c>
      <c r="AB326" s="113">
        <f t="shared" si="5"/>
        <v>22.459997871661169</v>
      </c>
    </row>
    <row r="327" spans="1:28" ht="15.75" thickBot="1" x14ac:dyDescent="0.3">
      <c r="A327" s="44" t="s">
        <v>1113</v>
      </c>
      <c r="B327" s="107" t="s">
        <v>1114</v>
      </c>
      <c r="C327" s="110" t="s">
        <v>822</v>
      </c>
      <c r="D327" s="110" t="s">
        <v>2309</v>
      </c>
      <c r="E327" s="111" t="s">
        <v>804</v>
      </c>
      <c r="F327" s="111" t="s">
        <v>805</v>
      </c>
      <c r="G327" s="112">
        <v>40898</v>
      </c>
      <c r="H327" s="112">
        <v>40898</v>
      </c>
      <c r="I327" s="113">
        <v>80793.59</v>
      </c>
      <c r="J327" s="113">
        <v>1392743</v>
      </c>
      <c r="K327" s="113">
        <v>0</v>
      </c>
      <c r="L327" s="113">
        <v>84898</v>
      </c>
      <c r="M327" s="113">
        <v>1558434.59</v>
      </c>
      <c r="N327" s="113">
        <v>85632</v>
      </c>
      <c r="O327" s="115">
        <v>0</v>
      </c>
      <c r="P327" s="114">
        <v>0</v>
      </c>
      <c r="Q327" s="114">
        <v>0</v>
      </c>
      <c r="R327" s="114">
        <v>0</v>
      </c>
      <c r="S327" s="114">
        <v>0</v>
      </c>
      <c r="T327" s="114">
        <v>0</v>
      </c>
      <c r="U327" s="114">
        <v>0</v>
      </c>
      <c r="V327" s="113">
        <v>1558434.59</v>
      </c>
      <c r="W327" s="113">
        <v>85632</v>
      </c>
      <c r="X327" s="113">
        <v>1644066.59</v>
      </c>
      <c r="Y327" s="113">
        <v>133066</v>
      </c>
      <c r="Z327" s="113">
        <v>0</v>
      </c>
      <c r="AA327" s="113">
        <v>1777132.59</v>
      </c>
      <c r="AB327" s="113">
        <f t="shared" si="5"/>
        <v>43.452799403393811</v>
      </c>
    </row>
    <row r="328" spans="1:28" ht="15.75" thickBot="1" x14ac:dyDescent="0.3">
      <c r="A328" s="44" t="s">
        <v>1171</v>
      </c>
      <c r="B328" s="107" t="s">
        <v>1172</v>
      </c>
      <c r="C328" s="110" t="s">
        <v>822</v>
      </c>
      <c r="D328" s="110" t="s">
        <v>2432</v>
      </c>
      <c r="E328" s="111" t="s">
        <v>799</v>
      </c>
      <c r="F328" s="111" t="s">
        <v>800</v>
      </c>
      <c r="G328" s="112">
        <v>41786</v>
      </c>
      <c r="H328" s="112">
        <v>41786</v>
      </c>
      <c r="I328" s="113">
        <v>271086</v>
      </c>
      <c r="J328" s="113">
        <v>816931</v>
      </c>
      <c r="K328" s="113">
        <v>0</v>
      </c>
      <c r="L328" s="113">
        <v>0</v>
      </c>
      <c r="M328" s="113">
        <v>1088017</v>
      </c>
      <c r="N328" s="113">
        <v>45917</v>
      </c>
      <c r="O328" s="115">
        <v>0</v>
      </c>
      <c r="P328" s="114">
        <v>0</v>
      </c>
      <c r="Q328" s="114">
        <v>0</v>
      </c>
      <c r="R328" s="114">
        <v>0</v>
      </c>
      <c r="S328" s="114">
        <v>0</v>
      </c>
      <c r="T328" s="114">
        <v>0</v>
      </c>
      <c r="U328" s="114">
        <v>0</v>
      </c>
      <c r="V328" s="113">
        <v>1088017</v>
      </c>
      <c r="W328" s="113">
        <v>45917</v>
      </c>
      <c r="X328" s="113">
        <v>1133934</v>
      </c>
      <c r="Y328" s="113">
        <v>51078</v>
      </c>
      <c r="Z328" s="113">
        <v>0</v>
      </c>
      <c r="AA328" s="113">
        <v>1185012</v>
      </c>
      <c r="AB328" s="113">
        <f t="shared" si="5"/>
        <v>28.3590676303068</v>
      </c>
    </row>
    <row r="329" spans="1:28" ht="15.75" thickBot="1" x14ac:dyDescent="0.3">
      <c r="A329" s="44" t="s">
        <v>1215</v>
      </c>
      <c r="B329" s="107" t="s">
        <v>1216</v>
      </c>
      <c r="C329" s="110" t="s">
        <v>822</v>
      </c>
      <c r="D329" s="110" t="s">
        <v>1892</v>
      </c>
      <c r="E329" s="111" t="s">
        <v>799</v>
      </c>
      <c r="F329" s="111" t="s">
        <v>800</v>
      </c>
      <c r="G329" s="112">
        <v>40771</v>
      </c>
      <c r="H329" s="112">
        <v>40771</v>
      </c>
      <c r="I329" s="113">
        <v>103739</v>
      </c>
      <c r="J329" s="113">
        <v>990017</v>
      </c>
      <c r="K329" s="114">
        <v>0</v>
      </c>
      <c r="L329" s="114">
        <v>0</v>
      </c>
      <c r="M329" s="113">
        <v>1093756</v>
      </c>
      <c r="N329" s="113">
        <v>60331</v>
      </c>
      <c r="O329" s="115">
        <v>0</v>
      </c>
      <c r="P329" s="114">
        <v>0</v>
      </c>
      <c r="Q329" s="114">
        <v>0</v>
      </c>
      <c r="R329" s="114">
        <v>0</v>
      </c>
      <c r="S329" s="114">
        <v>0</v>
      </c>
      <c r="T329" s="114">
        <v>0</v>
      </c>
      <c r="U329" s="114">
        <v>0</v>
      </c>
      <c r="V329" s="113">
        <v>1093756</v>
      </c>
      <c r="W329" s="113">
        <v>60331</v>
      </c>
      <c r="X329" s="113">
        <v>1154087</v>
      </c>
      <c r="Y329" s="113">
        <v>29898</v>
      </c>
      <c r="Z329" s="113">
        <v>0</v>
      </c>
      <c r="AA329" s="113">
        <v>1183985</v>
      </c>
      <c r="AB329" s="113">
        <f t="shared" si="5"/>
        <v>29.039881288170513</v>
      </c>
    </row>
    <row r="330" spans="1:28" ht="15.75" thickBot="1" x14ac:dyDescent="0.3">
      <c r="A330" s="44" t="s">
        <v>1221</v>
      </c>
      <c r="B330" s="107" t="s">
        <v>1222</v>
      </c>
      <c r="C330" s="110" t="s">
        <v>822</v>
      </c>
      <c r="D330" s="110" t="s">
        <v>1925</v>
      </c>
      <c r="E330" s="111" t="s">
        <v>804</v>
      </c>
      <c r="F330" s="111" t="s">
        <v>805</v>
      </c>
      <c r="G330" s="112">
        <v>38144</v>
      </c>
      <c r="H330" s="112">
        <v>38144</v>
      </c>
      <c r="I330" s="113">
        <v>45435</v>
      </c>
      <c r="J330" s="113">
        <v>314880</v>
      </c>
      <c r="K330" s="113">
        <v>0</v>
      </c>
      <c r="L330" s="113">
        <v>0</v>
      </c>
      <c r="M330" s="113">
        <v>360315</v>
      </c>
      <c r="N330" s="113">
        <v>1930</v>
      </c>
      <c r="O330" s="115">
        <v>0</v>
      </c>
      <c r="P330" s="114">
        <v>0</v>
      </c>
      <c r="Q330" s="114">
        <v>0</v>
      </c>
      <c r="R330" s="114">
        <v>0</v>
      </c>
      <c r="S330" s="114">
        <v>0</v>
      </c>
      <c r="T330" s="114">
        <v>0</v>
      </c>
      <c r="U330" s="114">
        <v>0</v>
      </c>
      <c r="V330" s="113">
        <v>360315</v>
      </c>
      <c r="W330" s="113">
        <v>1930</v>
      </c>
      <c r="X330" s="113">
        <v>362245</v>
      </c>
      <c r="Y330" s="113">
        <v>29227</v>
      </c>
      <c r="Z330" s="113">
        <v>0</v>
      </c>
      <c r="AA330" s="113">
        <v>391472</v>
      </c>
      <c r="AB330" s="113">
        <f t="shared" si="5"/>
        <v>10.263003355704697</v>
      </c>
    </row>
    <row r="331" spans="1:28" ht="15.75" thickBot="1" x14ac:dyDescent="0.3">
      <c r="A331" s="44" t="s">
        <v>1231</v>
      </c>
      <c r="B331" s="107" t="s">
        <v>1232</v>
      </c>
      <c r="C331" s="110" t="s">
        <v>822</v>
      </c>
      <c r="D331" s="110" t="s">
        <v>1926</v>
      </c>
      <c r="E331" s="111" t="s">
        <v>804</v>
      </c>
      <c r="F331" s="111" t="s">
        <v>805</v>
      </c>
      <c r="G331" s="112">
        <v>35540</v>
      </c>
      <c r="H331" s="112">
        <v>35540</v>
      </c>
      <c r="I331" s="113">
        <v>100514</v>
      </c>
      <c r="J331" s="113">
        <v>2272110</v>
      </c>
      <c r="K331" s="114">
        <v>0</v>
      </c>
      <c r="L331" s="113">
        <v>63856</v>
      </c>
      <c r="M331" s="113">
        <v>2436480</v>
      </c>
      <c r="N331" s="113">
        <v>90516</v>
      </c>
      <c r="O331" s="115">
        <v>0</v>
      </c>
      <c r="P331" s="114">
        <v>0</v>
      </c>
      <c r="Q331" s="114">
        <v>0</v>
      </c>
      <c r="R331" s="114">
        <v>0</v>
      </c>
      <c r="S331" s="114">
        <v>0</v>
      </c>
      <c r="T331" s="114">
        <v>0</v>
      </c>
      <c r="U331" s="114">
        <v>0</v>
      </c>
      <c r="V331" s="113">
        <v>2436480</v>
      </c>
      <c r="W331" s="113">
        <v>90516</v>
      </c>
      <c r="X331" s="113">
        <v>2526996</v>
      </c>
      <c r="Y331" s="113">
        <v>28486</v>
      </c>
      <c r="Z331" s="113">
        <v>0</v>
      </c>
      <c r="AA331" s="113">
        <v>2555482</v>
      </c>
      <c r="AB331" s="113">
        <f t="shared" si="5"/>
        <v>71.904389420371416</v>
      </c>
    </row>
    <row r="332" spans="1:28" ht="15.75" thickBot="1" x14ac:dyDescent="0.3">
      <c r="A332" s="44" t="s">
        <v>1247</v>
      </c>
      <c r="B332" s="107" t="s">
        <v>1248</v>
      </c>
      <c r="C332" s="110" t="s">
        <v>822</v>
      </c>
      <c r="D332" s="110" t="s">
        <v>1885</v>
      </c>
      <c r="E332" s="111" t="s">
        <v>804</v>
      </c>
      <c r="F332" s="111" t="s">
        <v>805</v>
      </c>
      <c r="G332" s="112">
        <v>29694</v>
      </c>
      <c r="H332" s="112">
        <v>29694</v>
      </c>
      <c r="I332" s="113">
        <v>63424</v>
      </c>
      <c r="J332" s="113">
        <v>590613</v>
      </c>
      <c r="K332" s="113">
        <v>0</v>
      </c>
      <c r="L332" s="113">
        <v>0</v>
      </c>
      <c r="M332" s="113">
        <v>654037</v>
      </c>
      <c r="N332" s="113">
        <v>11303</v>
      </c>
      <c r="O332" s="115">
        <v>0</v>
      </c>
      <c r="P332" s="114">
        <v>0</v>
      </c>
      <c r="Q332" s="114">
        <v>0</v>
      </c>
      <c r="R332" s="114">
        <v>0</v>
      </c>
      <c r="S332" s="114">
        <v>0</v>
      </c>
      <c r="T332" s="114">
        <v>0</v>
      </c>
      <c r="U332" s="114">
        <v>0</v>
      </c>
      <c r="V332" s="113">
        <v>654037</v>
      </c>
      <c r="W332" s="113">
        <v>11303</v>
      </c>
      <c r="X332" s="113">
        <v>665340</v>
      </c>
      <c r="Y332" s="113">
        <v>23801</v>
      </c>
      <c r="Z332" s="113">
        <v>0</v>
      </c>
      <c r="AA332" s="113">
        <v>689141</v>
      </c>
      <c r="AB332" s="113">
        <f t="shared" si="5"/>
        <v>23.208089176264565</v>
      </c>
    </row>
    <row r="333" spans="1:28" ht="15.75" thickBot="1" x14ac:dyDescent="0.3">
      <c r="A333" s="44" t="s">
        <v>1267</v>
      </c>
      <c r="B333" s="107" t="s">
        <v>1268</v>
      </c>
      <c r="C333" s="110" t="s">
        <v>822</v>
      </c>
      <c r="D333" s="110" t="s">
        <v>2529</v>
      </c>
      <c r="E333" s="111" t="s">
        <v>799</v>
      </c>
      <c r="F333" s="111" t="s">
        <v>800</v>
      </c>
      <c r="G333" s="112">
        <v>28646</v>
      </c>
      <c r="H333" s="112">
        <v>28646</v>
      </c>
      <c r="I333" s="113">
        <v>115878</v>
      </c>
      <c r="J333" s="113">
        <v>967795</v>
      </c>
      <c r="K333" s="114">
        <v>0</v>
      </c>
      <c r="L333" s="114">
        <v>0</v>
      </c>
      <c r="M333" s="113">
        <v>1083673</v>
      </c>
      <c r="N333" s="114">
        <v>0</v>
      </c>
      <c r="O333" s="115">
        <v>0</v>
      </c>
      <c r="P333" s="114">
        <v>0</v>
      </c>
      <c r="Q333" s="114">
        <v>0</v>
      </c>
      <c r="R333" s="114">
        <v>0</v>
      </c>
      <c r="S333" s="114">
        <v>0</v>
      </c>
      <c r="T333" s="114">
        <v>0</v>
      </c>
      <c r="U333" s="114">
        <v>0</v>
      </c>
      <c r="V333" s="113">
        <v>1083673</v>
      </c>
      <c r="W333" s="114">
        <v>0</v>
      </c>
      <c r="X333" s="113">
        <v>1083673</v>
      </c>
      <c r="Y333" s="113">
        <v>21007</v>
      </c>
      <c r="Z333" s="113">
        <v>22322</v>
      </c>
      <c r="AA333" s="113">
        <v>1127002</v>
      </c>
      <c r="AB333" s="113">
        <f t="shared" si="5"/>
        <v>39.3423863715702</v>
      </c>
    </row>
    <row r="334" spans="1:28" ht="15.75" thickBot="1" x14ac:dyDescent="0.3">
      <c r="A334" s="44" t="s">
        <v>1323</v>
      </c>
      <c r="B334" s="107" t="s">
        <v>1324</v>
      </c>
      <c r="C334" s="110" t="s">
        <v>822</v>
      </c>
      <c r="D334" s="110" t="s">
        <v>1925</v>
      </c>
      <c r="E334" s="111" t="s">
        <v>829</v>
      </c>
      <c r="F334" s="111" t="s">
        <v>830</v>
      </c>
      <c r="G334" s="112">
        <v>34467</v>
      </c>
      <c r="H334" s="112">
        <v>34467</v>
      </c>
      <c r="I334" s="113">
        <v>31326</v>
      </c>
      <c r="J334" s="113">
        <v>2786213</v>
      </c>
      <c r="K334" s="113">
        <v>0</v>
      </c>
      <c r="L334" s="113">
        <v>0</v>
      </c>
      <c r="M334" s="113">
        <v>2817539</v>
      </c>
      <c r="N334" s="113">
        <v>303950</v>
      </c>
      <c r="O334" s="115">
        <v>0</v>
      </c>
      <c r="P334" s="114">
        <v>0</v>
      </c>
      <c r="Q334" s="114">
        <v>0</v>
      </c>
      <c r="R334" s="114">
        <v>0</v>
      </c>
      <c r="S334" s="114">
        <v>0</v>
      </c>
      <c r="T334" s="114">
        <v>0</v>
      </c>
      <c r="U334" s="114">
        <v>0</v>
      </c>
      <c r="V334" s="113">
        <v>2817539</v>
      </c>
      <c r="W334" s="113">
        <v>303950</v>
      </c>
      <c r="X334" s="113">
        <v>3121489</v>
      </c>
      <c r="Y334" s="113">
        <v>69487</v>
      </c>
      <c r="Z334" s="113">
        <v>0</v>
      </c>
      <c r="AA334" s="113">
        <v>3190976</v>
      </c>
      <c r="AB334" s="113">
        <f t="shared" si="5"/>
        <v>92.580613340296509</v>
      </c>
    </row>
    <row r="335" spans="1:28" ht="15.75" thickBot="1" x14ac:dyDescent="0.3">
      <c r="A335" s="44" t="s">
        <v>1329</v>
      </c>
      <c r="B335" s="107" t="s">
        <v>1330</v>
      </c>
      <c r="C335" s="110" t="s">
        <v>822</v>
      </c>
      <c r="D335" s="110" t="s">
        <v>1885</v>
      </c>
      <c r="E335" s="111" t="s">
        <v>804</v>
      </c>
      <c r="F335" s="111" t="s">
        <v>805</v>
      </c>
      <c r="G335" s="112">
        <v>29319</v>
      </c>
      <c r="H335" s="112">
        <v>29319</v>
      </c>
      <c r="I335" s="113">
        <v>61310</v>
      </c>
      <c r="J335" s="113">
        <v>688707</v>
      </c>
      <c r="K335" s="113">
        <v>38924</v>
      </c>
      <c r="L335" s="113">
        <v>21278.6</v>
      </c>
      <c r="M335" s="113">
        <v>810219.6</v>
      </c>
      <c r="N335" s="113">
        <v>28273.31</v>
      </c>
      <c r="O335" s="115">
        <v>0</v>
      </c>
      <c r="P335" s="114">
        <v>0</v>
      </c>
      <c r="Q335" s="114">
        <v>0</v>
      </c>
      <c r="R335" s="114">
        <v>0</v>
      </c>
      <c r="S335" s="114">
        <v>0</v>
      </c>
      <c r="T335" s="114">
        <v>0</v>
      </c>
      <c r="U335" s="114">
        <v>0</v>
      </c>
      <c r="V335" s="113">
        <v>810219.6</v>
      </c>
      <c r="W335" s="113">
        <v>28273.31</v>
      </c>
      <c r="X335" s="113">
        <v>838492.91</v>
      </c>
      <c r="Y335" s="113">
        <v>22465.06</v>
      </c>
      <c r="Z335" s="113">
        <v>7213</v>
      </c>
      <c r="AA335" s="113">
        <v>868170.97</v>
      </c>
      <c r="AB335" s="113">
        <f t="shared" si="5"/>
        <v>29.611206726013847</v>
      </c>
    </row>
    <row r="336" spans="1:28" ht="15.75" thickBot="1" x14ac:dyDescent="0.3">
      <c r="A336" s="44" t="s">
        <v>1335</v>
      </c>
      <c r="B336" s="107" t="s">
        <v>1336</v>
      </c>
      <c r="C336" s="110" t="s">
        <v>822</v>
      </c>
      <c r="D336" s="110" t="s">
        <v>1885</v>
      </c>
      <c r="E336" s="111" t="s">
        <v>799</v>
      </c>
      <c r="F336" s="111" t="s">
        <v>800</v>
      </c>
      <c r="G336" s="112">
        <v>35394</v>
      </c>
      <c r="H336" s="112">
        <v>35394</v>
      </c>
      <c r="I336" s="113">
        <v>74014</v>
      </c>
      <c r="J336" s="113">
        <v>2183146</v>
      </c>
      <c r="K336" s="113">
        <v>0</v>
      </c>
      <c r="L336" s="113">
        <v>0</v>
      </c>
      <c r="M336" s="113">
        <v>2257160</v>
      </c>
      <c r="N336" s="113">
        <v>145600</v>
      </c>
      <c r="O336" s="115">
        <v>0</v>
      </c>
      <c r="P336" s="113">
        <v>0</v>
      </c>
      <c r="Q336" s="113">
        <v>0</v>
      </c>
      <c r="R336" s="113">
        <v>0</v>
      </c>
      <c r="S336" s="113">
        <v>0</v>
      </c>
      <c r="T336" s="113">
        <v>0</v>
      </c>
      <c r="U336" s="113">
        <v>0</v>
      </c>
      <c r="V336" s="113">
        <v>2257160</v>
      </c>
      <c r="W336" s="113">
        <v>145600</v>
      </c>
      <c r="X336" s="113">
        <v>2402760</v>
      </c>
      <c r="Y336" s="113">
        <v>26547</v>
      </c>
      <c r="Z336" s="113">
        <v>0</v>
      </c>
      <c r="AA336" s="113">
        <v>2429307</v>
      </c>
      <c r="AB336" s="113">
        <f t="shared" si="5"/>
        <v>68.636124766909646</v>
      </c>
    </row>
    <row r="337" spans="1:28" ht="15.75" thickBot="1" x14ac:dyDescent="0.3">
      <c r="A337" s="44" t="s">
        <v>1363</v>
      </c>
      <c r="B337" s="107" t="s">
        <v>1364</v>
      </c>
      <c r="C337" s="110" t="s">
        <v>822</v>
      </c>
      <c r="D337" s="110" t="s">
        <v>2292</v>
      </c>
      <c r="E337" s="111" t="s">
        <v>885</v>
      </c>
      <c r="F337" s="111" t="s">
        <v>886</v>
      </c>
      <c r="G337" s="112">
        <v>36441</v>
      </c>
      <c r="H337" s="112">
        <v>21355</v>
      </c>
      <c r="I337" s="113">
        <v>54380</v>
      </c>
      <c r="J337" s="113">
        <v>879593</v>
      </c>
      <c r="K337" s="113">
        <v>42258</v>
      </c>
      <c r="L337" s="114">
        <v>0</v>
      </c>
      <c r="M337" s="113">
        <v>976231</v>
      </c>
      <c r="N337" s="113">
        <v>377790</v>
      </c>
      <c r="O337" s="116">
        <v>15086</v>
      </c>
      <c r="P337" s="113">
        <v>39377</v>
      </c>
      <c r="Q337" s="113">
        <v>572592</v>
      </c>
      <c r="R337" s="114">
        <v>0</v>
      </c>
      <c r="S337" s="114">
        <v>0</v>
      </c>
      <c r="T337" s="113">
        <v>611969</v>
      </c>
      <c r="U337" s="114">
        <v>0</v>
      </c>
      <c r="V337" s="113">
        <v>1588200</v>
      </c>
      <c r="W337" s="113">
        <v>377790</v>
      </c>
      <c r="X337" s="113">
        <v>1965990</v>
      </c>
      <c r="Y337" s="113">
        <v>29208</v>
      </c>
      <c r="Z337" s="113">
        <v>0</v>
      </c>
      <c r="AA337" s="113">
        <v>1995198</v>
      </c>
      <c r="AB337" s="113">
        <f t="shared" si="5"/>
        <v>54.751461266156255</v>
      </c>
    </row>
    <row r="338" spans="1:28" ht="15.75" thickBot="1" x14ac:dyDescent="0.3">
      <c r="A338" s="44" t="s">
        <v>1373</v>
      </c>
      <c r="B338" s="107" t="s">
        <v>1374</v>
      </c>
      <c r="C338" s="110" t="s">
        <v>822</v>
      </c>
      <c r="D338" s="110" t="s">
        <v>1925</v>
      </c>
      <c r="E338" s="111" t="s">
        <v>799</v>
      </c>
      <c r="F338" s="111" t="s">
        <v>800</v>
      </c>
      <c r="G338" s="112">
        <v>36656</v>
      </c>
      <c r="H338" s="112">
        <v>36656</v>
      </c>
      <c r="I338" s="113">
        <v>69295</v>
      </c>
      <c r="J338" s="113">
        <v>3947953</v>
      </c>
      <c r="K338" s="114">
        <v>0</v>
      </c>
      <c r="L338" s="114">
        <v>0</v>
      </c>
      <c r="M338" s="113">
        <v>4017248</v>
      </c>
      <c r="N338" s="113">
        <v>308054</v>
      </c>
      <c r="O338" s="115">
        <v>0</v>
      </c>
      <c r="P338" s="114">
        <v>0</v>
      </c>
      <c r="Q338" s="114">
        <v>0</v>
      </c>
      <c r="R338" s="114">
        <v>0</v>
      </c>
      <c r="S338" s="114">
        <v>0</v>
      </c>
      <c r="T338" s="114">
        <v>0</v>
      </c>
      <c r="U338" s="114">
        <v>0</v>
      </c>
      <c r="V338" s="113">
        <v>4017248</v>
      </c>
      <c r="W338" s="113">
        <v>308054</v>
      </c>
      <c r="X338" s="113">
        <v>4325302</v>
      </c>
      <c r="Y338" s="113">
        <v>26881</v>
      </c>
      <c r="Z338" s="113">
        <v>0</v>
      </c>
      <c r="AA338" s="113">
        <v>4352183</v>
      </c>
      <c r="AB338" s="113">
        <f t="shared" si="5"/>
        <v>118.73043976429507</v>
      </c>
    </row>
    <row r="339" spans="1:28" ht="15.75" thickBot="1" x14ac:dyDescent="0.3">
      <c r="A339" s="44" t="s">
        <v>1401</v>
      </c>
      <c r="B339" s="107" t="s">
        <v>1402</v>
      </c>
      <c r="C339" s="110" t="s">
        <v>822</v>
      </c>
      <c r="D339" s="110" t="s">
        <v>1925</v>
      </c>
      <c r="E339" s="111" t="s">
        <v>844</v>
      </c>
      <c r="F339" s="111" t="s">
        <v>845</v>
      </c>
      <c r="G339" s="112">
        <v>48362</v>
      </c>
      <c r="H339" s="112">
        <v>48362</v>
      </c>
      <c r="I339" s="113">
        <v>29230</v>
      </c>
      <c r="J339" s="113">
        <v>1806817</v>
      </c>
      <c r="K339" s="113">
        <v>0</v>
      </c>
      <c r="L339" s="113">
        <v>132934</v>
      </c>
      <c r="M339" s="113">
        <v>1968981</v>
      </c>
      <c r="N339" s="113">
        <v>220399</v>
      </c>
      <c r="O339" s="115">
        <v>0</v>
      </c>
      <c r="P339" s="114">
        <v>0</v>
      </c>
      <c r="Q339" s="114">
        <v>0</v>
      </c>
      <c r="R339" s="114">
        <v>0</v>
      </c>
      <c r="S339" s="114">
        <v>0</v>
      </c>
      <c r="T339" s="114">
        <v>0</v>
      </c>
      <c r="U339" s="114">
        <v>0</v>
      </c>
      <c r="V339" s="113">
        <v>1968981</v>
      </c>
      <c r="W339" s="113">
        <v>220399</v>
      </c>
      <c r="X339" s="113">
        <v>2189380</v>
      </c>
      <c r="Y339" s="113">
        <v>35465</v>
      </c>
      <c r="Z339" s="113">
        <v>0</v>
      </c>
      <c r="AA339" s="113">
        <v>2224845</v>
      </c>
      <c r="AB339" s="113">
        <f t="shared" si="5"/>
        <v>46.003990736528678</v>
      </c>
    </row>
    <row r="340" spans="1:28" ht="15.75" thickBot="1" x14ac:dyDescent="0.3">
      <c r="A340" s="44" t="s">
        <v>1425</v>
      </c>
      <c r="B340" s="107" t="s">
        <v>1426</v>
      </c>
      <c r="C340" s="110" t="s">
        <v>822</v>
      </c>
      <c r="D340" s="110" t="s">
        <v>1952</v>
      </c>
      <c r="E340" s="111" t="s">
        <v>804</v>
      </c>
      <c r="F340" s="111" t="s">
        <v>805</v>
      </c>
      <c r="G340" s="112">
        <v>33839</v>
      </c>
      <c r="H340" s="112">
        <v>33839</v>
      </c>
      <c r="I340" s="113">
        <v>29303</v>
      </c>
      <c r="J340" s="113">
        <v>2051654</v>
      </c>
      <c r="K340" s="113">
        <v>77669</v>
      </c>
      <c r="L340" s="113">
        <v>37462</v>
      </c>
      <c r="M340" s="113">
        <v>2196088</v>
      </c>
      <c r="N340" s="113">
        <v>192333</v>
      </c>
      <c r="O340" s="115">
        <v>0</v>
      </c>
      <c r="P340" s="114">
        <v>0</v>
      </c>
      <c r="Q340" s="114">
        <v>0</v>
      </c>
      <c r="R340" s="114">
        <v>0</v>
      </c>
      <c r="S340" s="114">
        <v>0</v>
      </c>
      <c r="T340" s="114">
        <v>0</v>
      </c>
      <c r="U340" s="114">
        <v>0</v>
      </c>
      <c r="V340" s="113">
        <v>2196088</v>
      </c>
      <c r="W340" s="113">
        <v>192333</v>
      </c>
      <c r="X340" s="113">
        <v>2388421</v>
      </c>
      <c r="Y340" s="113">
        <v>23460</v>
      </c>
      <c r="Z340" s="113">
        <v>0</v>
      </c>
      <c r="AA340" s="113">
        <v>2411881</v>
      </c>
      <c r="AB340" s="113">
        <f t="shared" si="5"/>
        <v>71.275185436921902</v>
      </c>
    </row>
    <row r="341" spans="1:28" ht="15.75" thickBot="1" x14ac:dyDescent="0.3">
      <c r="A341" s="44" t="s">
        <v>1427</v>
      </c>
      <c r="B341" s="107" t="s">
        <v>1428</v>
      </c>
      <c r="C341" s="110" t="s">
        <v>822</v>
      </c>
      <c r="D341" s="110" t="s">
        <v>1925</v>
      </c>
      <c r="E341" s="111" t="s">
        <v>804</v>
      </c>
      <c r="F341" s="111" t="s">
        <v>805</v>
      </c>
      <c r="G341" s="112">
        <v>39868</v>
      </c>
      <c r="H341" s="112">
        <v>23989</v>
      </c>
      <c r="I341" s="113">
        <v>236355</v>
      </c>
      <c r="J341" s="113">
        <v>0</v>
      </c>
      <c r="K341" s="113">
        <v>551219</v>
      </c>
      <c r="L341" s="113">
        <v>14709</v>
      </c>
      <c r="M341" s="113">
        <v>802283</v>
      </c>
      <c r="N341" s="113">
        <v>24461</v>
      </c>
      <c r="O341" s="116">
        <v>15879</v>
      </c>
      <c r="P341" s="113">
        <v>12470</v>
      </c>
      <c r="Q341" s="113">
        <v>0</v>
      </c>
      <c r="R341" s="113">
        <v>0</v>
      </c>
      <c r="S341" s="113">
        <v>25000</v>
      </c>
      <c r="T341" s="113">
        <v>37470</v>
      </c>
      <c r="U341" s="113">
        <v>0</v>
      </c>
      <c r="V341" s="113">
        <v>839753</v>
      </c>
      <c r="W341" s="113">
        <v>24461</v>
      </c>
      <c r="X341" s="113">
        <v>864214</v>
      </c>
      <c r="Y341" s="113">
        <v>30548</v>
      </c>
      <c r="Z341" s="113">
        <v>0</v>
      </c>
      <c r="AA341" s="113">
        <v>894762</v>
      </c>
      <c r="AB341" s="113">
        <f t="shared" si="5"/>
        <v>22.443112270492627</v>
      </c>
    </row>
    <row r="342" spans="1:28" ht="15.75" thickBot="1" x14ac:dyDescent="0.3">
      <c r="A342" s="44" t="s">
        <v>1431</v>
      </c>
      <c r="B342" s="107" t="s">
        <v>1432</v>
      </c>
      <c r="C342" s="110" t="s">
        <v>822</v>
      </c>
      <c r="D342" s="110" t="s">
        <v>1952</v>
      </c>
      <c r="E342" s="111" t="s">
        <v>804</v>
      </c>
      <c r="F342" s="111" t="s">
        <v>805</v>
      </c>
      <c r="G342" s="112">
        <v>47299</v>
      </c>
      <c r="H342" s="112">
        <v>47299</v>
      </c>
      <c r="I342" s="113">
        <v>49063</v>
      </c>
      <c r="J342" s="113">
        <v>440301</v>
      </c>
      <c r="K342" s="113">
        <v>880603</v>
      </c>
      <c r="L342" s="113">
        <v>91725</v>
      </c>
      <c r="M342" s="113">
        <v>1461692</v>
      </c>
      <c r="N342" s="113">
        <v>30707</v>
      </c>
      <c r="O342" s="115">
        <v>0</v>
      </c>
      <c r="P342" s="114">
        <v>0</v>
      </c>
      <c r="Q342" s="114">
        <v>0</v>
      </c>
      <c r="R342" s="114">
        <v>0</v>
      </c>
      <c r="S342" s="114">
        <v>0</v>
      </c>
      <c r="T342" s="114">
        <v>0</v>
      </c>
      <c r="U342" s="114">
        <v>0</v>
      </c>
      <c r="V342" s="113">
        <v>1461692</v>
      </c>
      <c r="W342" s="113">
        <v>30707</v>
      </c>
      <c r="X342" s="113">
        <v>1492399</v>
      </c>
      <c r="Y342" s="113">
        <v>38372</v>
      </c>
      <c r="Z342" s="113">
        <v>2450</v>
      </c>
      <c r="AA342" s="113">
        <v>1533221</v>
      </c>
      <c r="AB342" s="113">
        <f t="shared" si="5"/>
        <v>32.415505613226493</v>
      </c>
    </row>
    <row r="343" spans="1:28" ht="15.75" thickBot="1" x14ac:dyDescent="0.3">
      <c r="A343" s="44" t="s">
        <v>1449</v>
      </c>
      <c r="B343" s="107" t="s">
        <v>1450</v>
      </c>
      <c r="C343" s="110" t="s">
        <v>822</v>
      </c>
      <c r="D343" s="110" t="s">
        <v>1948</v>
      </c>
      <c r="E343" s="111" t="s">
        <v>829</v>
      </c>
      <c r="F343" s="111" t="s">
        <v>830</v>
      </c>
      <c r="G343" s="112">
        <v>26376</v>
      </c>
      <c r="H343" s="112">
        <v>26376</v>
      </c>
      <c r="I343" s="113">
        <v>36901</v>
      </c>
      <c r="J343" s="113">
        <v>1928503</v>
      </c>
      <c r="K343" s="114">
        <v>0</v>
      </c>
      <c r="L343" s="113">
        <v>0</v>
      </c>
      <c r="M343" s="113">
        <v>1965404</v>
      </c>
      <c r="N343" s="113">
        <v>64474</v>
      </c>
      <c r="O343" s="115">
        <v>0</v>
      </c>
      <c r="P343" s="114">
        <v>0</v>
      </c>
      <c r="Q343" s="114">
        <v>0</v>
      </c>
      <c r="R343" s="114">
        <v>0</v>
      </c>
      <c r="S343" s="114">
        <v>0</v>
      </c>
      <c r="T343" s="114">
        <v>0</v>
      </c>
      <c r="U343" s="114">
        <v>0</v>
      </c>
      <c r="V343" s="113">
        <v>1965404</v>
      </c>
      <c r="W343" s="113">
        <v>64474</v>
      </c>
      <c r="X343" s="113">
        <v>2029878</v>
      </c>
      <c r="Y343" s="113">
        <v>80567</v>
      </c>
      <c r="Z343" s="113">
        <v>0</v>
      </c>
      <c r="AA343" s="113">
        <v>2110445</v>
      </c>
      <c r="AB343" s="113">
        <f t="shared" si="5"/>
        <v>80.01383833788293</v>
      </c>
    </row>
    <row r="344" spans="1:28" ht="15.75" thickBot="1" x14ac:dyDescent="0.3">
      <c r="A344" s="44" t="s">
        <v>1474</v>
      </c>
      <c r="B344" s="107" t="s">
        <v>1475</v>
      </c>
      <c r="C344" s="110" t="s">
        <v>822</v>
      </c>
      <c r="D344" s="110" t="s">
        <v>2157</v>
      </c>
      <c r="E344" s="111" t="s">
        <v>829</v>
      </c>
      <c r="F344" s="111" t="s">
        <v>830</v>
      </c>
      <c r="G344" s="112">
        <v>27920</v>
      </c>
      <c r="H344" s="112">
        <v>27920</v>
      </c>
      <c r="I344" s="113">
        <v>58296</v>
      </c>
      <c r="J344" s="113">
        <v>729994</v>
      </c>
      <c r="K344" s="113">
        <v>0</v>
      </c>
      <c r="L344" s="113">
        <v>0</v>
      </c>
      <c r="M344" s="113">
        <v>788290</v>
      </c>
      <c r="N344" s="113">
        <v>19705</v>
      </c>
      <c r="O344" s="115">
        <v>0</v>
      </c>
      <c r="P344" s="114">
        <v>0</v>
      </c>
      <c r="Q344" s="114">
        <v>0</v>
      </c>
      <c r="R344" s="114">
        <v>0</v>
      </c>
      <c r="S344" s="114">
        <v>0</v>
      </c>
      <c r="T344" s="114">
        <v>0</v>
      </c>
      <c r="U344" s="114">
        <v>0</v>
      </c>
      <c r="V344" s="113">
        <v>788290</v>
      </c>
      <c r="W344" s="113">
        <v>19705</v>
      </c>
      <c r="X344" s="113">
        <v>807995</v>
      </c>
      <c r="Y344" s="113">
        <v>20474</v>
      </c>
      <c r="Z344" s="113">
        <v>0</v>
      </c>
      <c r="AA344" s="113">
        <v>828469</v>
      </c>
      <c r="AB344" s="113">
        <f t="shared" si="5"/>
        <v>29.672958452722064</v>
      </c>
    </row>
    <row r="345" spans="1:28" ht="15.75" thickBot="1" x14ac:dyDescent="0.3">
      <c r="A345" s="44" t="s">
        <v>1484</v>
      </c>
      <c r="B345" s="107" t="s">
        <v>1485</v>
      </c>
      <c r="C345" s="110" t="s">
        <v>822</v>
      </c>
      <c r="D345" s="110" t="s">
        <v>1925</v>
      </c>
      <c r="E345" s="111" t="s">
        <v>804</v>
      </c>
      <c r="F345" s="111" t="s">
        <v>805</v>
      </c>
      <c r="G345" s="112">
        <v>30047</v>
      </c>
      <c r="H345" s="112">
        <v>30047</v>
      </c>
      <c r="I345" s="113">
        <v>17115</v>
      </c>
      <c r="J345" s="113">
        <v>571650</v>
      </c>
      <c r="K345" s="114">
        <v>0</v>
      </c>
      <c r="L345" s="114">
        <v>0</v>
      </c>
      <c r="M345" s="113">
        <v>588765</v>
      </c>
      <c r="N345" s="113">
        <v>32093</v>
      </c>
      <c r="O345" s="115">
        <v>0</v>
      </c>
      <c r="P345" s="114">
        <v>0</v>
      </c>
      <c r="Q345" s="114">
        <v>0</v>
      </c>
      <c r="R345" s="114">
        <v>0</v>
      </c>
      <c r="S345" s="114">
        <v>0</v>
      </c>
      <c r="T345" s="114">
        <v>0</v>
      </c>
      <c r="U345" s="114">
        <v>0</v>
      </c>
      <c r="V345" s="113">
        <v>588765</v>
      </c>
      <c r="W345" s="113">
        <v>32093</v>
      </c>
      <c r="X345" s="113">
        <v>620858</v>
      </c>
      <c r="Y345" s="113">
        <v>23023</v>
      </c>
      <c r="Z345" s="113">
        <v>0</v>
      </c>
      <c r="AA345" s="113">
        <v>643881</v>
      </c>
      <c r="AB345" s="113">
        <f t="shared" si="5"/>
        <v>21.429127699936767</v>
      </c>
    </row>
    <row r="346" spans="1:28" ht="15.75" thickBot="1" x14ac:dyDescent="0.3">
      <c r="A346" s="44" t="s">
        <v>1502</v>
      </c>
      <c r="B346" s="107" t="s">
        <v>1503</v>
      </c>
      <c r="C346" s="110" t="s">
        <v>822</v>
      </c>
      <c r="D346" s="110" t="s">
        <v>2207</v>
      </c>
      <c r="E346" s="111" t="s">
        <v>804</v>
      </c>
      <c r="F346" s="111" t="s">
        <v>805</v>
      </c>
      <c r="G346" s="112">
        <v>43031</v>
      </c>
      <c r="H346" s="112">
        <v>40841</v>
      </c>
      <c r="I346" s="113">
        <v>124396</v>
      </c>
      <c r="J346" s="113">
        <v>934879</v>
      </c>
      <c r="K346" s="113">
        <v>2000</v>
      </c>
      <c r="L346" s="113">
        <v>30000</v>
      </c>
      <c r="M346" s="113">
        <v>1091275</v>
      </c>
      <c r="N346" s="113">
        <v>119199</v>
      </c>
      <c r="O346" s="116">
        <v>2190</v>
      </c>
      <c r="P346" s="113">
        <v>7923</v>
      </c>
      <c r="Q346" s="113">
        <v>93890</v>
      </c>
      <c r="R346" s="113">
        <v>0</v>
      </c>
      <c r="S346" s="113">
        <v>0</v>
      </c>
      <c r="T346" s="113">
        <v>101813</v>
      </c>
      <c r="U346" s="113">
        <v>14475</v>
      </c>
      <c r="V346" s="113">
        <v>1193088</v>
      </c>
      <c r="W346" s="113">
        <v>133674</v>
      </c>
      <c r="X346" s="113">
        <v>1326762</v>
      </c>
      <c r="Y346" s="113">
        <v>28060</v>
      </c>
      <c r="Z346" s="113">
        <v>0</v>
      </c>
      <c r="AA346" s="113">
        <v>1354822</v>
      </c>
      <c r="AB346" s="113">
        <f t="shared" si="5"/>
        <v>31.484790035090981</v>
      </c>
    </row>
    <row r="347" spans="1:28" ht="15.75" thickBot="1" x14ac:dyDescent="0.3">
      <c r="A347" s="44" t="s">
        <v>1546</v>
      </c>
      <c r="B347" s="107" t="s">
        <v>1547</v>
      </c>
      <c r="C347" s="110" t="s">
        <v>822</v>
      </c>
      <c r="D347" s="110" t="s">
        <v>2385</v>
      </c>
      <c r="E347" s="111" t="s">
        <v>799</v>
      </c>
      <c r="F347" s="111" t="s">
        <v>800</v>
      </c>
      <c r="G347" s="112">
        <v>44265</v>
      </c>
      <c r="H347" s="112">
        <v>40692</v>
      </c>
      <c r="I347" s="113">
        <v>134852</v>
      </c>
      <c r="J347" s="113">
        <v>1806533</v>
      </c>
      <c r="K347" s="113">
        <v>0</v>
      </c>
      <c r="L347" s="113">
        <v>112533</v>
      </c>
      <c r="M347" s="113">
        <v>2053918</v>
      </c>
      <c r="N347" s="113">
        <v>183995</v>
      </c>
      <c r="O347" s="116">
        <v>3573</v>
      </c>
      <c r="P347" s="113">
        <v>12474</v>
      </c>
      <c r="Q347" s="114">
        <v>0</v>
      </c>
      <c r="R347" s="114">
        <v>0</v>
      </c>
      <c r="S347" s="113">
        <v>1000</v>
      </c>
      <c r="T347" s="113">
        <v>13474</v>
      </c>
      <c r="U347" s="114">
        <v>0</v>
      </c>
      <c r="V347" s="113">
        <v>2067392</v>
      </c>
      <c r="W347" s="113">
        <v>183995</v>
      </c>
      <c r="X347" s="113">
        <v>2251387</v>
      </c>
      <c r="Y347" s="113">
        <v>32082</v>
      </c>
      <c r="Z347" s="113">
        <v>0</v>
      </c>
      <c r="AA347" s="113">
        <v>2283469</v>
      </c>
      <c r="AB347" s="113">
        <f t="shared" si="5"/>
        <v>51.586332316728793</v>
      </c>
    </row>
    <row r="348" spans="1:28" ht="15.75" thickBot="1" x14ac:dyDescent="0.3">
      <c r="A348" s="44" t="s">
        <v>1586</v>
      </c>
      <c r="B348" s="107" t="s">
        <v>1587</v>
      </c>
      <c r="C348" s="110" t="s">
        <v>822</v>
      </c>
      <c r="D348" s="110" t="s">
        <v>1885</v>
      </c>
      <c r="E348" s="111" t="s">
        <v>799</v>
      </c>
      <c r="F348" s="111" t="s">
        <v>800</v>
      </c>
      <c r="G348" s="112">
        <v>30019</v>
      </c>
      <c r="H348" s="112">
        <v>30019</v>
      </c>
      <c r="I348" s="113">
        <v>62774</v>
      </c>
      <c r="J348" s="113">
        <v>1101795</v>
      </c>
      <c r="K348" s="113">
        <v>0</v>
      </c>
      <c r="L348" s="113">
        <v>0</v>
      </c>
      <c r="M348" s="113">
        <v>1164569</v>
      </c>
      <c r="N348" s="113">
        <v>57427</v>
      </c>
      <c r="O348" s="115">
        <v>0</v>
      </c>
      <c r="P348" s="113">
        <v>0</v>
      </c>
      <c r="Q348" s="113">
        <v>0</v>
      </c>
      <c r="R348" s="113">
        <v>0</v>
      </c>
      <c r="S348" s="113">
        <v>0</v>
      </c>
      <c r="T348" s="113">
        <v>0</v>
      </c>
      <c r="U348" s="113">
        <v>0</v>
      </c>
      <c r="V348" s="113">
        <v>1164569</v>
      </c>
      <c r="W348" s="113">
        <v>57427</v>
      </c>
      <c r="X348" s="113">
        <v>1221996</v>
      </c>
      <c r="Y348" s="113">
        <v>22014</v>
      </c>
      <c r="Z348" s="113">
        <v>0</v>
      </c>
      <c r="AA348" s="113">
        <v>1244010</v>
      </c>
      <c r="AB348" s="113">
        <f t="shared" si="5"/>
        <v>41.440754189013624</v>
      </c>
    </row>
    <row r="349" spans="1:28" ht="15.75" thickBot="1" x14ac:dyDescent="0.3">
      <c r="A349" s="44" t="s">
        <v>835</v>
      </c>
      <c r="B349" s="107" t="s">
        <v>836</v>
      </c>
      <c r="C349" s="110" t="s">
        <v>837</v>
      </c>
      <c r="D349" s="110" t="s">
        <v>1948</v>
      </c>
      <c r="E349" s="111" t="s">
        <v>804</v>
      </c>
      <c r="F349" s="111" t="s">
        <v>805</v>
      </c>
      <c r="G349" s="112">
        <v>163590</v>
      </c>
      <c r="H349" s="112">
        <v>163590</v>
      </c>
      <c r="I349" s="113">
        <v>219624</v>
      </c>
      <c r="J349" s="113">
        <v>15990651</v>
      </c>
      <c r="K349" s="113">
        <v>0</v>
      </c>
      <c r="L349" s="113">
        <v>179543</v>
      </c>
      <c r="M349" s="113">
        <v>16389818</v>
      </c>
      <c r="N349" s="113">
        <v>752039</v>
      </c>
      <c r="O349" s="115">
        <v>0</v>
      </c>
      <c r="P349" s="113">
        <v>0</v>
      </c>
      <c r="Q349" s="113">
        <v>0</v>
      </c>
      <c r="R349" s="113">
        <v>0</v>
      </c>
      <c r="S349" s="113">
        <v>0</v>
      </c>
      <c r="T349" s="113">
        <v>0</v>
      </c>
      <c r="U349" s="113">
        <v>0</v>
      </c>
      <c r="V349" s="113">
        <v>16389818</v>
      </c>
      <c r="W349" s="113">
        <v>752039</v>
      </c>
      <c r="X349" s="113">
        <v>17141857</v>
      </c>
      <c r="Y349" s="113">
        <v>106634</v>
      </c>
      <c r="Z349" s="113">
        <v>0</v>
      </c>
      <c r="AA349" s="113">
        <v>17248491</v>
      </c>
      <c r="AB349" s="113">
        <f t="shared" si="5"/>
        <v>105.43731890702365</v>
      </c>
    </row>
    <row r="350" spans="1:28" ht="15.75" thickBot="1" x14ac:dyDescent="0.3">
      <c r="A350" s="44" t="s">
        <v>861</v>
      </c>
      <c r="B350" s="107" t="s">
        <v>862</v>
      </c>
      <c r="C350" s="110" t="s">
        <v>837</v>
      </c>
      <c r="D350" s="110" t="s">
        <v>1984</v>
      </c>
      <c r="E350" s="111" t="s">
        <v>799</v>
      </c>
      <c r="F350" s="111" t="s">
        <v>800</v>
      </c>
      <c r="G350" s="112">
        <v>107681</v>
      </c>
      <c r="H350" s="112">
        <v>107681</v>
      </c>
      <c r="I350" s="113">
        <v>358155</v>
      </c>
      <c r="J350" s="113">
        <v>5458736</v>
      </c>
      <c r="K350" s="113">
        <v>0</v>
      </c>
      <c r="L350" s="113">
        <v>445114</v>
      </c>
      <c r="M350" s="113">
        <v>6262005</v>
      </c>
      <c r="N350" s="113">
        <v>358819</v>
      </c>
      <c r="O350" s="115">
        <v>0</v>
      </c>
      <c r="P350" s="113">
        <v>0</v>
      </c>
      <c r="Q350" s="113">
        <v>0</v>
      </c>
      <c r="R350" s="113">
        <v>0</v>
      </c>
      <c r="S350" s="113">
        <v>0</v>
      </c>
      <c r="T350" s="113">
        <v>0</v>
      </c>
      <c r="U350" s="113">
        <v>0</v>
      </c>
      <c r="V350" s="113">
        <v>6262005</v>
      </c>
      <c r="W350" s="113">
        <v>358819</v>
      </c>
      <c r="X350" s="113">
        <v>6620824</v>
      </c>
      <c r="Y350" s="113">
        <v>80216</v>
      </c>
      <c r="Z350" s="113">
        <v>0</v>
      </c>
      <c r="AA350" s="113">
        <v>6701040</v>
      </c>
      <c r="AB350" s="113">
        <f t="shared" si="5"/>
        <v>62.23047705723387</v>
      </c>
    </row>
    <row r="351" spans="1:28" ht="15.75" thickBot="1" x14ac:dyDescent="0.3">
      <c r="A351" s="44" t="s">
        <v>923</v>
      </c>
      <c r="B351" s="107" t="s">
        <v>924</v>
      </c>
      <c r="C351" s="110" t="s">
        <v>837</v>
      </c>
      <c r="D351" s="110" t="s">
        <v>1925</v>
      </c>
      <c r="E351" s="111" t="s">
        <v>799</v>
      </c>
      <c r="F351" s="111" t="s">
        <v>800</v>
      </c>
      <c r="G351" s="112">
        <v>90173</v>
      </c>
      <c r="H351" s="112">
        <v>90173</v>
      </c>
      <c r="I351" s="113">
        <v>51366</v>
      </c>
      <c r="J351" s="113">
        <v>5707635</v>
      </c>
      <c r="K351" s="113">
        <v>0</v>
      </c>
      <c r="L351" s="113">
        <v>0</v>
      </c>
      <c r="M351" s="113">
        <v>5759001</v>
      </c>
      <c r="N351" s="113">
        <v>223976</v>
      </c>
      <c r="O351" s="115">
        <v>0</v>
      </c>
      <c r="P351" s="113">
        <v>0</v>
      </c>
      <c r="Q351" s="113">
        <v>0</v>
      </c>
      <c r="R351" s="113">
        <v>0</v>
      </c>
      <c r="S351" s="113">
        <v>0</v>
      </c>
      <c r="T351" s="113">
        <v>0</v>
      </c>
      <c r="U351" s="113">
        <v>0</v>
      </c>
      <c r="V351" s="113">
        <v>5759001</v>
      </c>
      <c r="W351" s="113">
        <v>223976</v>
      </c>
      <c r="X351" s="113">
        <v>5982977</v>
      </c>
      <c r="Y351" s="113">
        <v>66126</v>
      </c>
      <c r="Z351" s="113">
        <v>0</v>
      </c>
      <c r="AA351" s="113">
        <v>6049103</v>
      </c>
      <c r="AB351" s="113">
        <f t="shared" si="5"/>
        <v>67.083306532997682</v>
      </c>
    </row>
    <row r="352" spans="1:28" ht="15.75" thickBot="1" x14ac:dyDescent="0.3">
      <c r="A352" s="44" t="s">
        <v>925</v>
      </c>
      <c r="B352" s="107" t="s">
        <v>926</v>
      </c>
      <c r="C352" s="110" t="s">
        <v>837</v>
      </c>
      <c r="D352" s="110" t="s">
        <v>1884</v>
      </c>
      <c r="E352" s="111" t="s">
        <v>799</v>
      </c>
      <c r="F352" s="111" t="s">
        <v>800</v>
      </c>
      <c r="G352" s="112">
        <v>238859</v>
      </c>
      <c r="H352" s="112">
        <v>238859</v>
      </c>
      <c r="I352" s="113">
        <v>543914</v>
      </c>
      <c r="J352" s="113">
        <v>10224380</v>
      </c>
      <c r="K352" s="113">
        <v>0</v>
      </c>
      <c r="L352" s="113">
        <v>0</v>
      </c>
      <c r="M352" s="113">
        <v>10768294</v>
      </c>
      <c r="N352" s="113">
        <v>708909</v>
      </c>
      <c r="O352" s="115">
        <v>0</v>
      </c>
      <c r="P352" s="113">
        <v>0</v>
      </c>
      <c r="Q352" s="113">
        <v>0</v>
      </c>
      <c r="R352" s="113">
        <v>0</v>
      </c>
      <c r="S352" s="113">
        <v>0</v>
      </c>
      <c r="T352" s="113">
        <v>0</v>
      </c>
      <c r="U352" s="113">
        <v>0</v>
      </c>
      <c r="V352" s="113">
        <v>10768294</v>
      </c>
      <c r="W352" s="113">
        <v>708909</v>
      </c>
      <c r="X352" s="113">
        <v>11477203</v>
      </c>
      <c r="Y352" s="113">
        <v>703262</v>
      </c>
      <c r="Z352" s="113">
        <v>0</v>
      </c>
      <c r="AA352" s="113">
        <v>12180465</v>
      </c>
      <c r="AB352" s="113">
        <f t="shared" si="5"/>
        <v>50.994373249490287</v>
      </c>
    </row>
    <row r="353" spans="1:28" ht="15.75" thickBot="1" x14ac:dyDescent="0.3">
      <c r="A353" s="44" t="s">
        <v>955</v>
      </c>
      <c r="B353" s="107" t="s">
        <v>956</v>
      </c>
      <c r="C353" s="110" t="s">
        <v>837</v>
      </c>
      <c r="D353" s="110" t="s">
        <v>2132</v>
      </c>
      <c r="E353" s="111" t="s">
        <v>799</v>
      </c>
      <c r="F353" s="111" t="s">
        <v>800</v>
      </c>
      <c r="G353" s="112">
        <v>51640</v>
      </c>
      <c r="H353" s="112">
        <v>51640</v>
      </c>
      <c r="I353" s="113">
        <v>204496</v>
      </c>
      <c r="J353" s="113">
        <v>2030207</v>
      </c>
      <c r="K353" s="114">
        <v>0</v>
      </c>
      <c r="L353" s="113">
        <v>0</v>
      </c>
      <c r="M353" s="113">
        <v>2234703</v>
      </c>
      <c r="N353" s="113">
        <v>135879</v>
      </c>
      <c r="O353" s="115">
        <v>0</v>
      </c>
      <c r="P353" s="114">
        <v>0</v>
      </c>
      <c r="Q353" s="114">
        <v>0</v>
      </c>
      <c r="R353" s="114">
        <v>0</v>
      </c>
      <c r="S353" s="114">
        <v>0</v>
      </c>
      <c r="T353" s="114">
        <v>0</v>
      </c>
      <c r="U353" s="114">
        <v>0</v>
      </c>
      <c r="V353" s="113">
        <v>2234703</v>
      </c>
      <c r="W353" s="113">
        <v>135879</v>
      </c>
      <c r="X353" s="113">
        <v>2370582</v>
      </c>
      <c r="Y353" s="113">
        <v>39041</v>
      </c>
      <c r="Z353" s="113">
        <v>0</v>
      </c>
      <c r="AA353" s="113">
        <v>2409623</v>
      </c>
      <c r="AB353" s="113">
        <f t="shared" si="5"/>
        <v>46.661948102246321</v>
      </c>
    </row>
    <row r="354" spans="1:28" ht="15.75" thickBot="1" x14ac:dyDescent="0.3">
      <c r="A354" s="44" t="s">
        <v>961</v>
      </c>
      <c r="B354" s="107" t="s">
        <v>962</v>
      </c>
      <c r="C354" s="110" t="s">
        <v>837</v>
      </c>
      <c r="D354" s="110" t="s">
        <v>1952</v>
      </c>
      <c r="E354" s="111" t="s">
        <v>829</v>
      </c>
      <c r="F354" s="111" t="s">
        <v>830</v>
      </c>
      <c r="G354" s="112">
        <v>169833</v>
      </c>
      <c r="H354" s="112">
        <v>169833</v>
      </c>
      <c r="I354" s="113">
        <v>147067</v>
      </c>
      <c r="J354" s="113">
        <v>7466221</v>
      </c>
      <c r="K354" s="113">
        <v>0</v>
      </c>
      <c r="L354" s="113">
        <v>157609</v>
      </c>
      <c r="M354" s="113">
        <v>7770897</v>
      </c>
      <c r="N354" s="113">
        <v>211380</v>
      </c>
      <c r="O354" s="115">
        <v>0</v>
      </c>
      <c r="P354" s="114">
        <v>0</v>
      </c>
      <c r="Q354" s="114">
        <v>0</v>
      </c>
      <c r="R354" s="114">
        <v>0</v>
      </c>
      <c r="S354" s="114">
        <v>0</v>
      </c>
      <c r="T354" s="114">
        <v>0</v>
      </c>
      <c r="U354" s="114">
        <v>0</v>
      </c>
      <c r="V354" s="113">
        <v>7770897</v>
      </c>
      <c r="W354" s="113">
        <v>211380</v>
      </c>
      <c r="X354" s="113">
        <v>7982277</v>
      </c>
      <c r="Y354" s="113">
        <v>124543</v>
      </c>
      <c r="Z354" s="113">
        <v>0</v>
      </c>
      <c r="AA354" s="113">
        <v>8106820</v>
      </c>
      <c r="AB354" s="113">
        <f t="shared" si="5"/>
        <v>47.734068172852155</v>
      </c>
    </row>
    <row r="355" spans="1:28" ht="15.75" thickBot="1" x14ac:dyDescent="0.3">
      <c r="A355" s="44" t="s">
        <v>995</v>
      </c>
      <c r="B355" s="107" t="s">
        <v>996</v>
      </c>
      <c r="C355" s="110" t="s">
        <v>837</v>
      </c>
      <c r="D355" s="110" t="s">
        <v>1925</v>
      </c>
      <c r="E355" s="111" t="s">
        <v>804</v>
      </c>
      <c r="F355" s="111" t="s">
        <v>805</v>
      </c>
      <c r="G355" s="112">
        <v>57774</v>
      </c>
      <c r="H355" s="112">
        <v>57774</v>
      </c>
      <c r="I355" s="113">
        <v>53348</v>
      </c>
      <c r="J355" s="113">
        <v>2145439</v>
      </c>
      <c r="K355" s="113">
        <v>0</v>
      </c>
      <c r="L355" s="113">
        <v>229762</v>
      </c>
      <c r="M355" s="113">
        <v>2428549</v>
      </c>
      <c r="N355" s="113">
        <v>133355</v>
      </c>
      <c r="O355" s="115">
        <v>0</v>
      </c>
      <c r="P355" s="113">
        <v>0</v>
      </c>
      <c r="Q355" s="113">
        <v>0</v>
      </c>
      <c r="R355" s="113">
        <v>0</v>
      </c>
      <c r="S355" s="113">
        <v>0</v>
      </c>
      <c r="T355" s="113">
        <v>0</v>
      </c>
      <c r="U355" s="113">
        <v>0</v>
      </c>
      <c r="V355" s="113">
        <v>2428549</v>
      </c>
      <c r="W355" s="113">
        <v>133355</v>
      </c>
      <c r="X355" s="113">
        <v>2561904</v>
      </c>
      <c r="Y355" s="113">
        <v>22929</v>
      </c>
      <c r="Z355" s="113">
        <v>0</v>
      </c>
      <c r="AA355" s="113">
        <v>2584833</v>
      </c>
      <c r="AB355" s="113">
        <f t="shared" si="5"/>
        <v>44.74041956589469</v>
      </c>
    </row>
    <row r="356" spans="1:28" ht="15.75" thickBot="1" x14ac:dyDescent="0.3">
      <c r="A356" s="44" t="s">
        <v>997</v>
      </c>
      <c r="B356" s="107" t="s">
        <v>998</v>
      </c>
      <c r="C356" s="110" t="s">
        <v>837</v>
      </c>
      <c r="D356" s="110" t="s">
        <v>1925</v>
      </c>
      <c r="E356" s="111" t="s">
        <v>804</v>
      </c>
      <c r="F356" s="111" t="s">
        <v>805</v>
      </c>
      <c r="G356" s="112">
        <v>98153</v>
      </c>
      <c r="H356" s="112">
        <v>98153</v>
      </c>
      <c r="I356" s="113">
        <v>60177</v>
      </c>
      <c r="J356" s="113">
        <v>5451665</v>
      </c>
      <c r="K356" s="113">
        <v>0</v>
      </c>
      <c r="L356" s="113">
        <v>37204</v>
      </c>
      <c r="M356" s="113">
        <v>5549046</v>
      </c>
      <c r="N356" s="113">
        <v>123989</v>
      </c>
      <c r="O356" s="115">
        <v>0</v>
      </c>
      <c r="P356" s="114">
        <v>0</v>
      </c>
      <c r="Q356" s="114">
        <v>0</v>
      </c>
      <c r="R356" s="114">
        <v>0</v>
      </c>
      <c r="S356" s="114">
        <v>0</v>
      </c>
      <c r="T356" s="114">
        <v>0</v>
      </c>
      <c r="U356" s="114">
        <v>0</v>
      </c>
      <c r="V356" s="113">
        <v>5549046</v>
      </c>
      <c r="W356" s="113">
        <v>123989</v>
      </c>
      <c r="X356" s="113">
        <v>5673035</v>
      </c>
      <c r="Y356" s="113">
        <v>1160207</v>
      </c>
      <c r="Z356" s="113">
        <v>0</v>
      </c>
      <c r="AA356" s="113">
        <v>6833242</v>
      </c>
      <c r="AB356" s="113">
        <f t="shared" si="5"/>
        <v>69.618269436492014</v>
      </c>
    </row>
    <row r="357" spans="1:28" ht="15.75" thickBot="1" x14ac:dyDescent="0.3">
      <c r="A357" s="44" t="s">
        <v>1005</v>
      </c>
      <c r="B357" s="107" t="s">
        <v>1006</v>
      </c>
      <c r="C357" s="110" t="s">
        <v>837</v>
      </c>
      <c r="D357" s="110" t="s">
        <v>1925</v>
      </c>
      <c r="E357" s="111" t="s">
        <v>804</v>
      </c>
      <c r="F357" s="111" t="s">
        <v>805</v>
      </c>
      <c r="G357" s="112">
        <v>713777</v>
      </c>
      <c r="H357" s="112">
        <v>713777</v>
      </c>
      <c r="I357" s="113">
        <v>558128</v>
      </c>
      <c r="J357" s="113">
        <v>25913512</v>
      </c>
      <c r="K357" s="113">
        <v>0</v>
      </c>
      <c r="L357" s="113">
        <v>0</v>
      </c>
      <c r="M357" s="113">
        <v>26471640</v>
      </c>
      <c r="N357" s="113">
        <v>2765820</v>
      </c>
      <c r="O357" s="115">
        <v>0</v>
      </c>
      <c r="P357" s="114">
        <v>0</v>
      </c>
      <c r="Q357" s="114">
        <v>0</v>
      </c>
      <c r="R357" s="114">
        <v>0</v>
      </c>
      <c r="S357" s="114">
        <v>0</v>
      </c>
      <c r="T357" s="114">
        <v>0</v>
      </c>
      <c r="U357" s="114">
        <v>0</v>
      </c>
      <c r="V357" s="113">
        <v>26471640</v>
      </c>
      <c r="W357" s="113">
        <v>2765820</v>
      </c>
      <c r="X357" s="113">
        <v>29237460</v>
      </c>
      <c r="Y357" s="113">
        <v>2488400</v>
      </c>
      <c r="Z357" s="113">
        <v>0</v>
      </c>
      <c r="AA357" s="113">
        <v>31725860</v>
      </c>
      <c r="AB357" s="113">
        <f t="shared" si="5"/>
        <v>44.447859765725148</v>
      </c>
    </row>
    <row r="358" spans="1:28" ht="15.75" thickBot="1" x14ac:dyDescent="0.3">
      <c r="A358" s="44" t="s">
        <v>1051</v>
      </c>
      <c r="B358" s="107" t="s">
        <v>1052</v>
      </c>
      <c r="C358" s="110" t="s">
        <v>837</v>
      </c>
      <c r="D358" s="110" t="s">
        <v>1885</v>
      </c>
      <c r="E358" s="111" t="s">
        <v>804</v>
      </c>
      <c r="F358" s="111" t="s">
        <v>805</v>
      </c>
      <c r="G358" s="112">
        <v>90112</v>
      </c>
      <c r="H358" s="112">
        <v>90112</v>
      </c>
      <c r="I358" s="113">
        <v>188437</v>
      </c>
      <c r="J358" s="113">
        <v>5636826</v>
      </c>
      <c r="K358" s="114">
        <v>0</v>
      </c>
      <c r="L358" s="113">
        <v>321095</v>
      </c>
      <c r="M358" s="113">
        <v>6146358</v>
      </c>
      <c r="N358" s="113">
        <v>286264</v>
      </c>
      <c r="O358" s="115">
        <v>0</v>
      </c>
      <c r="P358" s="113">
        <v>0</v>
      </c>
      <c r="Q358" s="113">
        <v>0</v>
      </c>
      <c r="R358" s="113">
        <v>0</v>
      </c>
      <c r="S358" s="113">
        <v>0</v>
      </c>
      <c r="T358" s="113">
        <v>0</v>
      </c>
      <c r="U358" s="113">
        <v>0</v>
      </c>
      <c r="V358" s="113">
        <v>6146358</v>
      </c>
      <c r="W358" s="113">
        <v>286264</v>
      </c>
      <c r="X358" s="113">
        <v>6432622</v>
      </c>
      <c r="Y358" s="113">
        <v>69047</v>
      </c>
      <c r="Z358" s="113">
        <v>0</v>
      </c>
      <c r="AA358" s="113">
        <v>6501669</v>
      </c>
      <c r="AB358" s="113">
        <f t="shared" si="5"/>
        <v>72.150978781960234</v>
      </c>
    </row>
    <row r="359" spans="1:28" ht="15.75" thickBot="1" x14ac:dyDescent="0.3">
      <c r="A359" s="44" t="s">
        <v>1063</v>
      </c>
      <c r="B359" s="107" t="s">
        <v>1064</v>
      </c>
      <c r="C359" s="110" t="s">
        <v>837</v>
      </c>
      <c r="D359" s="110" t="s">
        <v>2286</v>
      </c>
      <c r="E359" s="111" t="s">
        <v>804</v>
      </c>
      <c r="F359" s="111" t="s">
        <v>805</v>
      </c>
      <c r="G359" s="112">
        <v>102434</v>
      </c>
      <c r="H359" s="112">
        <v>102434</v>
      </c>
      <c r="I359" s="113">
        <v>91347</v>
      </c>
      <c r="J359" s="113">
        <v>2847243</v>
      </c>
      <c r="K359" s="113">
        <v>0</v>
      </c>
      <c r="L359" s="113">
        <v>0</v>
      </c>
      <c r="M359" s="113">
        <v>2938590</v>
      </c>
      <c r="N359" s="113">
        <v>626929</v>
      </c>
      <c r="O359" s="115">
        <v>0</v>
      </c>
      <c r="P359" s="114">
        <v>0</v>
      </c>
      <c r="Q359" s="114">
        <v>0</v>
      </c>
      <c r="R359" s="114">
        <v>0</v>
      </c>
      <c r="S359" s="114">
        <v>0</v>
      </c>
      <c r="T359" s="114">
        <v>0</v>
      </c>
      <c r="U359" s="114">
        <v>0</v>
      </c>
      <c r="V359" s="113">
        <v>2938590</v>
      </c>
      <c r="W359" s="113">
        <v>626929</v>
      </c>
      <c r="X359" s="113">
        <v>3565519</v>
      </c>
      <c r="Y359" s="113">
        <v>331141</v>
      </c>
      <c r="Z359" s="113">
        <v>0</v>
      </c>
      <c r="AA359" s="113">
        <v>3896660</v>
      </c>
      <c r="AB359" s="113">
        <f t="shared" si="5"/>
        <v>38.04068961477634</v>
      </c>
    </row>
    <row r="360" spans="1:28" ht="15.75" thickBot="1" x14ac:dyDescent="0.3">
      <c r="A360" s="44" t="s">
        <v>1089</v>
      </c>
      <c r="B360" s="107" t="s">
        <v>1090</v>
      </c>
      <c r="C360" s="110" t="s">
        <v>837</v>
      </c>
      <c r="D360" s="110" t="s">
        <v>2286</v>
      </c>
      <c r="E360" s="111" t="s">
        <v>799</v>
      </c>
      <c r="F360" s="111" t="s">
        <v>800</v>
      </c>
      <c r="G360" s="112">
        <v>332567</v>
      </c>
      <c r="H360" s="112">
        <v>323366</v>
      </c>
      <c r="I360" s="113">
        <v>358118</v>
      </c>
      <c r="J360" s="113">
        <v>8217427</v>
      </c>
      <c r="K360" s="113">
        <v>0</v>
      </c>
      <c r="L360" s="113">
        <v>0</v>
      </c>
      <c r="M360" s="113">
        <v>8575545</v>
      </c>
      <c r="N360" s="113">
        <v>453987</v>
      </c>
      <c r="O360" s="116">
        <v>9201</v>
      </c>
      <c r="P360" s="113">
        <v>25585</v>
      </c>
      <c r="Q360" s="113">
        <v>0</v>
      </c>
      <c r="R360" s="113">
        <v>0</v>
      </c>
      <c r="S360" s="113">
        <v>0</v>
      </c>
      <c r="T360" s="113">
        <v>25585</v>
      </c>
      <c r="U360" s="113">
        <v>0</v>
      </c>
      <c r="V360" s="113">
        <v>8601130</v>
      </c>
      <c r="W360" s="113">
        <v>453987</v>
      </c>
      <c r="X360" s="113">
        <v>9055117</v>
      </c>
      <c r="Y360" s="113">
        <v>284952</v>
      </c>
      <c r="Z360" s="113">
        <v>0</v>
      </c>
      <c r="AA360" s="113">
        <v>9340069</v>
      </c>
      <c r="AB360" s="113">
        <f t="shared" si="5"/>
        <v>28.08477389518503</v>
      </c>
    </row>
    <row r="361" spans="1:28" ht="15.75" thickBot="1" x14ac:dyDescent="0.3">
      <c r="A361" s="44" t="s">
        <v>1103</v>
      </c>
      <c r="B361" s="107" t="s">
        <v>1104</v>
      </c>
      <c r="C361" s="110" t="s">
        <v>837</v>
      </c>
      <c r="D361" s="110" t="s">
        <v>2140</v>
      </c>
      <c r="E361" s="111" t="s">
        <v>804</v>
      </c>
      <c r="F361" s="111" t="s">
        <v>805</v>
      </c>
      <c r="G361" s="112">
        <v>76707</v>
      </c>
      <c r="H361" s="112">
        <v>41863</v>
      </c>
      <c r="I361" s="113">
        <v>68368</v>
      </c>
      <c r="J361" s="113">
        <v>0</v>
      </c>
      <c r="K361" s="113">
        <v>2084870</v>
      </c>
      <c r="L361" s="113">
        <v>1449500</v>
      </c>
      <c r="M361" s="113">
        <v>3602738</v>
      </c>
      <c r="N361" s="113">
        <v>591702</v>
      </c>
      <c r="O361" s="116">
        <v>34844</v>
      </c>
      <c r="P361" s="113">
        <v>56468</v>
      </c>
      <c r="Q361" s="113">
        <v>0</v>
      </c>
      <c r="R361" s="113">
        <v>0</v>
      </c>
      <c r="S361" s="113">
        <v>242179</v>
      </c>
      <c r="T361" s="113">
        <v>298647</v>
      </c>
      <c r="U361" s="113">
        <v>0</v>
      </c>
      <c r="V361" s="113">
        <v>3901385</v>
      </c>
      <c r="W361" s="113">
        <v>591702</v>
      </c>
      <c r="X361" s="113">
        <v>4493087</v>
      </c>
      <c r="Y361" s="113">
        <v>58775</v>
      </c>
      <c r="Z361" s="113">
        <v>0</v>
      </c>
      <c r="AA361" s="113">
        <v>4551862</v>
      </c>
      <c r="AB361" s="113">
        <f t="shared" si="5"/>
        <v>59.340894572855149</v>
      </c>
    </row>
    <row r="362" spans="1:28" ht="15.75" thickBot="1" x14ac:dyDescent="0.3">
      <c r="A362" s="44" t="s">
        <v>1107</v>
      </c>
      <c r="B362" s="107" t="s">
        <v>1108</v>
      </c>
      <c r="C362" s="110" t="s">
        <v>837</v>
      </c>
      <c r="D362" s="110" t="s">
        <v>2098</v>
      </c>
      <c r="E362" s="111" t="s">
        <v>804</v>
      </c>
      <c r="F362" s="111" t="s">
        <v>805</v>
      </c>
      <c r="G362" s="112">
        <v>188040</v>
      </c>
      <c r="H362" s="112">
        <v>188040</v>
      </c>
      <c r="I362" s="113">
        <v>395005</v>
      </c>
      <c r="J362" s="113">
        <v>10829391</v>
      </c>
      <c r="K362" s="113">
        <v>0</v>
      </c>
      <c r="L362" s="113">
        <v>0</v>
      </c>
      <c r="M362" s="113">
        <v>11224396</v>
      </c>
      <c r="N362" s="113">
        <v>522441</v>
      </c>
      <c r="O362" s="115">
        <v>0</v>
      </c>
      <c r="P362" s="114">
        <v>0</v>
      </c>
      <c r="Q362" s="114">
        <v>0</v>
      </c>
      <c r="R362" s="114">
        <v>0</v>
      </c>
      <c r="S362" s="114">
        <v>0</v>
      </c>
      <c r="T362" s="114">
        <v>0</v>
      </c>
      <c r="U362" s="114">
        <v>0</v>
      </c>
      <c r="V362" s="113">
        <v>11224396</v>
      </c>
      <c r="W362" s="113">
        <v>522441</v>
      </c>
      <c r="X362" s="113">
        <v>11746837</v>
      </c>
      <c r="Y362" s="113">
        <v>74631</v>
      </c>
      <c r="Z362" s="113">
        <v>0</v>
      </c>
      <c r="AA362" s="113">
        <v>11821468</v>
      </c>
      <c r="AB362" s="113">
        <f t="shared" si="5"/>
        <v>62.866773027015526</v>
      </c>
    </row>
    <row r="363" spans="1:28" ht="15.75" thickBot="1" x14ac:dyDescent="0.3">
      <c r="A363" s="44" t="s">
        <v>1111</v>
      </c>
      <c r="B363" s="107" t="s">
        <v>1112</v>
      </c>
      <c r="C363" s="110" t="s">
        <v>837</v>
      </c>
      <c r="D363" s="110" t="s">
        <v>1925</v>
      </c>
      <c r="E363" s="111" t="s">
        <v>804</v>
      </c>
      <c r="F363" s="111" t="s">
        <v>805</v>
      </c>
      <c r="G363" s="112">
        <v>51133</v>
      </c>
      <c r="H363" s="112">
        <v>51133</v>
      </c>
      <c r="I363" s="113">
        <v>39921</v>
      </c>
      <c r="J363" s="113">
        <v>6181421</v>
      </c>
      <c r="K363" s="113">
        <v>0</v>
      </c>
      <c r="L363" s="113">
        <v>218048</v>
      </c>
      <c r="M363" s="113">
        <v>6439390</v>
      </c>
      <c r="N363" s="113">
        <v>314218</v>
      </c>
      <c r="O363" s="115">
        <v>0</v>
      </c>
      <c r="P363" s="114">
        <v>0</v>
      </c>
      <c r="Q363" s="114">
        <v>0</v>
      </c>
      <c r="R363" s="114">
        <v>0</v>
      </c>
      <c r="S363" s="114">
        <v>0</v>
      </c>
      <c r="T363" s="114">
        <v>0</v>
      </c>
      <c r="U363" s="114">
        <v>0</v>
      </c>
      <c r="V363" s="113">
        <v>6439390</v>
      </c>
      <c r="W363" s="113">
        <v>314218</v>
      </c>
      <c r="X363" s="113">
        <v>6753608</v>
      </c>
      <c r="Y363" s="113">
        <v>28700</v>
      </c>
      <c r="Z363" s="113">
        <v>0</v>
      </c>
      <c r="AA363" s="113">
        <v>6782308</v>
      </c>
      <c r="AB363" s="113">
        <f t="shared" si="5"/>
        <v>132.64052568791192</v>
      </c>
    </row>
    <row r="364" spans="1:28" ht="15.75" thickBot="1" x14ac:dyDescent="0.3">
      <c r="A364" s="44" t="s">
        <v>1137</v>
      </c>
      <c r="B364" s="107" t="s">
        <v>1138</v>
      </c>
      <c r="C364" s="110" t="s">
        <v>837</v>
      </c>
      <c r="D364" s="110" t="s">
        <v>1926</v>
      </c>
      <c r="E364" s="111" t="s">
        <v>804</v>
      </c>
      <c r="F364" s="111" t="s">
        <v>805</v>
      </c>
      <c r="G364" s="112">
        <v>102423</v>
      </c>
      <c r="H364" s="112">
        <v>91994</v>
      </c>
      <c r="I364" s="113">
        <v>318956</v>
      </c>
      <c r="J364" s="113">
        <v>5560374</v>
      </c>
      <c r="K364" s="114">
        <v>0</v>
      </c>
      <c r="L364" s="113">
        <v>246434</v>
      </c>
      <c r="M364" s="113">
        <v>6125764</v>
      </c>
      <c r="N364" s="114">
        <v>0</v>
      </c>
      <c r="O364" s="116">
        <v>10429</v>
      </c>
      <c r="P364" s="113">
        <v>56687</v>
      </c>
      <c r="Q364" s="114">
        <v>0</v>
      </c>
      <c r="R364" s="114">
        <v>0</v>
      </c>
      <c r="S364" s="113">
        <v>97701</v>
      </c>
      <c r="T364" s="113">
        <v>154388</v>
      </c>
      <c r="U364" s="114">
        <v>0</v>
      </c>
      <c r="V364" s="113">
        <v>6280152</v>
      </c>
      <c r="W364" s="114">
        <v>0</v>
      </c>
      <c r="X364" s="113">
        <v>6280152</v>
      </c>
      <c r="Y364" s="113">
        <v>288311</v>
      </c>
      <c r="Z364" s="113">
        <v>25911</v>
      </c>
      <c r="AA364" s="113">
        <v>6594374</v>
      </c>
      <c r="AB364" s="113">
        <f t="shared" si="5"/>
        <v>64.38372240610019</v>
      </c>
    </row>
    <row r="365" spans="1:28" ht="15.75" thickBot="1" x14ac:dyDescent="0.3">
      <c r="A365" s="44" t="s">
        <v>1159</v>
      </c>
      <c r="B365" s="107" t="s">
        <v>1160</v>
      </c>
      <c r="C365" s="110" t="s">
        <v>837</v>
      </c>
      <c r="D365" s="110" t="s">
        <v>2052</v>
      </c>
      <c r="E365" s="111" t="s">
        <v>804</v>
      </c>
      <c r="F365" s="111" t="s">
        <v>805</v>
      </c>
      <c r="G365" s="112">
        <v>52529</v>
      </c>
      <c r="H365" s="112">
        <v>52529</v>
      </c>
      <c r="I365" s="113">
        <v>108623</v>
      </c>
      <c r="J365" s="113">
        <v>2652517</v>
      </c>
      <c r="K365" s="113">
        <v>0</v>
      </c>
      <c r="L365" s="113">
        <v>0</v>
      </c>
      <c r="M365" s="113">
        <v>2761140</v>
      </c>
      <c r="N365" s="113">
        <v>135518</v>
      </c>
      <c r="O365" s="115">
        <v>0</v>
      </c>
      <c r="P365" s="113">
        <v>0</v>
      </c>
      <c r="Q365" s="113">
        <v>0</v>
      </c>
      <c r="R365" s="113">
        <v>0</v>
      </c>
      <c r="S365" s="113">
        <v>0</v>
      </c>
      <c r="T365" s="113">
        <v>0</v>
      </c>
      <c r="U365" s="113">
        <v>0</v>
      </c>
      <c r="V365" s="113">
        <v>2761140</v>
      </c>
      <c r="W365" s="113">
        <v>135518</v>
      </c>
      <c r="X365" s="113">
        <v>2896658</v>
      </c>
      <c r="Y365" s="113">
        <v>42103</v>
      </c>
      <c r="Z365" s="113">
        <v>1997</v>
      </c>
      <c r="AA365" s="113">
        <v>2940758</v>
      </c>
      <c r="AB365" s="113">
        <f t="shared" si="5"/>
        <v>55.983513868529762</v>
      </c>
    </row>
    <row r="366" spans="1:28" ht="15.75" thickBot="1" x14ac:dyDescent="0.3">
      <c r="A366" s="44" t="s">
        <v>1179</v>
      </c>
      <c r="B366" s="107" t="s">
        <v>1180</v>
      </c>
      <c r="C366" s="110" t="s">
        <v>837</v>
      </c>
      <c r="D366" s="110" t="s">
        <v>2439</v>
      </c>
      <c r="E366" s="111" t="s">
        <v>799</v>
      </c>
      <c r="F366" s="111" t="s">
        <v>800</v>
      </c>
      <c r="G366" s="112">
        <v>160248</v>
      </c>
      <c r="H366" s="112">
        <v>160248</v>
      </c>
      <c r="I366" s="113">
        <v>602962</v>
      </c>
      <c r="J366" s="113">
        <v>8003611</v>
      </c>
      <c r="K366" s="113">
        <v>0</v>
      </c>
      <c r="L366" s="113">
        <v>0</v>
      </c>
      <c r="M366" s="113">
        <v>8606573</v>
      </c>
      <c r="N366" s="113">
        <v>405119</v>
      </c>
      <c r="O366" s="115">
        <v>0</v>
      </c>
      <c r="P366" s="114">
        <v>0</v>
      </c>
      <c r="Q366" s="114">
        <v>0</v>
      </c>
      <c r="R366" s="114">
        <v>0</v>
      </c>
      <c r="S366" s="114">
        <v>0</v>
      </c>
      <c r="T366" s="114">
        <v>0</v>
      </c>
      <c r="U366" s="114">
        <v>0</v>
      </c>
      <c r="V366" s="113">
        <v>8606573</v>
      </c>
      <c r="W366" s="113">
        <v>405119</v>
      </c>
      <c r="X366" s="113">
        <v>9011692</v>
      </c>
      <c r="Y366" s="113">
        <v>151303</v>
      </c>
      <c r="Z366" s="113">
        <v>0</v>
      </c>
      <c r="AA366" s="113">
        <v>9162995</v>
      </c>
      <c r="AB366" s="113">
        <f t="shared" si="5"/>
        <v>57.180089611102794</v>
      </c>
    </row>
    <row r="367" spans="1:28" ht="15.75" thickBot="1" x14ac:dyDescent="0.3">
      <c r="A367" s="44" t="s">
        <v>1187</v>
      </c>
      <c r="B367" s="107" t="s">
        <v>1188</v>
      </c>
      <c r="C367" s="110" t="s">
        <v>837</v>
      </c>
      <c r="D367" s="110" t="s">
        <v>1964</v>
      </c>
      <c r="E367" s="111" t="s">
        <v>804</v>
      </c>
      <c r="F367" s="111" t="s">
        <v>805</v>
      </c>
      <c r="G367" s="112">
        <v>116445</v>
      </c>
      <c r="H367" s="112">
        <v>116445</v>
      </c>
      <c r="I367" s="113">
        <v>155261</v>
      </c>
      <c r="J367" s="113">
        <v>11196907</v>
      </c>
      <c r="K367" s="114">
        <v>0</v>
      </c>
      <c r="L367" s="113">
        <v>0</v>
      </c>
      <c r="M367" s="113">
        <v>11352168</v>
      </c>
      <c r="N367" s="113">
        <v>151506</v>
      </c>
      <c r="O367" s="115">
        <v>0</v>
      </c>
      <c r="P367" s="114">
        <v>0</v>
      </c>
      <c r="Q367" s="114">
        <v>0</v>
      </c>
      <c r="R367" s="114">
        <v>0</v>
      </c>
      <c r="S367" s="114">
        <v>0</v>
      </c>
      <c r="T367" s="114">
        <v>0</v>
      </c>
      <c r="U367" s="114">
        <v>0</v>
      </c>
      <c r="V367" s="113">
        <v>11352168</v>
      </c>
      <c r="W367" s="113">
        <v>151506</v>
      </c>
      <c r="X367" s="113">
        <v>11503674</v>
      </c>
      <c r="Y367" s="113">
        <v>466587</v>
      </c>
      <c r="Z367" s="113">
        <v>0</v>
      </c>
      <c r="AA367" s="113">
        <v>11970261</v>
      </c>
      <c r="AB367" s="113">
        <f t="shared" si="5"/>
        <v>102.79755249259307</v>
      </c>
    </row>
    <row r="368" spans="1:28" ht="15.75" thickBot="1" x14ac:dyDescent="0.3">
      <c r="A368" s="44" t="s">
        <v>1191</v>
      </c>
      <c r="B368" s="107" t="s">
        <v>1192</v>
      </c>
      <c r="C368" s="110" t="s">
        <v>837</v>
      </c>
      <c r="D368" s="110" t="s">
        <v>2098</v>
      </c>
      <c r="E368" s="111" t="s">
        <v>799</v>
      </c>
      <c r="F368" s="111" t="s">
        <v>800</v>
      </c>
      <c r="G368" s="112">
        <v>395660</v>
      </c>
      <c r="H368" s="112">
        <v>395660</v>
      </c>
      <c r="I368" s="113">
        <v>831140</v>
      </c>
      <c r="J368" s="113">
        <v>21174459</v>
      </c>
      <c r="K368" s="114">
        <v>0</v>
      </c>
      <c r="L368" s="113">
        <v>13826</v>
      </c>
      <c r="M368" s="113">
        <v>22019425</v>
      </c>
      <c r="N368" s="113">
        <v>1461817</v>
      </c>
      <c r="O368" s="115">
        <v>0</v>
      </c>
      <c r="P368" s="114">
        <v>0</v>
      </c>
      <c r="Q368" s="114">
        <v>0</v>
      </c>
      <c r="R368" s="114">
        <v>0</v>
      </c>
      <c r="S368" s="114">
        <v>0</v>
      </c>
      <c r="T368" s="114">
        <v>0</v>
      </c>
      <c r="U368" s="114">
        <v>0</v>
      </c>
      <c r="V368" s="113">
        <v>22019425</v>
      </c>
      <c r="W368" s="113">
        <v>1461817</v>
      </c>
      <c r="X368" s="113">
        <v>23481242</v>
      </c>
      <c r="Y368" s="113">
        <v>863786</v>
      </c>
      <c r="Z368" s="113">
        <v>0</v>
      </c>
      <c r="AA368" s="113">
        <v>24345028</v>
      </c>
      <c r="AB368" s="113">
        <f t="shared" si="5"/>
        <v>61.530172370216853</v>
      </c>
    </row>
    <row r="369" spans="1:28" ht="15.75" thickBot="1" x14ac:dyDescent="0.3">
      <c r="A369" s="44" t="s">
        <v>1201</v>
      </c>
      <c r="B369" s="107" t="s">
        <v>1202</v>
      </c>
      <c r="C369" s="110" t="s">
        <v>837</v>
      </c>
      <c r="D369" s="110" t="s">
        <v>1936</v>
      </c>
      <c r="E369" s="111" t="s">
        <v>799</v>
      </c>
      <c r="F369" s="111" t="s">
        <v>800</v>
      </c>
      <c r="G369" s="112">
        <v>60006</v>
      </c>
      <c r="H369" s="112">
        <v>60006</v>
      </c>
      <c r="I369" s="113">
        <v>146646</v>
      </c>
      <c r="J369" s="113">
        <v>1602771</v>
      </c>
      <c r="K369" s="114">
        <v>0</v>
      </c>
      <c r="L369" s="114">
        <v>0</v>
      </c>
      <c r="M369" s="113">
        <v>1749417</v>
      </c>
      <c r="N369" s="113">
        <v>139810</v>
      </c>
      <c r="O369" s="115">
        <v>0</v>
      </c>
      <c r="P369" s="114">
        <v>0</v>
      </c>
      <c r="Q369" s="114">
        <v>0</v>
      </c>
      <c r="R369" s="114">
        <v>0</v>
      </c>
      <c r="S369" s="114">
        <v>0</v>
      </c>
      <c r="T369" s="114">
        <v>0</v>
      </c>
      <c r="U369" s="114">
        <v>0</v>
      </c>
      <c r="V369" s="113">
        <v>1749417</v>
      </c>
      <c r="W369" s="113">
        <v>139810</v>
      </c>
      <c r="X369" s="113">
        <v>1889227</v>
      </c>
      <c r="Y369" s="113">
        <v>41705</v>
      </c>
      <c r="Z369" s="113">
        <v>0</v>
      </c>
      <c r="AA369" s="113">
        <v>1930932</v>
      </c>
      <c r="AB369" s="113">
        <f t="shared" si="5"/>
        <v>32.178982101789821</v>
      </c>
    </row>
    <row r="370" spans="1:28" ht="15.75" thickBot="1" x14ac:dyDescent="0.3">
      <c r="A370" s="44" t="s">
        <v>1227</v>
      </c>
      <c r="B370" s="107" t="s">
        <v>1228</v>
      </c>
      <c r="C370" s="110" t="s">
        <v>837</v>
      </c>
      <c r="D370" s="110" t="s">
        <v>1925</v>
      </c>
      <c r="E370" s="111" t="s">
        <v>799</v>
      </c>
      <c r="F370" s="111" t="s">
        <v>800</v>
      </c>
      <c r="G370" s="112">
        <v>96942</v>
      </c>
      <c r="H370" s="112">
        <v>96942</v>
      </c>
      <c r="I370" s="113">
        <v>134992</v>
      </c>
      <c r="J370" s="113">
        <v>3186462</v>
      </c>
      <c r="K370" s="114">
        <v>0</v>
      </c>
      <c r="L370" s="113">
        <v>344069</v>
      </c>
      <c r="M370" s="113">
        <v>3665523</v>
      </c>
      <c r="N370" s="113">
        <v>120351</v>
      </c>
      <c r="O370" s="115">
        <v>0</v>
      </c>
      <c r="P370" s="114">
        <v>0</v>
      </c>
      <c r="Q370" s="114">
        <v>0</v>
      </c>
      <c r="R370" s="114">
        <v>0</v>
      </c>
      <c r="S370" s="114">
        <v>0</v>
      </c>
      <c r="T370" s="114">
        <v>0</v>
      </c>
      <c r="U370" s="114">
        <v>0</v>
      </c>
      <c r="V370" s="113">
        <v>3665523</v>
      </c>
      <c r="W370" s="113">
        <v>120351</v>
      </c>
      <c r="X370" s="113">
        <v>3785874</v>
      </c>
      <c r="Y370" s="113">
        <v>70059</v>
      </c>
      <c r="Z370" s="113">
        <v>0</v>
      </c>
      <c r="AA370" s="113">
        <v>3855933</v>
      </c>
      <c r="AB370" s="113">
        <f t="shared" si="5"/>
        <v>39.775669988240388</v>
      </c>
    </row>
    <row r="371" spans="1:28" ht="15.75" thickBot="1" x14ac:dyDescent="0.3">
      <c r="A371" s="44" t="s">
        <v>1293</v>
      </c>
      <c r="B371" s="107" t="s">
        <v>1294</v>
      </c>
      <c r="C371" s="110" t="s">
        <v>837</v>
      </c>
      <c r="D371" s="110" t="s">
        <v>2544</v>
      </c>
      <c r="E371" s="111" t="s">
        <v>799</v>
      </c>
      <c r="F371" s="111" t="s">
        <v>800</v>
      </c>
      <c r="G371" s="112">
        <v>149955</v>
      </c>
      <c r="H371" s="112">
        <v>149955</v>
      </c>
      <c r="I371" s="113">
        <v>1476313</v>
      </c>
      <c r="J371" s="113">
        <v>6162180</v>
      </c>
      <c r="K371" s="113">
        <v>0</v>
      </c>
      <c r="L371" s="113">
        <v>0</v>
      </c>
      <c r="M371" s="113">
        <v>7638493</v>
      </c>
      <c r="N371" s="113">
        <v>524065</v>
      </c>
      <c r="O371" s="115">
        <v>0</v>
      </c>
      <c r="P371" s="114">
        <v>0</v>
      </c>
      <c r="Q371" s="114">
        <v>0</v>
      </c>
      <c r="R371" s="114">
        <v>0</v>
      </c>
      <c r="S371" s="114">
        <v>0</v>
      </c>
      <c r="T371" s="114">
        <v>0</v>
      </c>
      <c r="U371" s="114">
        <v>0</v>
      </c>
      <c r="V371" s="113">
        <v>7638493</v>
      </c>
      <c r="W371" s="113">
        <v>524065</v>
      </c>
      <c r="X371" s="113">
        <v>8162558</v>
      </c>
      <c r="Y371" s="113">
        <v>109966</v>
      </c>
      <c r="Z371" s="113">
        <v>0</v>
      </c>
      <c r="AA371" s="113">
        <v>8272524</v>
      </c>
      <c r="AB371" s="113">
        <f t="shared" si="5"/>
        <v>55.1667100130039</v>
      </c>
    </row>
    <row r="372" spans="1:28" ht="15.75" thickBot="1" x14ac:dyDescent="0.3">
      <c r="A372" s="44" t="s">
        <v>1307</v>
      </c>
      <c r="B372" s="107" t="s">
        <v>1308</v>
      </c>
      <c r="C372" s="110" t="s">
        <v>837</v>
      </c>
      <c r="D372" s="110" t="s">
        <v>2309</v>
      </c>
      <c r="E372" s="111" t="s">
        <v>799</v>
      </c>
      <c r="F372" s="111" t="s">
        <v>800</v>
      </c>
      <c r="G372" s="112">
        <v>105852</v>
      </c>
      <c r="H372" s="112">
        <v>105852</v>
      </c>
      <c r="I372" s="113">
        <v>185835</v>
      </c>
      <c r="J372" s="113">
        <v>3504496</v>
      </c>
      <c r="K372" s="114">
        <v>0</v>
      </c>
      <c r="L372" s="113">
        <v>568851</v>
      </c>
      <c r="M372" s="113">
        <v>4259182</v>
      </c>
      <c r="N372" s="113">
        <v>113428</v>
      </c>
      <c r="O372" s="115">
        <v>0</v>
      </c>
      <c r="P372" s="114">
        <v>0</v>
      </c>
      <c r="Q372" s="114">
        <v>0</v>
      </c>
      <c r="R372" s="114">
        <v>0</v>
      </c>
      <c r="S372" s="114">
        <v>0</v>
      </c>
      <c r="T372" s="114">
        <v>0</v>
      </c>
      <c r="U372" s="114">
        <v>0</v>
      </c>
      <c r="V372" s="113">
        <v>4259182</v>
      </c>
      <c r="W372" s="113">
        <v>113428</v>
      </c>
      <c r="X372" s="113">
        <v>4372610</v>
      </c>
      <c r="Y372" s="113">
        <v>118697</v>
      </c>
      <c r="Z372" s="113">
        <v>0</v>
      </c>
      <c r="AA372" s="113">
        <v>4491307</v>
      </c>
      <c r="AB372" s="113">
        <f t="shared" si="5"/>
        <v>42.43006272909345</v>
      </c>
    </row>
    <row r="373" spans="1:28" ht="15.75" thickBot="1" x14ac:dyDescent="0.3">
      <c r="A373" s="44" t="s">
        <v>1327</v>
      </c>
      <c r="B373" s="107" t="s">
        <v>1328</v>
      </c>
      <c r="C373" s="110" t="s">
        <v>837</v>
      </c>
      <c r="D373" s="110" t="s">
        <v>1885</v>
      </c>
      <c r="E373" s="111" t="s">
        <v>804</v>
      </c>
      <c r="F373" s="111" t="s">
        <v>805</v>
      </c>
      <c r="G373" s="112">
        <v>55374</v>
      </c>
      <c r="H373" s="112">
        <v>55224</v>
      </c>
      <c r="I373" s="113">
        <v>115795</v>
      </c>
      <c r="J373" s="113">
        <v>0</v>
      </c>
      <c r="K373" s="113">
        <v>2720299</v>
      </c>
      <c r="L373" s="113">
        <v>0</v>
      </c>
      <c r="M373" s="113">
        <v>2836094</v>
      </c>
      <c r="N373" s="113">
        <v>245891</v>
      </c>
      <c r="O373" s="116">
        <v>150</v>
      </c>
      <c r="P373" s="113">
        <v>0</v>
      </c>
      <c r="Q373" s="113">
        <v>0</v>
      </c>
      <c r="R373" s="113">
        <v>6342</v>
      </c>
      <c r="S373" s="113">
        <v>0</v>
      </c>
      <c r="T373" s="113">
        <v>6342</v>
      </c>
      <c r="U373" s="113">
        <v>0</v>
      </c>
      <c r="V373" s="113">
        <v>2842436</v>
      </c>
      <c r="W373" s="113">
        <v>245891</v>
      </c>
      <c r="X373" s="113">
        <v>3088327</v>
      </c>
      <c r="Y373" s="113">
        <v>42429</v>
      </c>
      <c r="Z373" s="113">
        <v>0</v>
      </c>
      <c r="AA373" s="113">
        <v>3130756</v>
      </c>
      <c r="AB373" s="113">
        <f t="shared" si="5"/>
        <v>56.538375410842633</v>
      </c>
    </row>
    <row r="374" spans="1:28" ht="15.75" thickBot="1" x14ac:dyDescent="0.3">
      <c r="A374" s="44" t="s">
        <v>1375</v>
      </c>
      <c r="B374" s="107" t="s">
        <v>1376</v>
      </c>
      <c r="C374" s="110" t="s">
        <v>837</v>
      </c>
      <c r="D374" s="110" t="s">
        <v>1885</v>
      </c>
      <c r="E374" s="111" t="s">
        <v>804</v>
      </c>
      <c r="F374" s="111" t="s">
        <v>805</v>
      </c>
      <c r="G374" s="112">
        <v>59515</v>
      </c>
      <c r="H374" s="112">
        <v>59515</v>
      </c>
      <c r="I374" s="113">
        <v>127119</v>
      </c>
      <c r="J374" s="113">
        <v>654709</v>
      </c>
      <c r="K374" s="114">
        <v>0</v>
      </c>
      <c r="L374" s="113">
        <v>7393</v>
      </c>
      <c r="M374" s="113">
        <v>789221</v>
      </c>
      <c r="N374" s="113">
        <v>71490</v>
      </c>
      <c r="O374" s="115">
        <v>0</v>
      </c>
      <c r="P374" s="113">
        <v>0</v>
      </c>
      <c r="Q374" s="113">
        <v>0</v>
      </c>
      <c r="R374" s="113">
        <v>0</v>
      </c>
      <c r="S374" s="113">
        <v>0</v>
      </c>
      <c r="T374" s="113">
        <v>0</v>
      </c>
      <c r="U374" s="113">
        <v>0</v>
      </c>
      <c r="V374" s="113">
        <v>789221</v>
      </c>
      <c r="W374" s="113">
        <v>71490</v>
      </c>
      <c r="X374" s="113">
        <v>860711</v>
      </c>
      <c r="Y374" s="113">
        <v>33454</v>
      </c>
      <c r="Z374" s="113">
        <v>7393</v>
      </c>
      <c r="AA374" s="113">
        <v>901558</v>
      </c>
      <c r="AB374" s="113">
        <f t="shared" si="5"/>
        <v>15.148416365622111</v>
      </c>
    </row>
    <row r="375" spans="1:28" ht="15.75" thickBot="1" x14ac:dyDescent="0.3">
      <c r="A375" s="44" t="s">
        <v>1379</v>
      </c>
      <c r="B375" s="107" t="s">
        <v>1380</v>
      </c>
      <c r="C375" s="110" t="s">
        <v>837</v>
      </c>
      <c r="D375" s="110" t="s">
        <v>1964</v>
      </c>
      <c r="E375" s="111" t="s">
        <v>799</v>
      </c>
      <c r="F375" s="111" t="s">
        <v>800</v>
      </c>
      <c r="G375" s="112">
        <v>52170</v>
      </c>
      <c r="H375" s="112">
        <v>52170</v>
      </c>
      <c r="I375" s="113">
        <v>62655</v>
      </c>
      <c r="J375" s="113">
        <v>3363474</v>
      </c>
      <c r="K375" s="113">
        <v>0</v>
      </c>
      <c r="L375" s="113">
        <v>0</v>
      </c>
      <c r="M375" s="113">
        <v>3426129</v>
      </c>
      <c r="N375" s="113">
        <v>1048500</v>
      </c>
      <c r="O375" s="115">
        <v>0</v>
      </c>
      <c r="P375" s="114">
        <v>0</v>
      </c>
      <c r="Q375" s="114">
        <v>0</v>
      </c>
      <c r="R375" s="114">
        <v>0</v>
      </c>
      <c r="S375" s="114">
        <v>0</v>
      </c>
      <c r="T375" s="114">
        <v>0</v>
      </c>
      <c r="U375" s="114">
        <v>0</v>
      </c>
      <c r="V375" s="113">
        <v>3426129</v>
      </c>
      <c r="W375" s="113">
        <v>1048500</v>
      </c>
      <c r="X375" s="113">
        <v>4474629</v>
      </c>
      <c r="Y375" s="113">
        <v>38258</v>
      </c>
      <c r="Z375" s="113">
        <v>0</v>
      </c>
      <c r="AA375" s="113">
        <v>4512887</v>
      </c>
      <c r="AB375" s="113">
        <f t="shared" si="5"/>
        <v>86.503488594977952</v>
      </c>
    </row>
    <row r="376" spans="1:28" ht="15.75" thickBot="1" x14ac:dyDescent="0.3">
      <c r="A376" s="44" t="s">
        <v>1389</v>
      </c>
      <c r="B376" s="107" t="s">
        <v>1390</v>
      </c>
      <c r="C376" s="110" t="s">
        <v>837</v>
      </c>
      <c r="D376" s="110" t="s">
        <v>2043</v>
      </c>
      <c r="E376" s="111" t="s">
        <v>804</v>
      </c>
      <c r="F376" s="111" t="s">
        <v>805</v>
      </c>
      <c r="G376" s="112">
        <v>124690</v>
      </c>
      <c r="H376" s="112">
        <v>57737</v>
      </c>
      <c r="I376" s="113">
        <v>141408</v>
      </c>
      <c r="J376" s="113">
        <v>2363815</v>
      </c>
      <c r="K376" s="113">
        <v>0</v>
      </c>
      <c r="L376" s="113">
        <v>0</v>
      </c>
      <c r="M376" s="113">
        <v>2505223</v>
      </c>
      <c r="N376" s="113">
        <v>87897</v>
      </c>
      <c r="O376" s="116">
        <v>66953</v>
      </c>
      <c r="P376" s="113">
        <v>164010</v>
      </c>
      <c r="Q376" s="113">
        <v>0</v>
      </c>
      <c r="R376" s="113">
        <v>0</v>
      </c>
      <c r="S376" s="113">
        <v>700000</v>
      </c>
      <c r="T376" s="113">
        <v>864010</v>
      </c>
      <c r="U376" s="113">
        <v>24428</v>
      </c>
      <c r="V376" s="113">
        <v>3369233</v>
      </c>
      <c r="W376" s="113">
        <v>112325</v>
      </c>
      <c r="X376" s="113">
        <v>3481558</v>
      </c>
      <c r="Y376" s="113">
        <v>112555</v>
      </c>
      <c r="Z376" s="113">
        <v>0</v>
      </c>
      <c r="AA376" s="113">
        <v>3594113</v>
      </c>
      <c r="AB376" s="113">
        <f t="shared" si="5"/>
        <v>28.824388483438927</v>
      </c>
    </row>
    <row r="377" spans="1:28" ht="15.75" thickBot="1" x14ac:dyDescent="0.3">
      <c r="A377" s="44" t="s">
        <v>1423</v>
      </c>
      <c r="B377" s="107" t="s">
        <v>1424</v>
      </c>
      <c r="C377" s="110" t="s">
        <v>837</v>
      </c>
      <c r="D377" s="110" t="s">
        <v>1885</v>
      </c>
      <c r="E377" s="111" t="s">
        <v>799</v>
      </c>
      <c r="F377" s="111" t="s">
        <v>800</v>
      </c>
      <c r="G377" s="112">
        <v>100485</v>
      </c>
      <c r="H377" s="112">
        <v>70995</v>
      </c>
      <c r="I377" s="113">
        <v>147090</v>
      </c>
      <c r="J377" s="113">
        <v>2578992</v>
      </c>
      <c r="K377" s="113">
        <v>0</v>
      </c>
      <c r="L377" s="113">
        <v>139112</v>
      </c>
      <c r="M377" s="113">
        <v>2865194</v>
      </c>
      <c r="N377" s="113">
        <v>291080</v>
      </c>
      <c r="O377" s="116">
        <v>29490</v>
      </c>
      <c r="P377" s="113">
        <v>63038</v>
      </c>
      <c r="Q377" s="113">
        <v>775945</v>
      </c>
      <c r="R377" s="113">
        <v>464031</v>
      </c>
      <c r="S377" s="113">
        <v>0</v>
      </c>
      <c r="T377" s="113">
        <v>1303014</v>
      </c>
      <c r="U377" s="113">
        <v>0</v>
      </c>
      <c r="V377" s="113">
        <v>4168208</v>
      </c>
      <c r="W377" s="113">
        <v>291080</v>
      </c>
      <c r="X377" s="113">
        <v>4459288</v>
      </c>
      <c r="Y377" s="113">
        <v>115026</v>
      </c>
      <c r="Z377" s="113">
        <v>0</v>
      </c>
      <c r="AA377" s="113">
        <v>4574314</v>
      </c>
      <c r="AB377" s="113">
        <f t="shared" si="5"/>
        <v>45.522356570632432</v>
      </c>
    </row>
    <row r="378" spans="1:28" ht="15.75" thickBot="1" x14ac:dyDescent="0.3">
      <c r="A378" s="44" t="s">
        <v>1433</v>
      </c>
      <c r="B378" s="107" t="s">
        <v>1434</v>
      </c>
      <c r="C378" s="110" t="s">
        <v>837</v>
      </c>
      <c r="D378" s="110" t="s">
        <v>1885</v>
      </c>
      <c r="E378" s="111" t="s">
        <v>804</v>
      </c>
      <c r="F378" s="111" t="s">
        <v>805</v>
      </c>
      <c r="G378" s="112">
        <v>57236</v>
      </c>
      <c r="H378" s="112">
        <v>57236</v>
      </c>
      <c r="I378" s="113">
        <v>119688</v>
      </c>
      <c r="J378" s="113">
        <v>2329221</v>
      </c>
      <c r="K378" s="113">
        <v>0</v>
      </c>
      <c r="L378" s="113">
        <v>0</v>
      </c>
      <c r="M378" s="113">
        <v>2448909</v>
      </c>
      <c r="N378" s="113">
        <v>69034</v>
      </c>
      <c r="O378" s="115">
        <v>0</v>
      </c>
      <c r="P378" s="114">
        <v>0</v>
      </c>
      <c r="Q378" s="114">
        <v>0</v>
      </c>
      <c r="R378" s="114">
        <v>0</v>
      </c>
      <c r="S378" s="114">
        <v>0</v>
      </c>
      <c r="T378" s="114">
        <v>0</v>
      </c>
      <c r="U378" s="114">
        <v>0</v>
      </c>
      <c r="V378" s="113">
        <v>2448909</v>
      </c>
      <c r="W378" s="113">
        <v>69034</v>
      </c>
      <c r="X378" s="113">
        <v>2517943</v>
      </c>
      <c r="Y378" s="113">
        <v>43855</v>
      </c>
      <c r="Z378" s="113">
        <v>0</v>
      </c>
      <c r="AA378" s="113">
        <v>2561798</v>
      </c>
      <c r="AB378" s="113">
        <f t="shared" si="5"/>
        <v>44.75850863093158</v>
      </c>
    </row>
    <row r="379" spans="1:28" ht="15.75" thickBot="1" x14ac:dyDescent="0.3">
      <c r="A379" s="44" t="s">
        <v>1439</v>
      </c>
      <c r="B379" s="107" t="s">
        <v>1440</v>
      </c>
      <c r="C379" s="110" t="s">
        <v>837</v>
      </c>
      <c r="D379" s="110" t="s">
        <v>2740</v>
      </c>
      <c r="E379" s="111" t="s">
        <v>799</v>
      </c>
      <c r="F379" s="111" t="s">
        <v>800</v>
      </c>
      <c r="G379" s="112">
        <v>160312</v>
      </c>
      <c r="H379" s="112">
        <v>158267</v>
      </c>
      <c r="I379" s="113">
        <v>426886</v>
      </c>
      <c r="J379" s="113">
        <v>4056202</v>
      </c>
      <c r="K379" s="113">
        <v>8000</v>
      </c>
      <c r="L379" s="113">
        <v>12269</v>
      </c>
      <c r="M379" s="113">
        <v>4503357</v>
      </c>
      <c r="N379" s="113">
        <v>237706</v>
      </c>
      <c r="O379" s="116">
        <v>2045</v>
      </c>
      <c r="P379" s="113">
        <v>1771</v>
      </c>
      <c r="Q379" s="113">
        <v>0</v>
      </c>
      <c r="R379" s="113">
        <v>0</v>
      </c>
      <c r="S379" s="113">
        <v>0</v>
      </c>
      <c r="T379" s="113">
        <v>1771</v>
      </c>
      <c r="U379" s="113">
        <v>0</v>
      </c>
      <c r="V379" s="113">
        <v>4505128</v>
      </c>
      <c r="W379" s="113">
        <v>237706</v>
      </c>
      <c r="X379" s="113">
        <v>4742834</v>
      </c>
      <c r="Y379" s="113">
        <v>158634</v>
      </c>
      <c r="Z379" s="113">
        <v>0</v>
      </c>
      <c r="AA379" s="113">
        <v>4901468</v>
      </c>
      <c r="AB379" s="113">
        <f t="shared" si="5"/>
        <v>30.574554618493938</v>
      </c>
    </row>
    <row r="380" spans="1:28" ht="15.75" thickBot="1" x14ac:dyDescent="0.3">
      <c r="A380" s="44" t="s">
        <v>1441</v>
      </c>
      <c r="B380" s="107" t="s">
        <v>1442</v>
      </c>
      <c r="C380" s="110" t="s">
        <v>837</v>
      </c>
      <c r="D380" s="110" t="s">
        <v>1952</v>
      </c>
      <c r="E380" s="111" t="s">
        <v>804</v>
      </c>
      <c r="F380" s="111" t="s">
        <v>805</v>
      </c>
      <c r="G380" s="112">
        <v>59715</v>
      </c>
      <c r="H380" s="112">
        <v>59715</v>
      </c>
      <c r="I380" s="113">
        <v>61942</v>
      </c>
      <c r="J380" s="113">
        <v>0</v>
      </c>
      <c r="K380" s="113">
        <v>1341126</v>
      </c>
      <c r="L380" s="113">
        <v>0</v>
      </c>
      <c r="M380" s="113">
        <v>1403068</v>
      </c>
      <c r="N380" s="113">
        <v>58504</v>
      </c>
      <c r="O380" s="115">
        <v>0</v>
      </c>
      <c r="P380" s="113">
        <v>0</v>
      </c>
      <c r="Q380" s="113">
        <v>0</v>
      </c>
      <c r="R380" s="113">
        <v>0</v>
      </c>
      <c r="S380" s="113">
        <v>0</v>
      </c>
      <c r="T380" s="113">
        <v>0</v>
      </c>
      <c r="U380" s="113">
        <v>0</v>
      </c>
      <c r="V380" s="113">
        <v>1403068</v>
      </c>
      <c r="W380" s="113">
        <v>58504</v>
      </c>
      <c r="X380" s="113">
        <v>1461572</v>
      </c>
      <c r="Y380" s="113">
        <v>47863</v>
      </c>
      <c r="Z380" s="113">
        <v>0</v>
      </c>
      <c r="AA380" s="113">
        <v>1509435</v>
      </c>
      <c r="AB380" s="113">
        <f t="shared" si="5"/>
        <v>25.277317256970612</v>
      </c>
    </row>
    <row r="381" spans="1:28" ht="15.75" thickBot="1" x14ac:dyDescent="0.3">
      <c r="A381" s="44" t="s">
        <v>1470</v>
      </c>
      <c r="B381" s="107" t="s">
        <v>1471</v>
      </c>
      <c r="C381" s="110" t="s">
        <v>837</v>
      </c>
      <c r="D381" s="110" t="s">
        <v>1952</v>
      </c>
      <c r="E381" s="111" t="s">
        <v>799</v>
      </c>
      <c r="F381" s="111" t="s">
        <v>800</v>
      </c>
      <c r="G381" s="112">
        <v>73804</v>
      </c>
      <c r="H381" s="112">
        <v>73804</v>
      </c>
      <c r="I381" s="113">
        <v>63910</v>
      </c>
      <c r="J381" s="113">
        <v>0</v>
      </c>
      <c r="K381" s="113">
        <v>1067860</v>
      </c>
      <c r="L381" s="113">
        <v>0</v>
      </c>
      <c r="M381" s="113">
        <v>1131770</v>
      </c>
      <c r="N381" s="113">
        <v>30829</v>
      </c>
      <c r="O381" s="115">
        <v>0</v>
      </c>
      <c r="P381" s="114">
        <v>0</v>
      </c>
      <c r="Q381" s="114">
        <v>0</v>
      </c>
      <c r="R381" s="114">
        <v>0</v>
      </c>
      <c r="S381" s="114">
        <v>0</v>
      </c>
      <c r="T381" s="114">
        <v>0</v>
      </c>
      <c r="U381" s="114">
        <v>0</v>
      </c>
      <c r="V381" s="113">
        <v>1131770</v>
      </c>
      <c r="W381" s="113">
        <v>30829</v>
      </c>
      <c r="X381" s="113">
        <v>1162599</v>
      </c>
      <c r="Y381" s="113">
        <v>54122</v>
      </c>
      <c r="Z381" s="113">
        <v>0</v>
      </c>
      <c r="AA381" s="113">
        <v>1216721</v>
      </c>
      <c r="AB381" s="113">
        <f t="shared" si="5"/>
        <v>16.48584087583329</v>
      </c>
    </row>
    <row r="382" spans="1:28" ht="15.75" thickBot="1" x14ac:dyDescent="0.3">
      <c r="A382" s="44" t="s">
        <v>1482</v>
      </c>
      <c r="B382" s="107" t="s">
        <v>1483</v>
      </c>
      <c r="C382" s="110" t="s">
        <v>837</v>
      </c>
      <c r="D382" s="110" t="s">
        <v>1885</v>
      </c>
      <c r="E382" s="111" t="s">
        <v>804</v>
      </c>
      <c r="F382" s="111" t="s">
        <v>805</v>
      </c>
      <c r="G382" s="112">
        <v>75814</v>
      </c>
      <c r="H382" s="112">
        <v>71739</v>
      </c>
      <c r="I382" s="113">
        <v>163447</v>
      </c>
      <c r="J382" s="113">
        <v>7175724</v>
      </c>
      <c r="K382" s="113">
        <v>0</v>
      </c>
      <c r="L382" s="113">
        <v>0</v>
      </c>
      <c r="M382" s="113">
        <v>7339171</v>
      </c>
      <c r="N382" s="113">
        <v>160962</v>
      </c>
      <c r="O382" s="116">
        <v>4075</v>
      </c>
      <c r="P382" s="113">
        <v>0</v>
      </c>
      <c r="Q382" s="113">
        <v>119900</v>
      </c>
      <c r="R382" s="113">
        <v>0</v>
      </c>
      <c r="S382" s="113">
        <v>0</v>
      </c>
      <c r="T382" s="113">
        <v>119900</v>
      </c>
      <c r="U382" s="113">
        <v>0</v>
      </c>
      <c r="V382" s="113">
        <v>7459071</v>
      </c>
      <c r="W382" s="113">
        <v>160962</v>
      </c>
      <c r="X382" s="113">
        <v>7620033</v>
      </c>
      <c r="Y382" s="113">
        <v>49844</v>
      </c>
      <c r="Z382" s="113">
        <v>1966</v>
      </c>
      <c r="AA382" s="113">
        <v>7671843</v>
      </c>
      <c r="AB382" s="113">
        <f t="shared" si="5"/>
        <v>101.19295908407418</v>
      </c>
    </row>
    <row r="383" spans="1:28" ht="15.75" thickBot="1" x14ac:dyDescent="0.3">
      <c r="A383" s="44" t="s">
        <v>1496</v>
      </c>
      <c r="B383" s="107" t="s">
        <v>1497</v>
      </c>
      <c r="C383" s="110" t="s">
        <v>837</v>
      </c>
      <c r="D383" s="110" t="s">
        <v>1952</v>
      </c>
      <c r="E383" s="111" t="s">
        <v>804</v>
      </c>
      <c r="F383" s="111" t="s">
        <v>805</v>
      </c>
      <c r="G383" s="112">
        <v>129699</v>
      </c>
      <c r="H383" s="112">
        <v>129699</v>
      </c>
      <c r="I383" s="113">
        <v>134537</v>
      </c>
      <c r="J383" s="113">
        <v>0</v>
      </c>
      <c r="K383" s="113">
        <v>2369861</v>
      </c>
      <c r="L383" s="113">
        <v>0</v>
      </c>
      <c r="M383" s="113">
        <v>2504398</v>
      </c>
      <c r="N383" s="113">
        <v>107255</v>
      </c>
      <c r="O383" s="115">
        <v>0</v>
      </c>
      <c r="P383" s="114">
        <v>0</v>
      </c>
      <c r="Q383" s="114">
        <v>0</v>
      </c>
      <c r="R383" s="114">
        <v>0</v>
      </c>
      <c r="S383" s="114">
        <v>0</v>
      </c>
      <c r="T383" s="114">
        <v>0</v>
      </c>
      <c r="U383" s="114">
        <v>0</v>
      </c>
      <c r="V383" s="113">
        <v>2504398</v>
      </c>
      <c r="W383" s="113">
        <v>107255</v>
      </c>
      <c r="X383" s="113">
        <v>2611653</v>
      </c>
      <c r="Y383" s="113">
        <v>99379</v>
      </c>
      <c r="Z383" s="113">
        <v>8192</v>
      </c>
      <c r="AA383" s="113">
        <v>2719224</v>
      </c>
      <c r="AB383" s="113">
        <f t="shared" si="5"/>
        <v>20.965651238637154</v>
      </c>
    </row>
    <row r="384" spans="1:28" ht="15.75" thickBot="1" x14ac:dyDescent="0.3">
      <c r="A384" s="44" t="s">
        <v>1512</v>
      </c>
      <c r="B384" s="107" t="s">
        <v>1513</v>
      </c>
      <c r="C384" s="110" t="s">
        <v>837</v>
      </c>
      <c r="D384" s="110" t="s">
        <v>1925</v>
      </c>
      <c r="E384" s="111" t="s">
        <v>804</v>
      </c>
      <c r="F384" s="111" t="s">
        <v>805</v>
      </c>
      <c r="G384" s="112">
        <v>63131</v>
      </c>
      <c r="H384" s="112">
        <v>63131</v>
      </c>
      <c r="I384" s="113">
        <v>178339</v>
      </c>
      <c r="J384" s="113">
        <v>0</v>
      </c>
      <c r="K384" s="113">
        <v>946325</v>
      </c>
      <c r="L384" s="113">
        <v>10191</v>
      </c>
      <c r="M384" s="113">
        <v>1134855</v>
      </c>
      <c r="N384" s="113">
        <v>119200</v>
      </c>
      <c r="O384" s="115">
        <v>0</v>
      </c>
      <c r="P384" s="114">
        <v>0</v>
      </c>
      <c r="Q384" s="114">
        <v>0</v>
      </c>
      <c r="R384" s="114">
        <v>0</v>
      </c>
      <c r="S384" s="114">
        <v>0</v>
      </c>
      <c r="T384" s="114">
        <v>0</v>
      </c>
      <c r="U384" s="114">
        <v>0</v>
      </c>
      <c r="V384" s="113">
        <v>1134855</v>
      </c>
      <c r="W384" s="113">
        <v>119200</v>
      </c>
      <c r="X384" s="113">
        <v>1254055</v>
      </c>
      <c r="Y384" s="113">
        <v>50601</v>
      </c>
      <c r="Z384" s="113">
        <v>4484</v>
      </c>
      <c r="AA384" s="113">
        <v>1309140</v>
      </c>
      <c r="AB384" s="113">
        <f t="shared" si="5"/>
        <v>20.736880454927057</v>
      </c>
    </row>
    <row r="385" spans="1:28" ht="15.75" thickBot="1" x14ac:dyDescent="0.3">
      <c r="A385" s="44" t="s">
        <v>1538</v>
      </c>
      <c r="B385" s="107" t="s">
        <v>1539</v>
      </c>
      <c r="C385" s="110" t="s">
        <v>837</v>
      </c>
      <c r="D385" s="110" t="s">
        <v>2277</v>
      </c>
      <c r="E385" s="111" t="s">
        <v>799</v>
      </c>
      <c r="F385" s="111" t="s">
        <v>800</v>
      </c>
      <c r="G385" s="112">
        <v>97396</v>
      </c>
      <c r="H385" s="112">
        <v>87178</v>
      </c>
      <c r="I385" s="113">
        <v>205607</v>
      </c>
      <c r="J385" s="113">
        <v>4634573</v>
      </c>
      <c r="K385" s="114">
        <v>0</v>
      </c>
      <c r="L385" s="113">
        <v>14126</v>
      </c>
      <c r="M385" s="113">
        <v>4854306</v>
      </c>
      <c r="N385" s="113">
        <v>257142</v>
      </c>
      <c r="O385" s="116">
        <v>10218</v>
      </c>
      <c r="P385" s="113">
        <v>34442</v>
      </c>
      <c r="Q385" s="114">
        <v>0</v>
      </c>
      <c r="R385" s="114">
        <v>0</v>
      </c>
      <c r="S385" s="114">
        <v>0</v>
      </c>
      <c r="T385" s="113">
        <v>34442</v>
      </c>
      <c r="U385" s="114">
        <v>0</v>
      </c>
      <c r="V385" s="113">
        <v>4888748</v>
      </c>
      <c r="W385" s="113">
        <v>257142</v>
      </c>
      <c r="X385" s="113">
        <v>5145890</v>
      </c>
      <c r="Y385" s="113">
        <v>112495</v>
      </c>
      <c r="Z385" s="113">
        <v>0</v>
      </c>
      <c r="AA385" s="113">
        <v>5258385</v>
      </c>
      <c r="AB385" s="113">
        <f t="shared" si="5"/>
        <v>53.989742905252783</v>
      </c>
    </row>
    <row r="386" spans="1:28" ht="15.75" thickBot="1" x14ac:dyDescent="0.3">
      <c r="A386" s="44" t="s">
        <v>1540</v>
      </c>
      <c r="B386" s="107" t="s">
        <v>1541</v>
      </c>
      <c r="C386" s="110" t="s">
        <v>837</v>
      </c>
      <c r="D386" s="110" t="s">
        <v>1925</v>
      </c>
      <c r="E386" s="111" t="s">
        <v>804</v>
      </c>
      <c r="F386" s="111" t="s">
        <v>805</v>
      </c>
      <c r="G386" s="112">
        <v>72726</v>
      </c>
      <c r="H386" s="112">
        <v>18853</v>
      </c>
      <c r="I386" s="113">
        <v>31805</v>
      </c>
      <c r="J386" s="113">
        <v>0</v>
      </c>
      <c r="K386" s="113">
        <v>298939</v>
      </c>
      <c r="L386" s="113">
        <v>38849</v>
      </c>
      <c r="M386" s="113">
        <v>369593</v>
      </c>
      <c r="N386" s="113">
        <v>50748</v>
      </c>
      <c r="O386" s="116">
        <v>53873</v>
      </c>
      <c r="P386" s="113">
        <v>90884</v>
      </c>
      <c r="Q386" s="113">
        <v>119761</v>
      </c>
      <c r="R386" s="113">
        <v>227349</v>
      </c>
      <c r="S386" s="113">
        <v>361</v>
      </c>
      <c r="T386" s="113">
        <v>438355</v>
      </c>
      <c r="U386" s="114">
        <v>0</v>
      </c>
      <c r="V386" s="113">
        <v>807948</v>
      </c>
      <c r="W386" s="113">
        <v>50748</v>
      </c>
      <c r="X386" s="113">
        <v>858696</v>
      </c>
      <c r="Y386" s="113">
        <v>55725</v>
      </c>
      <c r="Z386" s="113">
        <v>0</v>
      </c>
      <c r="AA386" s="113">
        <v>914421</v>
      </c>
      <c r="AB386" s="113">
        <f t="shared" si="5"/>
        <v>12.573508786403762</v>
      </c>
    </row>
    <row r="387" spans="1:28" ht="15.75" thickBot="1" x14ac:dyDescent="0.3">
      <c r="A387" s="44" t="s">
        <v>1542</v>
      </c>
      <c r="B387" s="107" t="s">
        <v>1543</v>
      </c>
      <c r="C387" s="110" t="s">
        <v>837</v>
      </c>
      <c r="D387" s="110" t="s">
        <v>1885</v>
      </c>
      <c r="E387" s="111" t="s">
        <v>804</v>
      </c>
      <c r="F387" s="111" t="s">
        <v>805</v>
      </c>
      <c r="G387" s="112">
        <v>80980</v>
      </c>
      <c r="H387" s="112">
        <v>80980</v>
      </c>
      <c r="I387" s="113">
        <v>172967</v>
      </c>
      <c r="J387" s="113">
        <v>3280407</v>
      </c>
      <c r="K387" s="113">
        <v>0</v>
      </c>
      <c r="L387" s="113">
        <v>0</v>
      </c>
      <c r="M387" s="113">
        <v>3453374</v>
      </c>
      <c r="N387" s="113">
        <v>55893</v>
      </c>
      <c r="O387" s="115">
        <v>0</v>
      </c>
      <c r="P387" s="113">
        <v>0</v>
      </c>
      <c r="Q387" s="113">
        <v>0</v>
      </c>
      <c r="R387" s="113">
        <v>0</v>
      </c>
      <c r="S387" s="113">
        <v>0</v>
      </c>
      <c r="T387" s="113">
        <v>0</v>
      </c>
      <c r="U387" s="113">
        <v>0</v>
      </c>
      <c r="V387" s="113">
        <v>3453374</v>
      </c>
      <c r="W387" s="113">
        <v>55893</v>
      </c>
      <c r="X387" s="113">
        <v>3509267</v>
      </c>
      <c r="Y387" s="113">
        <v>64907</v>
      </c>
      <c r="Z387" s="113">
        <v>0</v>
      </c>
      <c r="AA387" s="113">
        <v>3574174</v>
      </c>
      <c r="AB387" s="113">
        <f t="shared" si="5"/>
        <v>44.136502840207456</v>
      </c>
    </row>
    <row r="388" spans="1:28" ht="15.75" thickBot="1" x14ac:dyDescent="0.3">
      <c r="A388" s="44" t="s">
        <v>1564</v>
      </c>
      <c r="B388" s="107" t="s">
        <v>1565</v>
      </c>
      <c r="C388" s="110" t="s">
        <v>837</v>
      </c>
      <c r="D388" s="110" t="s">
        <v>1952</v>
      </c>
      <c r="E388" s="111" t="s">
        <v>804</v>
      </c>
      <c r="F388" s="111" t="s">
        <v>805</v>
      </c>
      <c r="G388" s="112">
        <v>134056</v>
      </c>
      <c r="H388" s="112">
        <v>134056</v>
      </c>
      <c r="I388" s="113">
        <v>139056</v>
      </c>
      <c r="J388" s="113">
        <v>4248320</v>
      </c>
      <c r="K388" s="114">
        <v>0</v>
      </c>
      <c r="L388" s="113">
        <v>28742</v>
      </c>
      <c r="M388" s="113">
        <v>4416118</v>
      </c>
      <c r="N388" s="113">
        <v>238312</v>
      </c>
      <c r="O388" s="115">
        <v>0</v>
      </c>
      <c r="P388" s="114">
        <v>0</v>
      </c>
      <c r="Q388" s="114">
        <v>0</v>
      </c>
      <c r="R388" s="114">
        <v>0</v>
      </c>
      <c r="S388" s="114">
        <v>0</v>
      </c>
      <c r="T388" s="114">
        <v>0</v>
      </c>
      <c r="U388" s="114">
        <v>0</v>
      </c>
      <c r="V388" s="113">
        <v>4416118</v>
      </c>
      <c r="W388" s="113">
        <v>238312</v>
      </c>
      <c r="X388" s="113">
        <v>4654430</v>
      </c>
      <c r="Y388" s="113">
        <v>493120</v>
      </c>
      <c r="Z388" s="113">
        <v>3925</v>
      </c>
      <c r="AA388" s="113">
        <v>5151475</v>
      </c>
      <c r="AB388" s="113">
        <f t="shared" ref="AB388:AB393" si="6">AA388/G388</f>
        <v>38.427783911201288</v>
      </c>
    </row>
    <row r="389" spans="1:28" ht="15.75" thickBot="1" x14ac:dyDescent="0.3">
      <c r="A389" s="44" t="s">
        <v>1566</v>
      </c>
      <c r="B389" s="107" t="s">
        <v>1567</v>
      </c>
      <c r="C389" s="110" t="s">
        <v>837</v>
      </c>
      <c r="D389" s="110" t="s">
        <v>1885</v>
      </c>
      <c r="E389" s="111" t="s">
        <v>799</v>
      </c>
      <c r="F389" s="111" t="s">
        <v>800</v>
      </c>
      <c r="G389" s="112">
        <v>71997</v>
      </c>
      <c r="H389" s="112">
        <v>71707</v>
      </c>
      <c r="I389" s="113">
        <v>150556</v>
      </c>
      <c r="J389" s="113">
        <v>1824116</v>
      </c>
      <c r="K389" s="113">
        <v>0</v>
      </c>
      <c r="L389" s="113">
        <v>20071</v>
      </c>
      <c r="M389" s="113">
        <v>1994743</v>
      </c>
      <c r="N389" s="113">
        <v>55107</v>
      </c>
      <c r="O389" s="116">
        <v>290</v>
      </c>
      <c r="P389" s="113">
        <v>0</v>
      </c>
      <c r="Q389" s="113">
        <v>0</v>
      </c>
      <c r="R389" s="113">
        <v>0</v>
      </c>
      <c r="S389" s="113">
        <v>0</v>
      </c>
      <c r="T389" s="113">
        <v>0</v>
      </c>
      <c r="U389" s="113">
        <v>0</v>
      </c>
      <c r="V389" s="113">
        <v>1994743</v>
      </c>
      <c r="W389" s="113">
        <v>55107</v>
      </c>
      <c r="X389" s="113">
        <v>2049850</v>
      </c>
      <c r="Y389" s="113">
        <v>52797</v>
      </c>
      <c r="Z389" s="113">
        <v>0</v>
      </c>
      <c r="AA389" s="113">
        <v>2102647</v>
      </c>
      <c r="AB389" s="113">
        <f t="shared" si="6"/>
        <v>29.204647415864549</v>
      </c>
    </row>
    <row r="390" spans="1:28" ht="15.75" thickBot="1" x14ac:dyDescent="0.3">
      <c r="A390" s="44" t="s">
        <v>1574</v>
      </c>
      <c r="B390" s="107" t="s">
        <v>1575</v>
      </c>
      <c r="C390" s="110" t="s">
        <v>837</v>
      </c>
      <c r="D390" s="110" t="s">
        <v>1885</v>
      </c>
      <c r="E390" s="111" t="s">
        <v>844</v>
      </c>
      <c r="F390" s="111" t="s">
        <v>845</v>
      </c>
      <c r="G390" s="112">
        <v>71755</v>
      </c>
      <c r="H390" s="112">
        <v>64690</v>
      </c>
      <c r="I390" s="113">
        <v>135276</v>
      </c>
      <c r="J390" s="113">
        <v>4893064</v>
      </c>
      <c r="K390" s="113">
        <v>0</v>
      </c>
      <c r="L390" s="113">
        <v>14481</v>
      </c>
      <c r="M390" s="113">
        <v>5042821</v>
      </c>
      <c r="N390" s="113">
        <v>486963</v>
      </c>
      <c r="O390" s="116">
        <v>7065</v>
      </c>
      <c r="P390" s="113">
        <v>14774</v>
      </c>
      <c r="Q390" s="113">
        <v>0</v>
      </c>
      <c r="R390" s="113">
        <v>0</v>
      </c>
      <c r="S390" s="113">
        <v>141229</v>
      </c>
      <c r="T390" s="113">
        <v>156003</v>
      </c>
      <c r="U390" s="113">
        <v>0</v>
      </c>
      <c r="V390" s="113">
        <v>5198824</v>
      </c>
      <c r="W390" s="113">
        <v>486963</v>
      </c>
      <c r="X390" s="113">
        <v>5685787</v>
      </c>
      <c r="Y390" s="113">
        <v>54981</v>
      </c>
      <c r="Z390" s="113">
        <v>0</v>
      </c>
      <c r="AA390" s="113">
        <v>5740768</v>
      </c>
      <c r="AB390" s="113">
        <f t="shared" si="6"/>
        <v>80.005128562469508</v>
      </c>
    </row>
    <row r="391" spans="1:28" ht="15.75" thickBot="1" x14ac:dyDescent="0.3">
      <c r="A391" s="44" t="s">
        <v>1594</v>
      </c>
      <c r="B391" s="107" t="s">
        <v>1595</v>
      </c>
      <c r="C391" s="110" t="s">
        <v>837</v>
      </c>
      <c r="D391" s="110" t="s">
        <v>1905</v>
      </c>
      <c r="E391" s="111" t="s">
        <v>804</v>
      </c>
      <c r="F391" s="111" t="s">
        <v>805</v>
      </c>
      <c r="G391" s="112">
        <v>89779</v>
      </c>
      <c r="H391" s="112">
        <v>89779</v>
      </c>
      <c r="I391" s="113">
        <v>189062</v>
      </c>
      <c r="J391" s="113">
        <v>4359028</v>
      </c>
      <c r="K391" s="113">
        <v>0</v>
      </c>
      <c r="L391" s="113">
        <v>178681</v>
      </c>
      <c r="M391" s="113">
        <v>4726771</v>
      </c>
      <c r="N391" s="113">
        <v>838940</v>
      </c>
      <c r="O391" s="115">
        <v>0</v>
      </c>
      <c r="P391" s="114">
        <v>0</v>
      </c>
      <c r="Q391" s="114">
        <v>0</v>
      </c>
      <c r="R391" s="114">
        <v>0</v>
      </c>
      <c r="S391" s="114">
        <v>0</v>
      </c>
      <c r="T391" s="114">
        <v>0</v>
      </c>
      <c r="U391" s="114">
        <v>0</v>
      </c>
      <c r="V391" s="113">
        <v>4726771</v>
      </c>
      <c r="W391" s="113">
        <v>838940</v>
      </c>
      <c r="X391" s="113">
        <v>5565711</v>
      </c>
      <c r="Y391" s="113">
        <v>112200</v>
      </c>
      <c r="Z391" s="113">
        <v>0</v>
      </c>
      <c r="AA391" s="113">
        <v>5677911</v>
      </c>
      <c r="AB391" s="113">
        <f t="shared" si="6"/>
        <v>63.243197184196752</v>
      </c>
    </row>
    <row r="392" spans="1:28" ht="15.75" thickBot="1" x14ac:dyDescent="0.3">
      <c r="A392" s="44" t="s">
        <v>1596</v>
      </c>
      <c r="B392" s="107" t="s">
        <v>1597</v>
      </c>
      <c r="C392" s="110" t="s">
        <v>837</v>
      </c>
      <c r="D392" s="110" t="s">
        <v>1925</v>
      </c>
      <c r="E392" s="111" t="s">
        <v>804</v>
      </c>
      <c r="F392" s="111" t="s">
        <v>805</v>
      </c>
      <c r="G392" s="112">
        <v>84094</v>
      </c>
      <c r="H392" s="112">
        <v>84094</v>
      </c>
      <c r="I392" s="113">
        <v>113659</v>
      </c>
      <c r="J392" s="113">
        <v>1466905</v>
      </c>
      <c r="K392" s="113">
        <v>1466905</v>
      </c>
      <c r="L392" s="113">
        <v>241478</v>
      </c>
      <c r="M392" s="113">
        <v>3288947</v>
      </c>
      <c r="N392" s="113">
        <v>161665</v>
      </c>
      <c r="O392" s="115">
        <v>0</v>
      </c>
      <c r="P392" s="114">
        <v>0</v>
      </c>
      <c r="Q392" s="114">
        <v>0</v>
      </c>
      <c r="R392" s="114">
        <v>0</v>
      </c>
      <c r="S392" s="114">
        <v>0</v>
      </c>
      <c r="T392" s="114">
        <v>0</v>
      </c>
      <c r="U392" s="114">
        <v>0</v>
      </c>
      <c r="V392" s="113">
        <v>3288947</v>
      </c>
      <c r="W392" s="113">
        <v>161665</v>
      </c>
      <c r="X392" s="113">
        <v>3450612</v>
      </c>
      <c r="Y392" s="113">
        <v>67672</v>
      </c>
      <c r="Z392" s="113">
        <v>0</v>
      </c>
      <c r="AA392" s="113">
        <v>3518284</v>
      </c>
      <c r="AB392" s="113">
        <f t="shared" si="6"/>
        <v>41.83751516160487</v>
      </c>
    </row>
    <row r="393" spans="1:28" ht="15.75" thickBot="1" x14ac:dyDescent="0.3">
      <c r="A393" s="44" t="s">
        <v>1602</v>
      </c>
      <c r="B393" s="107" t="s">
        <v>1603</v>
      </c>
      <c r="C393" s="110" t="s">
        <v>837</v>
      </c>
      <c r="D393" s="110" t="s">
        <v>1948</v>
      </c>
      <c r="E393" s="111" t="s">
        <v>829</v>
      </c>
      <c r="F393" s="111" t="s">
        <v>830</v>
      </c>
      <c r="G393" s="112">
        <v>82974</v>
      </c>
      <c r="H393" s="112">
        <v>82974</v>
      </c>
      <c r="I393" s="113">
        <v>111395</v>
      </c>
      <c r="J393" s="113">
        <v>4989239</v>
      </c>
      <c r="K393" s="114">
        <v>0</v>
      </c>
      <c r="L393" s="113">
        <v>0</v>
      </c>
      <c r="M393" s="113">
        <v>5100634</v>
      </c>
      <c r="N393" s="113">
        <v>293631</v>
      </c>
      <c r="O393" s="115">
        <v>0</v>
      </c>
      <c r="P393" s="114">
        <v>0</v>
      </c>
      <c r="Q393" s="114">
        <v>0</v>
      </c>
      <c r="R393" s="114">
        <v>0</v>
      </c>
      <c r="S393" s="114">
        <v>0</v>
      </c>
      <c r="T393" s="114">
        <v>0</v>
      </c>
      <c r="U393" s="114">
        <v>0</v>
      </c>
      <c r="V393" s="113">
        <v>5100634</v>
      </c>
      <c r="W393" s="113">
        <v>293631</v>
      </c>
      <c r="X393" s="113">
        <v>5394265</v>
      </c>
      <c r="Y393" s="113">
        <v>111395</v>
      </c>
      <c r="Z393" s="113">
        <v>1000</v>
      </c>
      <c r="AA393" s="113">
        <v>5506660</v>
      </c>
      <c r="AB393" s="113">
        <f t="shared" si="6"/>
        <v>66.366090582592136</v>
      </c>
    </row>
    <row r="394" spans="1:28" ht="15.75" thickBot="1" x14ac:dyDescent="0.3"/>
    <row r="395" spans="1:28" ht="21" thickBot="1" x14ac:dyDescent="0.35">
      <c r="B395" s="129" t="s">
        <v>3450</v>
      </c>
      <c r="C395" s="170">
        <f>SUBTOTAL(103,Table6[Library Class])</f>
        <v>390</v>
      </c>
      <c r="F395" s="176" t="s">
        <v>3464</v>
      </c>
      <c r="G395" s="139">
        <f>SUBTOTAL(109,Table6[Total Population Served])</f>
        <v>9838063</v>
      </c>
      <c r="H395" s="139">
        <f>SUBTOTAL(109,Table6[Subtotal Legal Service Area Population Served])</f>
        <v>9071604</v>
      </c>
      <c r="I395" s="177">
        <f>SUBTOTAL(109,Table6[Subtotal Local Penal Fine Revenues])</f>
        <v>22481188.380000003</v>
      </c>
      <c r="J395" s="177">
        <f>SUBTOTAL(109,Table6[Subtotal Income From Voted Millage])</f>
        <v>362886614.03999996</v>
      </c>
      <c r="K395" s="177">
        <f>SUBTOTAL(109,Table6[Subtotal Appropriated Tax Income])</f>
        <v>23606663.43</v>
      </c>
      <c r="L395" s="177">
        <f>SUBTOTAL(109,Table6[Subtotal Other Local Government Income])</f>
        <v>9946858.5999999996</v>
      </c>
      <c r="M395" s="177">
        <f>SUBTOTAL(109,Table6[Subtotal Total Local Government Income])</f>
        <v>418921324.44999999</v>
      </c>
      <c r="N395" s="177">
        <f>SUBTOTAL(109,Table6[Subtotal Other Local Operating Income])</f>
        <v>28169258.310000002</v>
      </c>
      <c r="O395" s="139">
        <f>SUBTOTAL(109,Table6[Contracted Municipality Population Served])</f>
        <v>766459</v>
      </c>
      <c r="P395" s="177">
        <f>SUBTOTAL(109,Table6[CM Penal Fine Revenues])</f>
        <v>2598036</v>
      </c>
      <c r="Q395" s="177">
        <f>SUBTOTAL(109,Table6[CM Income From Voted Millage])</f>
        <v>4231569</v>
      </c>
      <c r="R395" s="177">
        <f>SUBTOTAL(109,Table6[CM Appropriated Tax Income])</f>
        <v>859000</v>
      </c>
      <c r="S395" s="177">
        <f>SUBTOTAL(109,Table6[Contract Fee Income])</f>
        <v>3495427</v>
      </c>
      <c r="T395" s="177">
        <f>SUBTOTAL(109,Table6[CM Total Local Government Income])</f>
        <v>11184032</v>
      </c>
      <c r="U395" s="177">
        <f>SUBTOTAL(109,Table6[Other Local Operating Income])</f>
        <v>115379</v>
      </c>
      <c r="V395" s="177">
        <f>SUBTOTAL(109,Table6[Total Local Government Income])</f>
        <v>430105356.44999999</v>
      </c>
      <c r="W395" s="177">
        <f>SUBTOTAL(109,Table6[Total Other Local Operating Income])</f>
        <v>28284637.310000002</v>
      </c>
      <c r="X395" s="177">
        <f>SUBTOTAL(109,Table6[Total Local Operating Income])</f>
        <v>458389993.75999999</v>
      </c>
      <c r="Y395" s="177">
        <f>SUBTOTAL(109,Table6[State Government Operating Income])</f>
        <v>13605639.060000001</v>
      </c>
      <c r="Z395" s="177">
        <f>SUBTOTAL(109,Table6[Federal Government Operating Income])</f>
        <v>246794</v>
      </c>
      <c r="AA395" s="177">
        <f>SUBTOTAL(109,Table6[Total Operating Income])</f>
        <v>472242426.81999999</v>
      </c>
      <c r="AB395" s="178"/>
    </row>
    <row r="396" spans="1:28" ht="16.5" thickBot="1" x14ac:dyDescent="0.3">
      <c r="F396" s="172" t="s">
        <v>3465</v>
      </c>
      <c r="G396" s="174">
        <f>SUBTOTAL(101,Table6[Total Population Served])</f>
        <v>25225.802564102563</v>
      </c>
      <c r="H396" s="174">
        <f>SUBTOTAL(101,Table6[Subtotal Legal Service Area Population Served])</f>
        <v>23260.523076923077</v>
      </c>
      <c r="I396" s="173">
        <f>SUBTOTAL(101,Table6[Subtotal Local Penal Fine Revenues])</f>
        <v>57644.072769230777</v>
      </c>
      <c r="J396" s="173">
        <f>SUBTOTAL(101,Table6[Subtotal Income From Voted Millage])</f>
        <v>930478.49753846147</v>
      </c>
      <c r="K396" s="173">
        <f>SUBTOTAL(101,Table6[Subtotal Appropriated Tax Income])</f>
        <v>60529.906230769229</v>
      </c>
      <c r="L396" s="173">
        <f>SUBTOTAL(101,Table6[Subtotal Other Local Government Income])</f>
        <v>25504.765641025639</v>
      </c>
      <c r="M396" s="173">
        <f>SUBTOTAL(101,Table6[Subtotal Total Local Government Income])</f>
        <v>1074157.2421794871</v>
      </c>
      <c r="N396" s="173">
        <f>SUBTOTAL(101,Table6[Subtotal Other Local Operating Income])</f>
        <v>72228.867461538466</v>
      </c>
      <c r="O396" s="174">
        <f>SUBTOTAL(101,Table6[Contracted Municipality Population Served])</f>
        <v>1965.2794871794872</v>
      </c>
      <c r="P396" s="173">
        <f>SUBTOTAL(101,Table6[CM Penal Fine Revenues])</f>
        <v>6661.6307692307691</v>
      </c>
      <c r="Q396" s="173">
        <f>SUBTOTAL(101,Table6[CM Income From Voted Millage])</f>
        <v>10850.176923076922</v>
      </c>
      <c r="R396" s="173">
        <f>SUBTOTAL(101,Table6[CM Appropriated Tax Income])</f>
        <v>2202.5641025641025</v>
      </c>
      <c r="S396" s="173">
        <f>SUBTOTAL(101,Table6[Contract Fee Income])</f>
        <v>8962.6333333333332</v>
      </c>
      <c r="T396" s="173">
        <f>SUBTOTAL(101,Table6[CM Total Local Government Income])</f>
        <v>28677.005128205128</v>
      </c>
      <c r="U396" s="173">
        <f>SUBTOTAL(101,Table6[Other Local Operating Income])</f>
        <v>295.84358974358975</v>
      </c>
      <c r="V396" s="173">
        <f>SUBTOTAL(101,Table6[Total Local Government Income])</f>
        <v>1102834.2473076922</v>
      </c>
      <c r="W396" s="173">
        <f>SUBTOTAL(101,Table6[Total Other Local Operating Income])</f>
        <v>72524.711051282051</v>
      </c>
      <c r="X396" s="173">
        <f>SUBTOTAL(101,Table6[Total Local Operating Income])</f>
        <v>1175358.9583589744</v>
      </c>
      <c r="Y396" s="173">
        <f>SUBTOTAL(101,Table6[State Government Operating Income])</f>
        <v>34886.254000000001</v>
      </c>
      <c r="Z396" s="173">
        <f>SUBTOTAL(101,Table6[Federal Government Operating Income])</f>
        <v>632.8051282051282</v>
      </c>
      <c r="AA396" s="173">
        <f>SUBTOTAL(101,Table6[Total Operating Income])</f>
        <v>1210878.0174871795</v>
      </c>
      <c r="AB396" s="175">
        <f>SUBTOTAL(101,Table6[Total Operating Income Per Capita])</f>
        <v>42.093514712094098</v>
      </c>
    </row>
  </sheetData>
  <sortState xmlns:xlrd2="http://schemas.microsoft.com/office/spreadsheetml/2017/richdata2" ref="A4:AB393">
    <sortCondition ref="C4:C393"/>
    <sortCondition ref="B4:B393"/>
  </sortState>
  <hyperlinks>
    <hyperlink ref="G1" location="'Table of Contents'!A1" display="Return to Table of Contents" xr:uid="{EEA9310C-09E4-4E8B-83F2-FC51C7500866}"/>
  </hyperlinks>
  <pageMargins left="0.7" right="0.7" top="0.75" bottom="0.75" header="0.3" footer="0.3"/>
  <pageSetup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759EB-8BD1-48A9-BB75-252D5087B40A}">
  <sheetPr>
    <tabColor theme="3" tint="0.59999389629810485"/>
  </sheetPr>
  <dimension ref="A1:N396"/>
  <sheetViews>
    <sheetView workbookViewId="0">
      <pane ySplit="3" topLeftCell="A4" activePane="bottomLeft" state="frozen"/>
      <selection pane="bottomLeft" activeCell="B4" sqref="B4"/>
    </sheetView>
  </sheetViews>
  <sheetFormatPr defaultRowHeight="15" x14ac:dyDescent="0.25"/>
  <cols>
    <col min="1" max="1" width="15.28515625" customWidth="1"/>
    <col min="2" max="2" width="49" bestFit="1" customWidth="1"/>
    <col min="3" max="3" width="24.85546875" customWidth="1"/>
    <col min="4" max="4" width="15.85546875" customWidth="1"/>
    <col min="5" max="5" width="17.28515625" customWidth="1"/>
    <col min="6" max="6" width="20" customWidth="1"/>
    <col min="7" max="7" width="16.85546875" customWidth="1"/>
    <col min="8" max="8" width="15" customWidth="1"/>
    <col min="9" max="9" width="14.5703125" customWidth="1"/>
    <col min="10" max="10" width="16.5703125" customWidth="1"/>
    <col min="11" max="11" width="17.5703125" customWidth="1"/>
    <col min="12" max="12" width="15.5703125" customWidth="1"/>
    <col min="13" max="13" width="14.28515625" customWidth="1"/>
    <col min="14" max="14" width="14.85546875" customWidth="1"/>
  </cols>
  <sheetData>
    <row r="1" spans="1:14" ht="18.75" x14ac:dyDescent="0.3">
      <c r="B1" s="56" t="s">
        <v>3449</v>
      </c>
      <c r="D1" s="54" t="s">
        <v>8</v>
      </c>
      <c r="G1" s="117" t="s">
        <v>13</v>
      </c>
    </row>
    <row r="3" spans="1:14" s="39" customFormat="1" ht="60.75" customHeight="1" thickBot="1" x14ac:dyDescent="0.3">
      <c r="A3" s="57" t="s">
        <v>784</v>
      </c>
      <c r="B3" s="57" t="s">
        <v>785</v>
      </c>
      <c r="C3" s="123" t="s">
        <v>786</v>
      </c>
      <c r="D3" s="123" t="s">
        <v>2948</v>
      </c>
      <c r="E3" s="123" t="s">
        <v>2949</v>
      </c>
      <c r="F3" s="123" t="s">
        <v>2950</v>
      </c>
      <c r="G3" s="123" t="s">
        <v>2951</v>
      </c>
      <c r="H3" s="123" t="s">
        <v>2952</v>
      </c>
      <c r="I3" s="123" t="s">
        <v>2953</v>
      </c>
      <c r="J3" s="123" t="s">
        <v>2954</v>
      </c>
      <c r="K3" s="123" t="s">
        <v>2955</v>
      </c>
      <c r="L3" s="123" t="s">
        <v>2956</v>
      </c>
      <c r="M3" s="179" t="s">
        <v>2957</v>
      </c>
      <c r="N3" s="123" t="s">
        <v>1604</v>
      </c>
    </row>
    <row r="4" spans="1:14" ht="15.75" thickBot="1" x14ac:dyDescent="0.3">
      <c r="A4" s="44" t="s">
        <v>815</v>
      </c>
      <c r="B4" s="107" t="s">
        <v>816</v>
      </c>
      <c r="C4" s="78" t="s">
        <v>817</v>
      </c>
      <c r="D4" s="109">
        <v>11287</v>
      </c>
      <c r="E4" s="109">
        <v>2053</v>
      </c>
      <c r="F4" s="109">
        <v>2371</v>
      </c>
      <c r="G4" s="109">
        <v>15711</v>
      </c>
      <c r="H4" s="109">
        <v>68109</v>
      </c>
      <c r="I4" s="109">
        <v>5211</v>
      </c>
      <c r="J4" s="109">
        <v>73320</v>
      </c>
      <c r="K4" s="109">
        <v>48757</v>
      </c>
      <c r="L4" s="109">
        <v>137788</v>
      </c>
      <c r="M4" s="109">
        <f t="shared" ref="M4:M67" si="0">L4/N4</f>
        <v>107.22801556420234</v>
      </c>
      <c r="N4" s="108">
        <v>1285</v>
      </c>
    </row>
    <row r="5" spans="1:14" ht="15.75" thickBot="1" x14ac:dyDescent="0.3">
      <c r="A5" s="44" t="s">
        <v>840</v>
      </c>
      <c r="B5" s="107" t="s">
        <v>841</v>
      </c>
      <c r="C5" s="78" t="s">
        <v>817</v>
      </c>
      <c r="D5" s="109">
        <v>8600</v>
      </c>
      <c r="E5" s="109">
        <v>0</v>
      </c>
      <c r="F5" s="109">
        <v>2233</v>
      </c>
      <c r="G5" s="109">
        <v>10833</v>
      </c>
      <c r="H5" s="109">
        <v>2100</v>
      </c>
      <c r="I5" s="109">
        <v>600</v>
      </c>
      <c r="J5" s="109">
        <v>2700</v>
      </c>
      <c r="K5" s="109">
        <v>2494</v>
      </c>
      <c r="L5" s="109">
        <v>16027</v>
      </c>
      <c r="M5" s="109">
        <f t="shared" si="0"/>
        <v>4.9344211822660098</v>
      </c>
      <c r="N5" s="108">
        <v>3248</v>
      </c>
    </row>
    <row r="6" spans="1:14" ht="15.75" thickBot="1" x14ac:dyDescent="0.3">
      <c r="A6" s="44" t="s">
        <v>863</v>
      </c>
      <c r="B6" s="107" t="s">
        <v>864</v>
      </c>
      <c r="C6" s="78" t="s">
        <v>817</v>
      </c>
      <c r="D6" s="109">
        <v>8497</v>
      </c>
      <c r="E6" s="109">
        <v>2833</v>
      </c>
      <c r="F6" s="109">
        <v>2000</v>
      </c>
      <c r="G6" s="109">
        <v>13330</v>
      </c>
      <c r="H6" s="109">
        <v>65538</v>
      </c>
      <c r="I6" s="109">
        <v>6780</v>
      </c>
      <c r="J6" s="109">
        <v>72318</v>
      </c>
      <c r="K6" s="109">
        <v>49726</v>
      </c>
      <c r="L6" s="109">
        <v>135374</v>
      </c>
      <c r="M6" s="109">
        <f t="shared" si="0"/>
        <v>206.04870624048706</v>
      </c>
      <c r="N6" s="108">
        <v>657</v>
      </c>
    </row>
    <row r="7" spans="1:14" ht="15.75" thickBot="1" x14ac:dyDescent="0.3">
      <c r="A7" s="44" t="s">
        <v>865</v>
      </c>
      <c r="B7" s="107" t="s">
        <v>866</v>
      </c>
      <c r="C7" s="78" t="s">
        <v>817</v>
      </c>
      <c r="D7" s="109">
        <v>16125</v>
      </c>
      <c r="E7" s="109">
        <v>10205</v>
      </c>
      <c r="F7" s="109">
        <v>2000</v>
      </c>
      <c r="G7" s="109">
        <v>28330</v>
      </c>
      <c r="H7" s="109">
        <v>71600</v>
      </c>
      <c r="I7" s="109">
        <v>5950</v>
      </c>
      <c r="J7" s="109">
        <v>77550</v>
      </c>
      <c r="K7" s="109">
        <v>46685</v>
      </c>
      <c r="L7" s="109">
        <v>152565</v>
      </c>
      <c r="M7" s="109">
        <f t="shared" si="0"/>
        <v>40.478906871849297</v>
      </c>
      <c r="N7" s="108">
        <v>3769</v>
      </c>
    </row>
    <row r="8" spans="1:14" ht="15.75" thickBot="1" x14ac:dyDescent="0.3">
      <c r="A8" s="44" t="s">
        <v>869</v>
      </c>
      <c r="B8" s="107" t="s">
        <v>870</v>
      </c>
      <c r="C8" s="78" t="s">
        <v>817</v>
      </c>
      <c r="D8" s="109">
        <v>1200</v>
      </c>
      <c r="E8" s="109">
        <v>0</v>
      </c>
      <c r="F8" s="109">
        <v>300</v>
      </c>
      <c r="G8" s="109">
        <v>1500</v>
      </c>
      <c r="H8" s="109">
        <v>19561</v>
      </c>
      <c r="I8" s="109">
        <v>3774</v>
      </c>
      <c r="J8" s="109">
        <v>23335</v>
      </c>
      <c r="K8" s="109">
        <v>11805</v>
      </c>
      <c r="L8" s="109">
        <v>36640</v>
      </c>
      <c r="M8" s="109">
        <f t="shared" si="0"/>
        <v>11.631746031746031</v>
      </c>
      <c r="N8" s="108">
        <v>3150</v>
      </c>
    </row>
    <row r="9" spans="1:14" ht="15.75" thickBot="1" x14ac:dyDescent="0.3">
      <c r="A9" s="44" t="s">
        <v>873</v>
      </c>
      <c r="B9" s="107" t="s">
        <v>874</v>
      </c>
      <c r="C9" s="78" t="s">
        <v>817</v>
      </c>
      <c r="D9" s="109">
        <v>24751</v>
      </c>
      <c r="E9" s="109">
        <v>5504</v>
      </c>
      <c r="F9" s="109">
        <v>5783</v>
      </c>
      <c r="G9" s="109">
        <v>36038</v>
      </c>
      <c r="H9" s="109">
        <v>124876</v>
      </c>
      <c r="I9" s="109">
        <v>28065</v>
      </c>
      <c r="J9" s="109">
        <v>152941</v>
      </c>
      <c r="K9" s="109">
        <v>84399</v>
      </c>
      <c r="L9" s="109">
        <v>273378</v>
      </c>
      <c r="M9" s="109">
        <f t="shared" si="0"/>
        <v>71.733928102860148</v>
      </c>
      <c r="N9" s="108">
        <v>3811</v>
      </c>
    </row>
    <row r="10" spans="1:14" ht="15.75" thickBot="1" x14ac:dyDescent="0.3">
      <c r="A10" s="44" t="s">
        <v>875</v>
      </c>
      <c r="B10" s="107" t="s">
        <v>876</v>
      </c>
      <c r="C10" s="78" t="s">
        <v>817</v>
      </c>
      <c r="D10" s="109">
        <v>9113</v>
      </c>
      <c r="E10" s="109">
        <v>2883</v>
      </c>
      <c r="F10" s="109">
        <v>2000</v>
      </c>
      <c r="G10" s="109">
        <v>13996</v>
      </c>
      <c r="H10" s="109">
        <v>53237</v>
      </c>
      <c r="I10" s="109">
        <v>4505</v>
      </c>
      <c r="J10" s="109">
        <v>57742</v>
      </c>
      <c r="K10" s="109">
        <v>39688</v>
      </c>
      <c r="L10" s="109">
        <v>111426</v>
      </c>
      <c r="M10" s="109">
        <f t="shared" si="0"/>
        <v>30.755175269113995</v>
      </c>
      <c r="N10" s="108">
        <v>3623</v>
      </c>
    </row>
    <row r="11" spans="1:14" ht="15.75" thickBot="1" x14ac:dyDescent="0.3">
      <c r="A11" s="44" t="s">
        <v>883</v>
      </c>
      <c r="B11" s="107" t="s">
        <v>884</v>
      </c>
      <c r="C11" s="78" t="s">
        <v>817</v>
      </c>
      <c r="D11" s="109">
        <v>6630</v>
      </c>
      <c r="E11" s="109">
        <v>246</v>
      </c>
      <c r="F11" s="109">
        <v>2000</v>
      </c>
      <c r="G11" s="109">
        <v>8876</v>
      </c>
      <c r="H11" s="109">
        <v>43479</v>
      </c>
      <c r="I11" s="109">
        <v>3326</v>
      </c>
      <c r="J11" s="109">
        <v>46805</v>
      </c>
      <c r="K11" s="109">
        <v>14119</v>
      </c>
      <c r="L11" s="109">
        <v>69800</v>
      </c>
      <c r="M11" s="109">
        <f t="shared" si="0"/>
        <v>23.765747361252981</v>
      </c>
      <c r="N11" s="108">
        <v>2937</v>
      </c>
    </row>
    <row r="12" spans="1:14" ht="15.75" thickBot="1" x14ac:dyDescent="0.3">
      <c r="A12" s="44" t="s">
        <v>915</v>
      </c>
      <c r="B12" s="107" t="s">
        <v>916</v>
      </c>
      <c r="C12" s="78" t="s">
        <v>817</v>
      </c>
      <c r="D12" s="109">
        <v>2642</v>
      </c>
      <c r="E12" s="109">
        <v>367</v>
      </c>
      <c r="F12" s="109">
        <v>0</v>
      </c>
      <c r="G12" s="109">
        <v>3009</v>
      </c>
      <c r="H12" s="109">
        <v>20300</v>
      </c>
      <c r="I12" s="109">
        <v>1500</v>
      </c>
      <c r="J12" s="109">
        <v>21800</v>
      </c>
      <c r="K12" s="109">
        <v>275</v>
      </c>
      <c r="L12" s="109">
        <v>25084</v>
      </c>
      <c r="M12" s="109">
        <f t="shared" si="0"/>
        <v>9.6070471083875901</v>
      </c>
      <c r="N12" s="108">
        <v>2611</v>
      </c>
    </row>
    <row r="13" spans="1:14" ht="15.75" thickBot="1" x14ac:dyDescent="0.3">
      <c r="A13" s="44" t="s">
        <v>929</v>
      </c>
      <c r="B13" s="107" t="s">
        <v>930</v>
      </c>
      <c r="C13" s="78" t="s">
        <v>817</v>
      </c>
      <c r="D13" s="109">
        <v>1572</v>
      </c>
      <c r="E13" s="109">
        <v>375</v>
      </c>
      <c r="F13" s="109">
        <v>500</v>
      </c>
      <c r="G13" s="109">
        <v>2447</v>
      </c>
      <c r="H13" s="109">
        <v>14110</v>
      </c>
      <c r="I13" s="109">
        <v>1079</v>
      </c>
      <c r="J13" s="109">
        <v>15189</v>
      </c>
      <c r="K13" s="109">
        <v>10842</v>
      </c>
      <c r="L13" s="109">
        <v>28478</v>
      </c>
      <c r="M13" s="109">
        <f t="shared" si="0"/>
        <v>39.443213296398895</v>
      </c>
      <c r="N13" s="108">
        <v>722</v>
      </c>
    </row>
    <row r="14" spans="1:14" ht="15.75" thickBot="1" x14ac:dyDescent="0.3">
      <c r="A14" s="44" t="s">
        <v>939</v>
      </c>
      <c r="B14" s="107" t="s">
        <v>940</v>
      </c>
      <c r="C14" s="78" t="s">
        <v>817</v>
      </c>
      <c r="D14" s="109">
        <v>8335</v>
      </c>
      <c r="E14" s="109">
        <v>0</v>
      </c>
      <c r="F14" s="109">
        <v>2055</v>
      </c>
      <c r="G14" s="109">
        <v>10390</v>
      </c>
      <c r="H14" s="109">
        <v>70828</v>
      </c>
      <c r="I14" s="109">
        <v>5611</v>
      </c>
      <c r="J14" s="109">
        <v>76439</v>
      </c>
      <c r="K14" s="109">
        <v>39661</v>
      </c>
      <c r="L14" s="109">
        <v>126490</v>
      </c>
      <c r="M14" s="109">
        <f t="shared" si="0"/>
        <v>31.662077596996244</v>
      </c>
      <c r="N14" s="108">
        <v>3995</v>
      </c>
    </row>
    <row r="15" spans="1:14" ht="15.75" thickBot="1" x14ac:dyDescent="0.3">
      <c r="A15" s="44" t="s">
        <v>947</v>
      </c>
      <c r="B15" s="107" t="s">
        <v>948</v>
      </c>
      <c r="C15" s="78" t="s">
        <v>817</v>
      </c>
      <c r="D15" s="109">
        <v>258</v>
      </c>
      <c r="E15" s="109">
        <v>0</v>
      </c>
      <c r="F15" s="109">
        <v>0</v>
      </c>
      <c r="G15" s="109">
        <v>258</v>
      </c>
      <c r="H15" s="109">
        <v>14325</v>
      </c>
      <c r="I15" s="109">
        <v>5047</v>
      </c>
      <c r="J15" s="109">
        <v>19372</v>
      </c>
      <c r="K15" s="109">
        <v>12710</v>
      </c>
      <c r="L15" s="109">
        <v>32340</v>
      </c>
      <c r="M15" s="109">
        <f t="shared" si="0"/>
        <v>17.443365695792881</v>
      </c>
      <c r="N15" s="108">
        <v>1854</v>
      </c>
    </row>
    <row r="16" spans="1:14" ht="15.75" thickBot="1" x14ac:dyDescent="0.3">
      <c r="A16" s="44" t="s">
        <v>959</v>
      </c>
      <c r="B16" s="107" t="s">
        <v>960</v>
      </c>
      <c r="C16" s="78" t="s">
        <v>817</v>
      </c>
      <c r="D16" s="109">
        <v>15943</v>
      </c>
      <c r="E16" s="109">
        <v>5257</v>
      </c>
      <c r="F16" s="109">
        <v>89</v>
      </c>
      <c r="G16" s="109">
        <v>21289</v>
      </c>
      <c r="H16" s="109">
        <v>89701</v>
      </c>
      <c r="I16" s="109">
        <v>6862</v>
      </c>
      <c r="J16" s="109">
        <v>96563</v>
      </c>
      <c r="K16" s="109">
        <v>35561</v>
      </c>
      <c r="L16" s="109">
        <v>153413</v>
      </c>
      <c r="M16" s="109">
        <f t="shared" si="0"/>
        <v>42.567425083240842</v>
      </c>
      <c r="N16" s="108">
        <v>3604</v>
      </c>
    </row>
    <row r="17" spans="1:14" ht="15.75" thickBot="1" x14ac:dyDescent="0.3">
      <c r="A17" s="44" t="s">
        <v>967</v>
      </c>
      <c r="B17" s="107" t="s">
        <v>968</v>
      </c>
      <c r="C17" s="78" t="s">
        <v>817</v>
      </c>
      <c r="D17" s="109">
        <v>10500</v>
      </c>
      <c r="E17" s="109">
        <v>1800</v>
      </c>
      <c r="F17" s="109">
        <v>2400</v>
      </c>
      <c r="G17" s="109">
        <v>14700</v>
      </c>
      <c r="H17" s="109">
        <v>66884</v>
      </c>
      <c r="I17" s="109">
        <v>0</v>
      </c>
      <c r="J17" s="109">
        <v>66884</v>
      </c>
      <c r="K17" s="109">
        <v>37088</v>
      </c>
      <c r="L17" s="109">
        <v>118672</v>
      </c>
      <c r="M17" s="109">
        <f t="shared" si="0"/>
        <v>31.20483828556403</v>
      </c>
      <c r="N17" s="108">
        <v>3803</v>
      </c>
    </row>
    <row r="18" spans="1:14" ht="15.75" thickBot="1" x14ac:dyDescent="0.3">
      <c r="A18" s="44" t="s">
        <v>969</v>
      </c>
      <c r="B18" s="107" t="s">
        <v>970</v>
      </c>
      <c r="C18" s="78" t="s">
        <v>817</v>
      </c>
      <c r="D18" s="109">
        <v>7966</v>
      </c>
      <c r="E18" s="109">
        <v>2620</v>
      </c>
      <c r="F18" s="109">
        <v>982</v>
      </c>
      <c r="G18" s="109">
        <v>11568</v>
      </c>
      <c r="H18" s="109">
        <v>43765</v>
      </c>
      <c r="I18" s="109">
        <v>3348</v>
      </c>
      <c r="J18" s="109">
        <v>47113</v>
      </c>
      <c r="K18" s="109">
        <v>19171</v>
      </c>
      <c r="L18" s="109">
        <v>77852</v>
      </c>
      <c r="M18" s="109">
        <f t="shared" si="0"/>
        <v>32.807416772018541</v>
      </c>
      <c r="N18" s="108">
        <v>2373</v>
      </c>
    </row>
    <row r="19" spans="1:14" ht="15.75" thickBot="1" x14ac:dyDescent="0.3">
      <c r="A19" s="44" t="s">
        <v>985</v>
      </c>
      <c r="B19" s="107" t="s">
        <v>986</v>
      </c>
      <c r="C19" s="78" t="s">
        <v>817</v>
      </c>
      <c r="D19" s="109">
        <v>9273</v>
      </c>
      <c r="E19" s="109">
        <v>1102</v>
      </c>
      <c r="F19" s="109">
        <v>3000</v>
      </c>
      <c r="G19" s="109">
        <v>13375</v>
      </c>
      <c r="H19" s="109">
        <v>72494</v>
      </c>
      <c r="I19" s="109">
        <v>5546</v>
      </c>
      <c r="J19" s="109">
        <v>78040</v>
      </c>
      <c r="K19" s="109">
        <v>66932</v>
      </c>
      <c r="L19" s="109">
        <v>158347</v>
      </c>
      <c r="M19" s="109">
        <f t="shared" si="0"/>
        <v>40.057424740703262</v>
      </c>
      <c r="N19" s="108">
        <v>3953</v>
      </c>
    </row>
    <row r="20" spans="1:14" ht="15.75" thickBot="1" x14ac:dyDescent="0.3">
      <c r="A20" s="44" t="s">
        <v>987</v>
      </c>
      <c r="B20" s="107" t="s">
        <v>988</v>
      </c>
      <c r="C20" s="78" t="s">
        <v>817</v>
      </c>
      <c r="D20" s="109">
        <v>9731</v>
      </c>
      <c r="E20" s="109">
        <v>6448</v>
      </c>
      <c r="F20" s="109">
        <v>821</v>
      </c>
      <c r="G20" s="109">
        <v>17000</v>
      </c>
      <c r="H20" s="109">
        <v>46337</v>
      </c>
      <c r="I20" s="109">
        <v>3545</v>
      </c>
      <c r="J20" s="109">
        <v>49882</v>
      </c>
      <c r="K20" s="109">
        <v>0</v>
      </c>
      <c r="L20" s="109">
        <v>66882</v>
      </c>
      <c r="M20" s="109">
        <f t="shared" si="0"/>
        <v>20.719330855018587</v>
      </c>
      <c r="N20" s="108">
        <v>3228</v>
      </c>
    </row>
    <row r="21" spans="1:14" ht="15.75" thickBot="1" x14ac:dyDescent="0.3">
      <c r="A21" s="44" t="s">
        <v>989</v>
      </c>
      <c r="B21" s="107" t="s">
        <v>990</v>
      </c>
      <c r="C21" s="78" t="s">
        <v>817</v>
      </c>
      <c r="D21" s="109">
        <v>14370</v>
      </c>
      <c r="E21" s="109">
        <v>7297</v>
      </c>
      <c r="F21" s="109">
        <v>9773</v>
      </c>
      <c r="G21" s="109">
        <v>31440</v>
      </c>
      <c r="H21" s="109">
        <v>91464</v>
      </c>
      <c r="I21" s="109">
        <v>7060</v>
      </c>
      <c r="J21" s="109">
        <v>98524</v>
      </c>
      <c r="K21" s="109">
        <v>33967</v>
      </c>
      <c r="L21" s="109">
        <v>163931</v>
      </c>
      <c r="M21" s="109">
        <f t="shared" si="0"/>
        <v>47.474949319432376</v>
      </c>
      <c r="N21" s="108">
        <v>3453</v>
      </c>
    </row>
    <row r="22" spans="1:14" ht="15.75" thickBot="1" x14ac:dyDescent="0.3">
      <c r="A22" s="44" t="s">
        <v>991</v>
      </c>
      <c r="B22" s="107" t="s">
        <v>992</v>
      </c>
      <c r="C22" s="78" t="s">
        <v>817</v>
      </c>
      <c r="D22" s="109">
        <v>2177</v>
      </c>
      <c r="E22" s="109">
        <v>155</v>
      </c>
      <c r="F22" s="109">
        <v>666</v>
      </c>
      <c r="G22" s="109">
        <v>2998</v>
      </c>
      <c r="H22" s="109">
        <v>22667</v>
      </c>
      <c r="I22" s="109">
        <v>1696</v>
      </c>
      <c r="J22" s="109">
        <v>24363</v>
      </c>
      <c r="K22" s="109">
        <v>9310</v>
      </c>
      <c r="L22" s="109">
        <v>36671</v>
      </c>
      <c r="M22" s="109">
        <f t="shared" si="0"/>
        <v>29.669093851132686</v>
      </c>
      <c r="N22" s="108">
        <v>1236</v>
      </c>
    </row>
    <row r="23" spans="1:14" ht="15.75" thickBot="1" x14ac:dyDescent="0.3">
      <c r="A23" s="44" t="s">
        <v>993</v>
      </c>
      <c r="B23" s="107" t="s">
        <v>994</v>
      </c>
      <c r="C23" s="78" t="s">
        <v>817</v>
      </c>
      <c r="D23" s="109">
        <v>14020</v>
      </c>
      <c r="E23" s="109">
        <v>4170</v>
      </c>
      <c r="F23" s="109">
        <v>2000</v>
      </c>
      <c r="G23" s="109">
        <v>20190</v>
      </c>
      <c r="H23" s="109">
        <v>43456</v>
      </c>
      <c r="I23" s="109">
        <v>0</v>
      </c>
      <c r="J23" s="109">
        <v>43456</v>
      </c>
      <c r="K23" s="109">
        <v>27336</v>
      </c>
      <c r="L23" s="109">
        <v>90982</v>
      </c>
      <c r="M23" s="109">
        <f t="shared" si="0"/>
        <v>28.619691726958163</v>
      </c>
      <c r="N23" s="108">
        <v>3179</v>
      </c>
    </row>
    <row r="24" spans="1:14" ht="15.75" thickBot="1" x14ac:dyDescent="0.3">
      <c r="A24" s="44" t="s">
        <v>1039</v>
      </c>
      <c r="B24" s="107" t="s">
        <v>1040</v>
      </c>
      <c r="C24" s="78" t="s">
        <v>817</v>
      </c>
      <c r="D24" s="109">
        <v>7801</v>
      </c>
      <c r="E24" s="109">
        <v>0</v>
      </c>
      <c r="F24" s="109">
        <v>63</v>
      </c>
      <c r="G24" s="109">
        <v>7864</v>
      </c>
      <c r="H24" s="109">
        <v>25479</v>
      </c>
      <c r="I24" s="109">
        <v>2072</v>
      </c>
      <c r="J24" s="109">
        <v>27551</v>
      </c>
      <c r="K24" s="109">
        <v>10997</v>
      </c>
      <c r="L24" s="109">
        <v>46412</v>
      </c>
      <c r="M24" s="109">
        <f t="shared" si="0"/>
        <v>16.761285662694114</v>
      </c>
      <c r="N24" s="108">
        <v>2769</v>
      </c>
    </row>
    <row r="25" spans="1:14" ht="15.75" thickBot="1" x14ac:dyDescent="0.3">
      <c r="A25" s="44" t="s">
        <v>1041</v>
      </c>
      <c r="B25" s="107" t="s">
        <v>1042</v>
      </c>
      <c r="C25" s="78" t="s">
        <v>817</v>
      </c>
      <c r="D25" s="109">
        <v>11131</v>
      </c>
      <c r="E25" s="109">
        <v>708</v>
      </c>
      <c r="F25" s="109">
        <v>996</v>
      </c>
      <c r="G25" s="109">
        <v>12835</v>
      </c>
      <c r="H25" s="109">
        <v>42639</v>
      </c>
      <c r="I25" s="109">
        <v>3262</v>
      </c>
      <c r="J25" s="109">
        <v>45901</v>
      </c>
      <c r="K25" s="109">
        <v>25214</v>
      </c>
      <c r="L25" s="109">
        <v>83950</v>
      </c>
      <c r="M25" s="109">
        <f t="shared" si="0"/>
        <v>22.458533975387908</v>
      </c>
      <c r="N25" s="108">
        <v>3738</v>
      </c>
    </row>
    <row r="26" spans="1:14" ht="15.75" thickBot="1" x14ac:dyDescent="0.3">
      <c r="A26" s="44" t="s">
        <v>1049</v>
      </c>
      <c r="B26" s="107" t="s">
        <v>1050</v>
      </c>
      <c r="C26" s="78" t="s">
        <v>817</v>
      </c>
      <c r="D26" s="109">
        <v>14077</v>
      </c>
      <c r="E26" s="109">
        <v>2677</v>
      </c>
      <c r="F26" s="109">
        <v>0</v>
      </c>
      <c r="G26" s="109">
        <v>16754</v>
      </c>
      <c r="H26" s="109">
        <v>113407</v>
      </c>
      <c r="I26" s="109">
        <v>8060</v>
      </c>
      <c r="J26" s="109">
        <v>121467</v>
      </c>
      <c r="K26" s="109">
        <v>20018</v>
      </c>
      <c r="L26" s="109">
        <v>158239</v>
      </c>
      <c r="M26" s="109">
        <f t="shared" si="0"/>
        <v>50.848007712082264</v>
      </c>
      <c r="N26" s="108">
        <v>3112</v>
      </c>
    </row>
    <row r="27" spans="1:14" ht="15.75" thickBot="1" x14ac:dyDescent="0.3">
      <c r="A27" s="44" t="s">
        <v>1057</v>
      </c>
      <c r="B27" s="107" t="s">
        <v>1058</v>
      </c>
      <c r="C27" s="78" t="s">
        <v>817</v>
      </c>
      <c r="D27" s="109">
        <v>15300</v>
      </c>
      <c r="E27" s="109">
        <v>2760</v>
      </c>
      <c r="F27" s="109">
        <v>0</v>
      </c>
      <c r="G27" s="109">
        <v>18060</v>
      </c>
      <c r="H27" s="109">
        <v>80351</v>
      </c>
      <c r="I27" s="109">
        <v>6147</v>
      </c>
      <c r="J27" s="109">
        <v>86498</v>
      </c>
      <c r="K27" s="109">
        <v>55372</v>
      </c>
      <c r="L27" s="109">
        <v>159930</v>
      </c>
      <c r="M27" s="109">
        <f t="shared" si="0"/>
        <v>57.302042278753134</v>
      </c>
      <c r="N27" s="108">
        <v>2791</v>
      </c>
    </row>
    <row r="28" spans="1:14" ht="15.75" thickBot="1" x14ac:dyDescent="0.3">
      <c r="A28" s="44" t="s">
        <v>1071</v>
      </c>
      <c r="B28" s="107" t="s">
        <v>1072</v>
      </c>
      <c r="C28" s="78" t="s">
        <v>817</v>
      </c>
      <c r="D28" s="109">
        <v>11142</v>
      </c>
      <c r="E28" s="109">
        <v>5570</v>
      </c>
      <c r="F28" s="109">
        <v>4357</v>
      </c>
      <c r="G28" s="109">
        <v>21069</v>
      </c>
      <c r="H28" s="109">
        <v>63453</v>
      </c>
      <c r="I28" s="109">
        <v>22131</v>
      </c>
      <c r="J28" s="109">
        <v>85584</v>
      </c>
      <c r="K28" s="109">
        <v>127260</v>
      </c>
      <c r="L28" s="109">
        <v>233913</v>
      </c>
      <c r="M28" s="109">
        <f t="shared" si="0"/>
        <v>74.258095238095237</v>
      </c>
      <c r="N28" s="108">
        <v>3150</v>
      </c>
    </row>
    <row r="29" spans="1:14" ht="15.75" thickBot="1" x14ac:dyDescent="0.3">
      <c r="A29" s="44" t="s">
        <v>1083</v>
      </c>
      <c r="B29" s="107" t="s">
        <v>1084</v>
      </c>
      <c r="C29" s="78" t="s">
        <v>817</v>
      </c>
      <c r="D29" s="109">
        <v>5714</v>
      </c>
      <c r="E29" s="109">
        <v>3614</v>
      </c>
      <c r="F29" s="109">
        <v>2000</v>
      </c>
      <c r="G29" s="109">
        <v>11328</v>
      </c>
      <c r="H29" s="109">
        <v>36415</v>
      </c>
      <c r="I29" s="109">
        <v>2800</v>
      </c>
      <c r="J29" s="109">
        <v>39215</v>
      </c>
      <c r="K29" s="109">
        <v>27134</v>
      </c>
      <c r="L29" s="109">
        <v>77677</v>
      </c>
      <c r="M29" s="109">
        <f t="shared" si="0"/>
        <v>25.526454157081826</v>
      </c>
      <c r="N29" s="108">
        <v>3043</v>
      </c>
    </row>
    <row r="30" spans="1:14" ht="15.75" thickBot="1" x14ac:dyDescent="0.3">
      <c r="A30" s="44" t="s">
        <v>1091</v>
      </c>
      <c r="B30" s="107" t="s">
        <v>1092</v>
      </c>
      <c r="C30" s="78" t="s">
        <v>817</v>
      </c>
      <c r="D30" s="109">
        <v>6065</v>
      </c>
      <c r="E30" s="109">
        <v>772</v>
      </c>
      <c r="F30" s="109">
        <v>365</v>
      </c>
      <c r="G30" s="109">
        <v>7202</v>
      </c>
      <c r="H30" s="109">
        <v>19771</v>
      </c>
      <c r="I30" s="109">
        <v>1401</v>
      </c>
      <c r="J30" s="109">
        <v>21172</v>
      </c>
      <c r="K30" s="109">
        <v>9201</v>
      </c>
      <c r="L30" s="109">
        <v>37575</v>
      </c>
      <c r="M30" s="109">
        <f t="shared" si="0"/>
        <v>18.356130923302395</v>
      </c>
      <c r="N30" s="108">
        <v>2047</v>
      </c>
    </row>
    <row r="31" spans="1:14" ht="15.75" thickBot="1" x14ac:dyDescent="0.3">
      <c r="A31" s="44" t="s">
        <v>1099</v>
      </c>
      <c r="B31" s="107" t="s">
        <v>1100</v>
      </c>
      <c r="C31" s="78" t="s">
        <v>817</v>
      </c>
      <c r="D31" s="109">
        <v>14559</v>
      </c>
      <c r="E31" s="109">
        <v>6475</v>
      </c>
      <c r="F31" s="109">
        <v>5785</v>
      </c>
      <c r="G31" s="109">
        <v>26819</v>
      </c>
      <c r="H31" s="109">
        <v>107617</v>
      </c>
      <c r="I31" s="109">
        <v>13397</v>
      </c>
      <c r="J31" s="109">
        <v>121014</v>
      </c>
      <c r="K31" s="109">
        <v>23672</v>
      </c>
      <c r="L31" s="109">
        <v>171505</v>
      </c>
      <c r="M31" s="109">
        <f t="shared" si="0"/>
        <v>46.987671232876714</v>
      </c>
      <c r="N31" s="108">
        <v>3650</v>
      </c>
    </row>
    <row r="32" spans="1:14" ht="15.75" thickBot="1" x14ac:dyDescent="0.3">
      <c r="A32" s="44" t="s">
        <v>1101</v>
      </c>
      <c r="B32" s="107" t="s">
        <v>1102</v>
      </c>
      <c r="C32" s="78" t="s">
        <v>817</v>
      </c>
      <c r="D32" s="109">
        <v>2282</v>
      </c>
      <c r="E32" s="109">
        <v>934</v>
      </c>
      <c r="F32" s="109">
        <v>0</v>
      </c>
      <c r="G32" s="109">
        <v>3216</v>
      </c>
      <c r="H32" s="109">
        <v>17015</v>
      </c>
      <c r="I32" s="109">
        <v>0</v>
      </c>
      <c r="J32" s="109">
        <v>17015</v>
      </c>
      <c r="K32" s="109">
        <v>23215</v>
      </c>
      <c r="L32" s="109">
        <v>43446</v>
      </c>
      <c r="M32" s="109">
        <f t="shared" si="0"/>
        <v>23.76695842450766</v>
      </c>
      <c r="N32" s="108">
        <v>1828</v>
      </c>
    </row>
    <row r="33" spans="1:14" ht="15.75" thickBot="1" x14ac:dyDescent="0.3">
      <c r="A33" s="44" t="s">
        <v>1149</v>
      </c>
      <c r="B33" s="107" t="s">
        <v>1150</v>
      </c>
      <c r="C33" s="78" t="s">
        <v>817</v>
      </c>
      <c r="D33" s="109">
        <v>36693</v>
      </c>
      <c r="E33" s="109">
        <v>3025</v>
      </c>
      <c r="F33" s="109">
        <v>0</v>
      </c>
      <c r="G33" s="109">
        <v>39718</v>
      </c>
      <c r="H33" s="109">
        <v>81909</v>
      </c>
      <c r="I33" s="109">
        <v>23440</v>
      </c>
      <c r="J33" s="109">
        <v>105349</v>
      </c>
      <c r="K33" s="109">
        <v>74595</v>
      </c>
      <c r="L33" s="109">
        <v>219662</v>
      </c>
      <c r="M33" s="109">
        <f t="shared" si="0"/>
        <v>55.950585838003057</v>
      </c>
      <c r="N33" s="108">
        <v>3926</v>
      </c>
    </row>
    <row r="34" spans="1:14" ht="15.75" thickBot="1" x14ac:dyDescent="0.3">
      <c r="A34" s="44" t="s">
        <v>1165</v>
      </c>
      <c r="B34" s="107" t="s">
        <v>1166</v>
      </c>
      <c r="C34" s="78" t="s">
        <v>817</v>
      </c>
      <c r="D34" s="109">
        <v>14015</v>
      </c>
      <c r="E34" s="109">
        <v>1190</v>
      </c>
      <c r="F34" s="109">
        <v>2000</v>
      </c>
      <c r="G34" s="109">
        <v>17205</v>
      </c>
      <c r="H34" s="109">
        <v>49758</v>
      </c>
      <c r="I34" s="109">
        <v>0</v>
      </c>
      <c r="J34" s="109">
        <v>49758</v>
      </c>
      <c r="K34" s="109">
        <v>42872</v>
      </c>
      <c r="L34" s="109">
        <v>109835</v>
      </c>
      <c r="M34" s="109">
        <f t="shared" si="0"/>
        <v>36.153719552337066</v>
      </c>
      <c r="N34" s="108">
        <v>3038</v>
      </c>
    </row>
    <row r="35" spans="1:14" ht="15.75" thickBot="1" x14ac:dyDescent="0.3">
      <c r="A35" s="44" t="s">
        <v>1195</v>
      </c>
      <c r="B35" s="107" t="s">
        <v>1196</v>
      </c>
      <c r="C35" s="78" t="s">
        <v>817</v>
      </c>
      <c r="D35" s="109">
        <v>3978</v>
      </c>
      <c r="E35" s="109">
        <v>691</v>
      </c>
      <c r="F35" s="109">
        <v>5323</v>
      </c>
      <c r="G35" s="109">
        <v>9992</v>
      </c>
      <c r="H35" s="109">
        <v>24070</v>
      </c>
      <c r="I35" s="109">
        <v>7859</v>
      </c>
      <c r="J35" s="109">
        <v>31929</v>
      </c>
      <c r="K35" s="109">
        <v>1974</v>
      </c>
      <c r="L35" s="109">
        <v>43895</v>
      </c>
      <c r="M35" s="109">
        <f t="shared" si="0"/>
        <v>11.768096514745308</v>
      </c>
      <c r="N35" s="108">
        <v>3730</v>
      </c>
    </row>
    <row r="36" spans="1:14" ht="15.75" thickBot="1" x14ac:dyDescent="0.3">
      <c r="A36" s="44" t="s">
        <v>1203</v>
      </c>
      <c r="B36" s="107" t="s">
        <v>1204</v>
      </c>
      <c r="C36" s="78" t="s">
        <v>817</v>
      </c>
      <c r="D36" s="109">
        <v>4453</v>
      </c>
      <c r="E36" s="109">
        <v>3053</v>
      </c>
      <c r="F36" s="109">
        <v>0</v>
      </c>
      <c r="G36" s="109">
        <v>7506</v>
      </c>
      <c r="H36" s="109">
        <v>3201</v>
      </c>
      <c r="I36" s="109">
        <v>0</v>
      </c>
      <c r="J36" s="109">
        <v>3201</v>
      </c>
      <c r="K36" s="109">
        <v>13100</v>
      </c>
      <c r="L36" s="109">
        <v>23807</v>
      </c>
      <c r="M36" s="109">
        <f t="shared" si="0"/>
        <v>8.7045703839122481</v>
      </c>
      <c r="N36" s="108">
        <v>2735</v>
      </c>
    </row>
    <row r="37" spans="1:14" ht="15.75" thickBot="1" x14ac:dyDescent="0.3">
      <c r="A37" s="44" t="s">
        <v>1205</v>
      </c>
      <c r="B37" s="107" t="s">
        <v>1206</v>
      </c>
      <c r="C37" s="78" t="s">
        <v>817</v>
      </c>
      <c r="D37" s="109">
        <v>21931</v>
      </c>
      <c r="E37" s="109">
        <v>2740</v>
      </c>
      <c r="F37" s="109">
        <v>4058</v>
      </c>
      <c r="G37" s="109">
        <v>28729</v>
      </c>
      <c r="H37" s="109">
        <v>71580</v>
      </c>
      <c r="I37" s="109">
        <v>21580</v>
      </c>
      <c r="J37" s="109">
        <v>93160</v>
      </c>
      <c r="K37" s="109">
        <v>19126</v>
      </c>
      <c r="L37" s="109">
        <v>141015</v>
      </c>
      <c r="M37" s="109">
        <f t="shared" si="0"/>
        <v>74.218421052631584</v>
      </c>
      <c r="N37" s="108">
        <v>1900</v>
      </c>
    </row>
    <row r="38" spans="1:14" ht="15.75" thickBot="1" x14ac:dyDescent="0.3">
      <c r="A38" s="44" t="s">
        <v>1209</v>
      </c>
      <c r="B38" s="107" t="s">
        <v>1210</v>
      </c>
      <c r="C38" s="78" t="s">
        <v>817</v>
      </c>
      <c r="D38" s="109">
        <v>12224</v>
      </c>
      <c r="E38" s="109">
        <v>4885</v>
      </c>
      <c r="F38" s="109">
        <v>2000</v>
      </c>
      <c r="G38" s="109">
        <v>19109</v>
      </c>
      <c r="H38" s="109">
        <v>63027</v>
      </c>
      <c r="I38" s="109">
        <v>31693</v>
      </c>
      <c r="J38" s="109">
        <v>94720</v>
      </c>
      <c r="K38" s="109">
        <v>31693</v>
      </c>
      <c r="L38" s="109">
        <v>145522</v>
      </c>
      <c r="M38" s="109">
        <f t="shared" si="0"/>
        <v>71.791810557474093</v>
      </c>
      <c r="N38" s="108">
        <v>2027</v>
      </c>
    </row>
    <row r="39" spans="1:14" ht="15.75" thickBot="1" x14ac:dyDescent="0.3">
      <c r="A39" s="44" t="s">
        <v>1219</v>
      </c>
      <c r="B39" s="107" t="s">
        <v>1220</v>
      </c>
      <c r="C39" s="78" t="s">
        <v>817</v>
      </c>
      <c r="D39" s="109">
        <v>4164</v>
      </c>
      <c r="E39" s="109">
        <v>612</v>
      </c>
      <c r="F39" s="109">
        <v>0</v>
      </c>
      <c r="G39" s="109">
        <v>4776</v>
      </c>
      <c r="H39" s="109">
        <v>15997</v>
      </c>
      <c r="I39" s="109">
        <v>312</v>
      </c>
      <c r="J39" s="109">
        <v>16309</v>
      </c>
      <c r="K39" s="109">
        <v>4989</v>
      </c>
      <c r="L39" s="109">
        <v>26074</v>
      </c>
      <c r="M39" s="109">
        <f t="shared" si="0"/>
        <v>9.1971781305114639</v>
      </c>
      <c r="N39" s="108">
        <v>2835</v>
      </c>
    </row>
    <row r="40" spans="1:14" ht="15.75" thickBot="1" x14ac:dyDescent="0.3">
      <c r="A40" s="44" t="s">
        <v>1225</v>
      </c>
      <c r="B40" s="107" t="s">
        <v>1226</v>
      </c>
      <c r="C40" s="78" t="s">
        <v>817</v>
      </c>
      <c r="D40" s="109">
        <v>1896</v>
      </c>
      <c r="E40" s="109">
        <v>140</v>
      </c>
      <c r="F40" s="109">
        <v>0</v>
      </c>
      <c r="G40" s="109">
        <v>2036</v>
      </c>
      <c r="H40" s="109">
        <v>26711</v>
      </c>
      <c r="I40" s="109">
        <v>4512</v>
      </c>
      <c r="J40" s="109">
        <v>31223</v>
      </c>
      <c r="K40" s="109">
        <v>24603</v>
      </c>
      <c r="L40" s="109">
        <v>57862</v>
      </c>
      <c r="M40" s="109">
        <f t="shared" si="0"/>
        <v>24.393760539629007</v>
      </c>
      <c r="N40" s="108">
        <v>2372</v>
      </c>
    </row>
    <row r="41" spans="1:14" ht="15.75" thickBot="1" x14ac:dyDescent="0.3">
      <c r="A41" s="44" t="s">
        <v>1237</v>
      </c>
      <c r="B41" s="107" t="s">
        <v>1238</v>
      </c>
      <c r="C41" s="78" t="s">
        <v>817</v>
      </c>
      <c r="D41" s="109">
        <v>3557</v>
      </c>
      <c r="E41" s="109">
        <v>1253</v>
      </c>
      <c r="F41" s="109">
        <v>199</v>
      </c>
      <c r="G41" s="109">
        <v>5009</v>
      </c>
      <c r="H41" s="109">
        <v>68755</v>
      </c>
      <c r="I41" s="109">
        <v>0</v>
      </c>
      <c r="J41" s="109">
        <v>68755</v>
      </c>
      <c r="K41" s="109">
        <v>55457</v>
      </c>
      <c r="L41" s="109">
        <v>129221</v>
      </c>
      <c r="M41" s="109">
        <f t="shared" si="0"/>
        <v>35.238887373875102</v>
      </c>
      <c r="N41" s="108">
        <v>3667</v>
      </c>
    </row>
    <row r="42" spans="1:14" ht="15.75" thickBot="1" x14ac:dyDescent="0.3">
      <c r="A42" s="44" t="s">
        <v>1243</v>
      </c>
      <c r="B42" s="107" t="s">
        <v>1244</v>
      </c>
      <c r="C42" s="78" t="s">
        <v>817</v>
      </c>
      <c r="D42" s="109">
        <v>7672</v>
      </c>
      <c r="E42" s="109">
        <v>2911</v>
      </c>
      <c r="F42" s="109">
        <v>300</v>
      </c>
      <c r="G42" s="109">
        <v>10883</v>
      </c>
      <c r="H42" s="109">
        <v>45058</v>
      </c>
      <c r="I42" s="109">
        <v>6326</v>
      </c>
      <c r="J42" s="109">
        <v>51384</v>
      </c>
      <c r="K42" s="109">
        <v>15894</v>
      </c>
      <c r="L42" s="109">
        <v>78161</v>
      </c>
      <c r="M42" s="109">
        <f t="shared" si="0"/>
        <v>158.86382113821139</v>
      </c>
      <c r="N42" s="108">
        <v>492</v>
      </c>
    </row>
    <row r="43" spans="1:14" ht="15.75" thickBot="1" x14ac:dyDescent="0.3">
      <c r="A43" s="44" t="s">
        <v>1259</v>
      </c>
      <c r="B43" s="107" t="s">
        <v>1260</v>
      </c>
      <c r="C43" s="78" t="s">
        <v>817</v>
      </c>
      <c r="D43" s="109">
        <v>3724</v>
      </c>
      <c r="E43" s="109">
        <v>1563</v>
      </c>
      <c r="F43" s="109">
        <v>0</v>
      </c>
      <c r="G43" s="109">
        <v>5287</v>
      </c>
      <c r="H43" s="109">
        <v>20078</v>
      </c>
      <c r="I43" s="109">
        <v>125</v>
      </c>
      <c r="J43" s="109">
        <v>20203</v>
      </c>
      <c r="K43" s="109">
        <v>14591</v>
      </c>
      <c r="L43" s="109">
        <v>40081</v>
      </c>
      <c r="M43" s="109">
        <f t="shared" si="0"/>
        <v>12.867094703049759</v>
      </c>
      <c r="N43" s="108">
        <v>3115</v>
      </c>
    </row>
    <row r="44" spans="1:14" ht="15.75" thickBot="1" x14ac:dyDescent="0.3">
      <c r="A44" s="44" t="s">
        <v>1275</v>
      </c>
      <c r="B44" s="107" t="s">
        <v>1276</v>
      </c>
      <c r="C44" s="78" t="s">
        <v>817</v>
      </c>
      <c r="D44" s="109">
        <v>3492</v>
      </c>
      <c r="E44" s="109">
        <v>1137</v>
      </c>
      <c r="F44" s="109">
        <v>1500</v>
      </c>
      <c r="G44" s="109">
        <v>6129</v>
      </c>
      <c r="H44" s="109">
        <v>12500</v>
      </c>
      <c r="I44" s="109">
        <v>460</v>
      </c>
      <c r="J44" s="109">
        <v>12960</v>
      </c>
      <c r="K44" s="109">
        <v>45330</v>
      </c>
      <c r="L44" s="109">
        <v>64419</v>
      </c>
      <c r="M44" s="109">
        <f t="shared" si="0"/>
        <v>26.401229508196721</v>
      </c>
      <c r="N44" s="108">
        <v>2440</v>
      </c>
    </row>
    <row r="45" spans="1:14" ht="15.75" thickBot="1" x14ac:dyDescent="0.3">
      <c r="A45" s="44" t="s">
        <v>1283</v>
      </c>
      <c r="B45" s="107" t="s">
        <v>1284</v>
      </c>
      <c r="C45" s="78" t="s">
        <v>817</v>
      </c>
      <c r="D45" s="109">
        <v>5385</v>
      </c>
      <c r="E45" s="109">
        <v>301</v>
      </c>
      <c r="F45" s="109">
        <v>0</v>
      </c>
      <c r="G45" s="109">
        <v>5686</v>
      </c>
      <c r="H45" s="109">
        <v>39446</v>
      </c>
      <c r="I45" s="109">
        <v>4786</v>
      </c>
      <c r="J45" s="109">
        <v>44232</v>
      </c>
      <c r="K45" s="109">
        <v>24026</v>
      </c>
      <c r="L45" s="109">
        <v>73944</v>
      </c>
      <c r="M45" s="109">
        <f t="shared" si="0"/>
        <v>21.539178561025341</v>
      </c>
      <c r="N45" s="108">
        <v>3433</v>
      </c>
    </row>
    <row r="46" spans="1:14" ht="15.75" thickBot="1" x14ac:dyDescent="0.3">
      <c r="A46" s="44" t="s">
        <v>1303</v>
      </c>
      <c r="B46" s="107" t="s">
        <v>1304</v>
      </c>
      <c r="C46" s="78" t="s">
        <v>817</v>
      </c>
      <c r="D46" s="109">
        <v>8188</v>
      </c>
      <c r="E46" s="109">
        <v>4990</v>
      </c>
      <c r="F46" s="109">
        <v>0</v>
      </c>
      <c r="G46" s="109">
        <v>13178</v>
      </c>
      <c r="H46" s="109">
        <v>32203</v>
      </c>
      <c r="I46" s="109">
        <v>2456</v>
      </c>
      <c r="J46" s="109">
        <v>34659</v>
      </c>
      <c r="K46" s="109">
        <v>32127</v>
      </c>
      <c r="L46" s="109">
        <v>79964</v>
      </c>
      <c r="M46" s="109">
        <f t="shared" si="0"/>
        <v>43.270562770562769</v>
      </c>
      <c r="N46" s="108">
        <v>1848</v>
      </c>
    </row>
    <row r="47" spans="1:14" ht="15.75" thickBot="1" x14ac:dyDescent="0.3">
      <c r="A47" s="44" t="s">
        <v>1319</v>
      </c>
      <c r="B47" s="107" t="s">
        <v>1320</v>
      </c>
      <c r="C47" s="78" t="s">
        <v>817</v>
      </c>
      <c r="D47" s="109">
        <v>19421</v>
      </c>
      <c r="E47" s="109">
        <v>3439</v>
      </c>
      <c r="F47" s="109">
        <v>2000</v>
      </c>
      <c r="G47" s="109">
        <v>24860</v>
      </c>
      <c r="H47" s="109">
        <v>104230</v>
      </c>
      <c r="I47" s="109">
        <v>7924</v>
      </c>
      <c r="J47" s="109">
        <v>112154</v>
      </c>
      <c r="K47" s="109">
        <v>63113</v>
      </c>
      <c r="L47" s="109">
        <v>200127</v>
      </c>
      <c r="M47" s="109">
        <f t="shared" si="0"/>
        <v>54.904526748971193</v>
      </c>
      <c r="N47" s="108">
        <v>3645</v>
      </c>
    </row>
    <row r="48" spans="1:14" ht="15.75" thickBot="1" x14ac:dyDescent="0.3">
      <c r="A48" s="44" t="s">
        <v>1333</v>
      </c>
      <c r="B48" s="107" t="s">
        <v>1334</v>
      </c>
      <c r="C48" s="78" t="s">
        <v>817</v>
      </c>
      <c r="D48" s="109">
        <v>3847</v>
      </c>
      <c r="E48" s="109">
        <v>500</v>
      </c>
      <c r="F48" s="109">
        <v>350</v>
      </c>
      <c r="G48" s="109">
        <v>4697</v>
      </c>
      <c r="H48" s="109">
        <v>40457</v>
      </c>
      <c r="I48" s="109">
        <v>3325</v>
      </c>
      <c r="J48" s="109">
        <v>43782</v>
      </c>
      <c r="K48" s="109">
        <v>16349</v>
      </c>
      <c r="L48" s="109">
        <v>64828</v>
      </c>
      <c r="M48" s="109">
        <f t="shared" si="0"/>
        <v>17.621092688230497</v>
      </c>
      <c r="N48" s="108">
        <v>3679</v>
      </c>
    </row>
    <row r="49" spans="1:14" ht="15.75" thickBot="1" x14ac:dyDescent="0.3">
      <c r="A49" s="44" t="s">
        <v>1337</v>
      </c>
      <c r="B49" s="107" t="s">
        <v>1338</v>
      </c>
      <c r="C49" s="78" t="s">
        <v>817</v>
      </c>
      <c r="D49" s="109">
        <v>1000</v>
      </c>
      <c r="E49" s="109">
        <v>128</v>
      </c>
      <c r="F49" s="109">
        <v>0</v>
      </c>
      <c r="G49" s="109">
        <v>1128</v>
      </c>
      <c r="H49" s="109">
        <v>25298</v>
      </c>
      <c r="I49" s="109">
        <v>17917</v>
      </c>
      <c r="J49" s="109">
        <v>43215</v>
      </c>
      <c r="K49" s="109">
        <v>3015</v>
      </c>
      <c r="L49" s="109">
        <v>47358</v>
      </c>
      <c r="M49" s="109">
        <f t="shared" si="0"/>
        <v>25.878688524590164</v>
      </c>
      <c r="N49" s="108">
        <v>1830</v>
      </c>
    </row>
    <row r="50" spans="1:14" ht="15.75" thickBot="1" x14ac:dyDescent="0.3">
      <c r="A50" s="44" t="s">
        <v>1359</v>
      </c>
      <c r="B50" s="107" t="s">
        <v>1360</v>
      </c>
      <c r="C50" s="78" t="s">
        <v>817</v>
      </c>
      <c r="D50" s="109">
        <v>10372</v>
      </c>
      <c r="E50" s="109">
        <v>3824</v>
      </c>
      <c r="F50" s="109">
        <v>3247</v>
      </c>
      <c r="G50" s="109">
        <v>17443</v>
      </c>
      <c r="H50" s="109">
        <v>93733</v>
      </c>
      <c r="I50" s="109">
        <v>6837</v>
      </c>
      <c r="J50" s="109">
        <v>100570</v>
      </c>
      <c r="K50" s="109">
        <v>9643</v>
      </c>
      <c r="L50" s="109">
        <v>127656</v>
      </c>
      <c r="M50" s="109">
        <f t="shared" si="0"/>
        <v>65.835997937080975</v>
      </c>
      <c r="N50" s="108">
        <v>1939</v>
      </c>
    </row>
    <row r="51" spans="1:14" ht="15.75" thickBot="1" x14ac:dyDescent="0.3">
      <c r="A51" s="44" t="s">
        <v>1397</v>
      </c>
      <c r="B51" s="107" t="s">
        <v>1398</v>
      </c>
      <c r="C51" s="78" t="s">
        <v>817</v>
      </c>
      <c r="D51" s="109">
        <v>3237</v>
      </c>
      <c r="E51" s="109">
        <v>2774</v>
      </c>
      <c r="F51" s="109">
        <v>2306</v>
      </c>
      <c r="G51" s="109">
        <v>8317</v>
      </c>
      <c r="H51" s="109">
        <v>32426</v>
      </c>
      <c r="I51" s="109">
        <v>2471</v>
      </c>
      <c r="J51" s="109">
        <v>34897</v>
      </c>
      <c r="K51" s="109">
        <v>14813</v>
      </c>
      <c r="L51" s="109">
        <v>58027</v>
      </c>
      <c r="M51" s="109">
        <f t="shared" si="0"/>
        <v>15.51939021128644</v>
      </c>
      <c r="N51" s="108">
        <v>3739</v>
      </c>
    </row>
    <row r="52" spans="1:14" ht="15.75" thickBot="1" x14ac:dyDescent="0.3">
      <c r="A52" s="44" t="s">
        <v>1407</v>
      </c>
      <c r="B52" s="107" t="s">
        <v>1408</v>
      </c>
      <c r="C52" s="78" t="s">
        <v>817</v>
      </c>
      <c r="D52" s="109">
        <v>4478</v>
      </c>
      <c r="E52" s="109">
        <v>0</v>
      </c>
      <c r="F52" s="109">
        <v>0</v>
      </c>
      <c r="G52" s="109">
        <v>4478</v>
      </c>
      <c r="H52" s="109">
        <v>14067</v>
      </c>
      <c r="I52" s="109">
        <v>6497</v>
      </c>
      <c r="J52" s="109">
        <v>20564</v>
      </c>
      <c r="K52" s="109">
        <v>10311</v>
      </c>
      <c r="L52" s="109">
        <v>35353</v>
      </c>
      <c r="M52" s="109">
        <f t="shared" si="0"/>
        <v>23.443633952254643</v>
      </c>
      <c r="N52" s="108">
        <v>1508</v>
      </c>
    </row>
    <row r="53" spans="1:14" ht="15.75" thickBot="1" x14ac:dyDescent="0.3">
      <c r="A53" s="44" t="s">
        <v>1409</v>
      </c>
      <c r="B53" s="107" t="s">
        <v>1410</v>
      </c>
      <c r="C53" s="78" t="s">
        <v>817</v>
      </c>
      <c r="D53" s="109">
        <v>5110</v>
      </c>
      <c r="E53" s="109">
        <v>1984</v>
      </c>
      <c r="F53" s="109">
        <v>233</v>
      </c>
      <c r="G53" s="109">
        <v>7327</v>
      </c>
      <c r="H53" s="109">
        <v>34411</v>
      </c>
      <c r="I53" s="109">
        <v>2533</v>
      </c>
      <c r="J53" s="109">
        <v>36944</v>
      </c>
      <c r="K53" s="109">
        <v>14515</v>
      </c>
      <c r="L53" s="109">
        <v>58786</v>
      </c>
      <c r="M53" s="109">
        <f t="shared" si="0"/>
        <v>15.75609756097561</v>
      </c>
      <c r="N53" s="108">
        <v>3731</v>
      </c>
    </row>
    <row r="54" spans="1:14" ht="15.75" thickBot="1" x14ac:dyDescent="0.3">
      <c r="A54" s="44" t="s">
        <v>1413</v>
      </c>
      <c r="B54" s="107" t="s">
        <v>1414</v>
      </c>
      <c r="C54" s="78" t="s">
        <v>817</v>
      </c>
      <c r="D54" s="109">
        <v>10767</v>
      </c>
      <c r="E54" s="109">
        <v>4827</v>
      </c>
      <c r="F54" s="109">
        <v>0</v>
      </c>
      <c r="G54" s="109">
        <v>15594</v>
      </c>
      <c r="H54" s="109">
        <v>44997</v>
      </c>
      <c r="I54" s="109">
        <v>3297</v>
      </c>
      <c r="J54" s="109">
        <v>48294</v>
      </c>
      <c r="K54" s="109">
        <v>14503</v>
      </c>
      <c r="L54" s="109">
        <v>78391</v>
      </c>
      <c r="M54" s="109">
        <f t="shared" si="0"/>
        <v>21.336690255851934</v>
      </c>
      <c r="N54" s="108">
        <v>3674</v>
      </c>
    </row>
    <row r="55" spans="1:14" ht="15.75" thickBot="1" x14ac:dyDescent="0.3">
      <c r="A55" s="44" t="s">
        <v>1415</v>
      </c>
      <c r="B55" s="107" t="s">
        <v>1416</v>
      </c>
      <c r="C55" s="78" t="s">
        <v>817</v>
      </c>
      <c r="D55" s="109">
        <v>5573</v>
      </c>
      <c r="E55" s="109">
        <v>0</v>
      </c>
      <c r="F55" s="109">
        <v>350</v>
      </c>
      <c r="G55" s="109">
        <v>5923</v>
      </c>
      <c r="H55" s="109">
        <v>18265</v>
      </c>
      <c r="I55" s="109">
        <v>573</v>
      </c>
      <c r="J55" s="109">
        <v>18838</v>
      </c>
      <c r="K55" s="109">
        <v>6863</v>
      </c>
      <c r="L55" s="109">
        <v>31624</v>
      </c>
      <c r="M55" s="109">
        <f t="shared" si="0"/>
        <v>35.854875283446709</v>
      </c>
      <c r="N55" s="108">
        <v>882</v>
      </c>
    </row>
    <row r="56" spans="1:14" ht="15.75" thickBot="1" x14ac:dyDescent="0.3">
      <c r="A56" s="44" t="s">
        <v>1459</v>
      </c>
      <c r="B56" s="107" t="s">
        <v>1460</v>
      </c>
      <c r="C56" s="78" t="s">
        <v>817</v>
      </c>
      <c r="D56" s="109">
        <v>8308</v>
      </c>
      <c r="E56" s="109">
        <v>1456</v>
      </c>
      <c r="F56" s="109">
        <v>846</v>
      </c>
      <c r="G56" s="109">
        <v>10610</v>
      </c>
      <c r="H56" s="109">
        <v>127390</v>
      </c>
      <c r="I56" s="109">
        <v>3847</v>
      </c>
      <c r="J56" s="109">
        <v>131237</v>
      </c>
      <c r="K56" s="109">
        <v>45749</v>
      </c>
      <c r="L56" s="109">
        <v>187596</v>
      </c>
      <c r="M56" s="109">
        <f t="shared" si="0"/>
        <v>49.69430463576159</v>
      </c>
      <c r="N56" s="108">
        <v>3775</v>
      </c>
    </row>
    <row r="57" spans="1:14" ht="15.75" thickBot="1" x14ac:dyDescent="0.3">
      <c r="A57" s="44" t="s">
        <v>1465</v>
      </c>
      <c r="B57" s="107" t="s">
        <v>1466</v>
      </c>
      <c r="C57" s="78" t="s">
        <v>817</v>
      </c>
      <c r="D57" s="109">
        <v>7632</v>
      </c>
      <c r="E57" s="109">
        <v>658</v>
      </c>
      <c r="F57" s="109">
        <v>300</v>
      </c>
      <c r="G57" s="109">
        <v>8590</v>
      </c>
      <c r="H57" s="109">
        <v>34705</v>
      </c>
      <c r="I57" s="109">
        <v>0</v>
      </c>
      <c r="J57" s="109">
        <v>34705</v>
      </c>
      <c r="K57" s="109">
        <v>14520</v>
      </c>
      <c r="L57" s="109">
        <v>57815</v>
      </c>
      <c r="M57" s="109">
        <f t="shared" si="0"/>
        <v>18.424155513065646</v>
      </c>
      <c r="N57" s="108">
        <v>3138</v>
      </c>
    </row>
    <row r="58" spans="1:14" ht="15.75" thickBot="1" x14ac:dyDescent="0.3">
      <c r="A58" s="44" t="s">
        <v>1476</v>
      </c>
      <c r="B58" s="107" t="s">
        <v>1477</v>
      </c>
      <c r="C58" s="78" t="s">
        <v>817</v>
      </c>
      <c r="D58" s="109">
        <v>4911</v>
      </c>
      <c r="E58" s="109">
        <v>1288</v>
      </c>
      <c r="F58" s="109">
        <v>1819</v>
      </c>
      <c r="G58" s="109">
        <v>8018</v>
      </c>
      <c r="H58" s="109">
        <v>40961</v>
      </c>
      <c r="I58" s="109">
        <v>2375</v>
      </c>
      <c r="J58" s="109">
        <v>43336</v>
      </c>
      <c r="K58" s="109">
        <v>26204</v>
      </c>
      <c r="L58" s="109">
        <v>77558</v>
      </c>
      <c r="M58" s="109">
        <f t="shared" si="0"/>
        <v>22.624854142357059</v>
      </c>
      <c r="N58" s="108">
        <v>3428</v>
      </c>
    </row>
    <row r="59" spans="1:14" ht="15.75" thickBot="1" x14ac:dyDescent="0.3">
      <c r="A59" s="44" t="s">
        <v>1478</v>
      </c>
      <c r="B59" s="107" t="s">
        <v>1479</v>
      </c>
      <c r="C59" s="78" t="s">
        <v>817</v>
      </c>
      <c r="D59" s="109">
        <v>3000</v>
      </c>
      <c r="E59" s="109">
        <v>470</v>
      </c>
      <c r="F59" s="109">
        <v>556</v>
      </c>
      <c r="G59" s="109">
        <v>4026</v>
      </c>
      <c r="H59" s="109">
        <v>20300</v>
      </c>
      <c r="I59" s="109">
        <v>4300</v>
      </c>
      <c r="J59" s="109">
        <v>24600</v>
      </c>
      <c r="K59" s="109">
        <v>19974</v>
      </c>
      <c r="L59" s="109">
        <v>48600</v>
      </c>
      <c r="M59" s="109">
        <f t="shared" si="0"/>
        <v>25.155279503105589</v>
      </c>
      <c r="N59" s="108">
        <v>1932</v>
      </c>
    </row>
    <row r="60" spans="1:14" ht="15.75" thickBot="1" x14ac:dyDescent="0.3">
      <c r="A60" s="44" t="s">
        <v>1500</v>
      </c>
      <c r="B60" s="107" t="s">
        <v>1501</v>
      </c>
      <c r="C60" s="78" t="s">
        <v>817</v>
      </c>
      <c r="D60" s="109">
        <v>5855</v>
      </c>
      <c r="E60" s="109">
        <v>2235</v>
      </c>
      <c r="F60" s="109">
        <v>0</v>
      </c>
      <c r="G60" s="109">
        <v>8090</v>
      </c>
      <c r="H60" s="109">
        <v>40824</v>
      </c>
      <c r="I60" s="109">
        <v>3123</v>
      </c>
      <c r="J60" s="109">
        <v>43947</v>
      </c>
      <c r="K60" s="109">
        <v>24702</v>
      </c>
      <c r="L60" s="109">
        <v>76739</v>
      </c>
      <c r="M60" s="109">
        <f t="shared" si="0"/>
        <v>32.148722245496437</v>
      </c>
      <c r="N60" s="108">
        <v>2387</v>
      </c>
    </row>
    <row r="61" spans="1:14" ht="15.75" thickBot="1" x14ac:dyDescent="0.3">
      <c r="A61" s="44" t="s">
        <v>1518</v>
      </c>
      <c r="B61" s="107" t="s">
        <v>1519</v>
      </c>
      <c r="C61" s="78" t="s">
        <v>817</v>
      </c>
      <c r="D61" s="109">
        <v>5264</v>
      </c>
      <c r="E61" s="109">
        <v>847</v>
      </c>
      <c r="F61" s="109">
        <v>394</v>
      </c>
      <c r="G61" s="109">
        <v>6505</v>
      </c>
      <c r="H61" s="109">
        <v>20239</v>
      </c>
      <c r="I61" s="109">
        <v>1549</v>
      </c>
      <c r="J61" s="109">
        <v>21788</v>
      </c>
      <c r="K61" s="109">
        <v>11134</v>
      </c>
      <c r="L61" s="109">
        <v>39427</v>
      </c>
      <c r="M61" s="109">
        <f t="shared" si="0"/>
        <v>21.050186865990391</v>
      </c>
      <c r="N61" s="108">
        <v>1873</v>
      </c>
    </row>
    <row r="62" spans="1:14" ht="15.75" thickBot="1" x14ac:dyDescent="0.3">
      <c r="A62" s="44" t="s">
        <v>1536</v>
      </c>
      <c r="B62" s="107" t="s">
        <v>1537</v>
      </c>
      <c r="C62" s="78" t="s">
        <v>817</v>
      </c>
      <c r="D62" s="109">
        <v>3599</v>
      </c>
      <c r="E62" s="109">
        <v>200</v>
      </c>
      <c r="F62" s="109">
        <v>2000</v>
      </c>
      <c r="G62" s="109">
        <v>5799</v>
      </c>
      <c r="H62" s="109">
        <v>25427</v>
      </c>
      <c r="I62" s="109">
        <v>1981</v>
      </c>
      <c r="J62" s="109">
        <v>27408</v>
      </c>
      <c r="K62" s="109">
        <v>14496</v>
      </c>
      <c r="L62" s="109">
        <v>47703</v>
      </c>
      <c r="M62" s="109">
        <f t="shared" si="0"/>
        <v>28.875907990314769</v>
      </c>
      <c r="N62" s="108">
        <v>1652</v>
      </c>
    </row>
    <row r="63" spans="1:14" ht="15.75" thickBot="1" x14ac:dyDescent="0.3">
      <c r="A63" s="44" t="s">
        <v>1548</v>
      </c>
      <c r="B63" s="107" t="s">
        <v>1549</v>
      </c>
      <c r="C63" s="78" t="s">
        <v>817</v>
      </c>
      <c r="D63" s="109">
        <v>8110</v>
      </c>
      <c r="E63" s="109">
        <v>3901</v>
      </c>
      <c r="F63" s="109">
        <v>367</v>
      </c>
      <c r="G63" s="109">
        <v>12378</v>
      </c>
      <c r="H63" s="109">
        <v>37995</v>
      </c>
      <c r="I63" s="109">
        <v>4765</v>
      </c>
      <c r="J63" s="109">
        <v>42760</v>
      </c>
      <c r="K63" s="109">
        <v>23762</v>
      </c>
      <c r="L63" s="109">
        <v>78900</v>
      </c>
      <c r="M63" s="109">
        <f t="shared" si="0"/>
        <v>20.256739409499357</v>
      </c>
      <c r="N63" s="108">
        <v>3895</v>
      </c>
    </row>
    <row r="64" spans="1:14" ht="15.75" thickBot="1" x14ac:dyDescent="0.3">
      <c r="A64" s="44" t="s">
        <v>1554</v>
      </c>
      <c r="B64" s="107" t="s">
        <v>1555</v>
      </c>
      <c r="C64" s="78" t="s">
        <v>817</v>
      </c>
      <c r="D64" s="109">
        <v>8239</v>
      </c>
      <c r="E64" s="109">
        <v>980</v>
      </c>
      <c r="F64" s="109">
        <v>300</v>
      </c>
      <c r="G64" s="109">
        <v>9519</v>
      </c>
      <c r="H64" s="109">
        <v>43598</v>
      </c>
      <c r="I64" s="109">
        <v>22521</v>
      </c>
      <c r="J64" s="109">
        <v>66119</v>
      </c>
      <c r="K64" s="109">
        <v>15325</v>
      </c>
      <c r="L64" s="109">
        <v>90963</v>
      </c>
      <c r="M64" s="109">
        <f t="shared" si="0"/>
        <v>42.190630797773657</v>
      </c>
      <c r="N64" s="108">
        <v>2156</v>
      </c>
    </row>
    <row r="65" spans="1:14" ht="15.75" thickBot="1" x14ac:dyDescent="0.3">
      <c r="A65" s="44" t="s">
        <v>1556</v>
      </c>
      <c r="B65" s="107" t="s">
        <v>1557</v>
      </c>
      <c r="C65" s="78" t="s">
        <v>817</v>
      </c>
      <c r="D65" s="109">
        <v>5159</v>
      </c>
      <c r="E65" s="109">
        <v>313</v>
      </c>
      <c r="F65" s="109">
        <v>0</v>
      </c>
      <c r="G65" s="109">
        <v>5472</v>
      </c>
      <c r="H65" s="109">
        <v>41207</v>
      </c>
      <c r="I65" s="109">
        <v>3381</v>
      </c>
      <c r="J65" s="109">
        <v>44588</v>
      </c>
      <c r="K65" s="109">
        <v>21490</v>
      </c>
      <c r="L65" s="109">
        <v>71550</v>
      </c>
      <c r="M65" s="109">
        <f t="shared" si="0"/>
        <v>28.90909090909091</v>
      </c>
      <c r="N65" s="108">
        <v>2475</v>
      </c>
    </row>
    <row r="66" spans="1:14" ht="15.75" thickBot="1" x14ac:dyDescent="0.3">
      <c r="A66" s="44" t="s">
        <v>1558</v>
      </c>
      <c r="B66" s="107" t="s">
        <v>1559</v>
      </c>
      <c r="C66" s="78" t="s">
        <v>817</v>
      </c>
      <c r="D66" s="109">
        <v>732</v>
      </c>
      <c r="E66" s="109">
        <v>0</v>
      </c>
      <c r="F66" s="109">
        <v>0</v>
      </c>
      <c r="G66" s="109">
        <v>732</v>
      </c>
      <c r="H66" s="109">
        <v>9890</v>
      </c>
      <c r="I66" s="109">
        <v>7461</v>
      </c>
      <c r="J66" s="109">
        <v>17351</v>
      </c>
      <c r="K66" s="109">
        <v>6629</v>
      </c>
      <c r="L66" s="109">
        <v>24712</v>
      </c>
      <c r="M66" s="109">
        <f t="shared" si="0"/>
        <v>12.556910569105691</v>
      </c>
      <c r="N66" s="108">
        <v>1968</v>
      </c>
    </row>
    <row r="67" spans="1:14" ht="15.75" thickBot="1" x14ac:dyDescent="0.3">
      <c r="A67" s="44" t="s">
        <v>1568</v>
      </c>
      <c r="B67" s="107" t="s">
        <v>1569</v>
      </c>
      <c r="C67" s="78" t="s">
        <v>817</v>
      </c>
      <c r="D67" s="109">
        <v>2400</v>
      </c>
      <c r="E67" s="109">
        <v>0</v>
      </c>
      <c r="F67" s="109">
        <v>0</v>
      </c>
      <c r="G67" s="109">
        <v>2400</v>
      </c>
      <c r="H67" s="109">
        <v>14196</v>
      </c>
      <c r="I67" s="109">
        <v>0</v>
      </c>
      <c r="J67" s="109">
        <v>14196</v>
      </c>
      <c r="K67" s="109">
        <v>1714</v>
      </c>
      <c r="L67" s="109">
        <v>18310</v>
      </c>
      <c r="M67" s="109">
        <f t="shared" si="0"/>
        <v>8.3151680290644876</v>
      </c>
      <c r="N67" s="108">
        <v>2202</v>
      </c>
    </row>
    <row r="68" spans="1:14" ht="15.75" thickBot="1" x14ac:dyDescent="0.3">
      <c r="A68" s="44" t="s">
        <v>1580</v>
      </c>
      <c r="B68" s="107" t="s">
        <v>1581</v>
      </c>
      <c r="C68" s="78" t="s">
        <v>817</v>
      </c>
      <c r="D68" s="109">
        <v>10437</v>
      </c>
      <c r="E68" s="109">
        <v>0</v>
      </c>
      <c r="F68" s="109">
        <v>0</v>
      </c>
      <c r="G68" s="109">
        <v>10437</v>
      </c>
      <c r="H68" s="109">
        <v>43786</v>
      </c>
      <c r="I68" s="109">
        <v>3349</v>
      </c>
      <c r="J68" s="109">
        <v>47135</v>
      </c>
      <c r="K68" s="109">
        <v>14992</v>
      </c>
      <c r="L68" s="109">
        <v>72564</v>
      </c>
      <c r="M68" s="109">
        <f t="shared" ref="M68:M131" si="1">L68/N68</f>
        <v>24.910401647785786</v>
      </c>
      <c r="N68" s="108">
        <v>2913</v>
      </c>
    </row>
    <row r="69" spans="1:14" ht="15.75" thickBot="1" x14ac:dyDescent="0.3">
      <c r="A69" s="44" t="s">
        <v>1592</v>
      </c>
      <c r="B69" s="107" t="s">
        <v>1593</v>
      </c>
      <c r="C69" s="78" t="s">
        <v>817</v>
      </c>
      <c r="D69" s="109">
        <v>8868</v>
      </c>
      <c r="E69" s="109">
        <v>1580</v>
      </c>
      <c r="F69" s="109">
        <v>250</v>
      </c>
      <c r="G69" s="109">
        <v>10698</v>
      </c>
      <c r="H69" s="109">
        <v>28446</v>
      </c>
      <c r="I69" s="109">
        <v>0</v>
      </c>
      <c r="J69" s="109">
        <v>28446</v>
      </c>
      <c r="K69" s="109">
        <v>21765</v>
      </c>
      <c r="L69" s="109">
        <v>60909</v>
      </c>
      <c r="M69" s="109">
        <f t="shared" si="1"/>
        <v>105.92869565217391</v>
      </c>
      <c r="N69" s="108">
        <v>575</v>
      </c>
    </row>
    <row r="70" spans="1:14" ht="15.75" thickBot="1" x14ac:dyDescent="0.3">
      <c r="A70" s="44" t="s">
        <v>1600</v>
      </c>
      <c r="B70" s="107" t="s">
        <v>1601</v>
      </c>
      <c r="C70" s="78" t="s">
        <v>817</v>
      </c>
      <c r="D70" s="109">
        <v>11358</v>
      </c>
      <c r="E70" s="109">
        <v>1862</v>
      </c>
      <c r="F70" s="109">
        <v>705</v>
      </c>
      <c r="G70" s="109">
        <v>13925</v>
      </c>
      <c r="H70" s="109">
        <v>33392</v>
      </c>
      <c r="I70" s="109">
        <v>7257</v>
      </c>
      <c r="J70" s="109">
        <v>40649</v>
      </c>
      <c r="K70" s="109">
        <v>13562</v>
      </c>
      <c r="L70" s="109">
        <v>68136</v>
      </c>
      <c r="M70" s="109">
        <f t="shared" si="1"/>
        <v>24.885317750182615</v>
      </c>
      <c r="N70" s="108">
        <v>2738</v>
      </c>
    </row>
    <row r="71" spans="1:14" ht="15.75" thickBot="1" x14ac:dyDescent="0.3">
      <c r="A71" s="44" t="s">
        <v>796</v>
      </c>
      <c r="B71" s="107" t="s">
        <v>797</v>
      </c>
      <c r="C71" s="78" t="s">
        <v>798</v>
      </c>
      <c r="D71" s="109">
        <v>14395</v>
      </c>
      <c r="E71" s="109">
        <v>9335</v>
      </c>
      <c r="F71" s="109">
        <v>3682</v>
      </c>
      <c r="G71" s="109">
        <v>27412</v>
      </c>
      <c r="H71" s="109">
        <v>109033</v>
      </c>
      <c r="I71" s="109">
        <v>8710</v>
      </c>
      <c r="J71" s="109">
        <v>117743</v>
      </c>
      <c r="K71" s="109">
        <v>93596</v>
      </c>
      <c r="L71" s="109">
        <v>238751</v>
      </c>
      <c r="M71" s="109">
        <f t="shared" si="1"/>
        <v>37.59266257282318</v>
      </c>
      <c r="N71" s="108">
        <v>6351</v>
      </c>
    </row>
    <row r="72" spans="1:14" ht="15.75" thickBot="1" x14ac:dyDescent="0.3">
      <c r="A72" s="44" t="s">
        <v>827</v>
      </c>
      <c r="B72" s="107" t="s">
        <v>828</v>
      </c>
      <c r="C72" s="78" t="s">
        <v>798</v>
      </c>
      <c r="D72" s="109">
        <v>20612</v>
      </c>
      <c r="E72" s="109">
        <v>5813</v>
      </c>
      <c r="F72" s="109">
        <v>1500</v>
      </c>
      <c r="G72" s="109">
        <v>27925</v>
      </c>
      <c r="H72" s="109">
        <v>166469</v>
      </c>
      <c r="I72" s="109">
        <v>60356</v>
      </c>
      <c r="J72" s="109">
        <v>226825</v>
      </c>
      <c r="K72" s="109">
        <v>69303</v>
      </c>
      <c r="L72" s="109">
        <v>324053</v>
      </c>
      <c r="M72" s="109">
        <f t="shared" si="1"/>
        <v>49.225732948503719</v>
      </c>
      <c r="N72" s="108">
        <v>6583</v>
      </c>
    </row>
    <row r="73" spans="1:14" ht="15.75" thickBot="1" x14ac:dyDescent="0.3">
      <c r="A73" s="44" t="s">
        <v>838</v>
      </c>
      <c r="B73" s="107" t="s">
        <v>839</v>
      </c>
      <c r="C73" s="78" t="s">
        <v>798</v>
      </c>
      <c r="D73" s="109">
        <v>25150</v>
      </c>
      <c r="E73" s="109">
        <v>3000</v>
      </c>
      <c r="F73" s="109">
        <v>5432</v>
      </c>
      <c r="G73" s="109">
        <v>33582</v>
      </c>
      <c r="H73" s="109">
        <v>124380</v>
      </c>
      <c r="I73" s="109">
        <v>9515</v>
      </c>
      <c r="J73" s="109">
        <v>133895</v>
      </c>
      <c r="K73" s="109">
        <v>83641</v>
      </c>
      <c r="L73" s="109">
        <v>251118</v>
      </c>
      <c r="M73" s="109">
        <f t="shared" si="1"/>
        <v>46.68488566648076</v>
      </c>
      <c r="N73" s="108">
        <v>5379</v>
      </c>
    </row>
    <row r="74" spans="1:14" ht="15.75" thickBot="1" x14ac:dyDescent="0.3">
      <c r="A74" s="44" t="s">
        <v>842</v>
      </c>
      <c r="B74" s="107" t="s">
        <v>843</v>
      </c>
      <c r="C74" s="78" t="s">
        <v>798</v>
      </c>
      <c r="D74" s="109">
        <v>2541</v>
      </c>
      <c r="E74" s="109">
        <v>499</v>
      </c>
      <c r="F74" s="109">
        <v>658</v>
      </c>
      <c r="G74" s="109">
        <v>3698</v>
      </c>
      <c r="H74" s="109">
        <v>28677</v>
      </c>
      <c r="I74" s="109">
        <v>5031</v>
      </c>
      <c r="J74" s="109">
        <v>33708</v>
      </c>
      <c r="K74" s="109">
        <v>10473</v>
      </c>
      <c r="L74" s="109">
        <v>47879</v>
      </c>
      <c r="M74" s="109">
        <f t="shared" si="1"/>
        <v>11.226025791324735</v>
      </c>
      <c r="N74" s="108">
        <v>4265</v>
      </c>
    </row>
    <row r="75" spans="1:14" ht="15.75" thickBot="1" x14ac:dyDescent="0.3">
      <c r="A75" s="44" t="s">
        <v>853</v>
      </c>
      <c r="B75" s="107" t="s">
        <v>854</v>
      </c>
      <c r="C75" s="78" t="s">
        <v>798</v>
      </c>
      <c r="D75" s="109">
        <v>19484</v>
      </c>
      <c r="E75" s="109">
        <v>2699</v>
      </c>
      <c r="F75" s="109">
        <v>6318</v>
      </c>
      <c r="G75" s="109">
        <v>28501</v>
      </c>
      <c r="H75" s="109">
        <v>130268</v>
      </c>
      <c r="I75" s="109">
        <v>15246</v>
      </c>
      <c r="J75" s="109">
        <v>145514</v>
      </c>
      <c r="K75" s="109">
        <v>52107</v>
      </c>
      <c r="L75" s="109">
        <v>226122</v>
      </c>
      <c r="M75" s="109">
        <f t="shared" si="1"/>
        <v>34.152242863615768</v>
      </c>
      <c r="N75" s="108">
        <v>6621</v>
      </c>
    </row>
    <row r="76" spans="1:14" ht="15.75" thickBot="1" x14ac:dyDescent="0.3">
      <c r="A76" s="44" t="s">
        <v>857</v>
      </c>
      <c r="B76" s="107" t="s">
        <v>858</v>
      </c>
      <c r="C76" s="78" t="s">
        <v>798</v>
      </c>
      <c r="D76" s="109">
        <v>15137</v>
      </c>
      <c r="E76" s="109">
        <v>2333</v>
      </c>
      <c r="F76" s="109">
        <v>2000</v>
      </c>
      <c r="G76" s="109">
        <v>19470</v>
      </c>
      <c r="H76" s="109">
        <v>92784</v>
      </c>
      <c r="I76" s="109">
        <v>7128</v>
      </c>
      <c r="J76" s="109">
        <v>99912</v>
      </c>
      <c r="K76" s="109">
        <v>29499</v>
      </c>
      <c r="L76" s="109">
        <v>148881</v>
      </c>
      <c r="M76" s="109">
        <f t="shared" si="1"/>
        <v>36.53521472392638</v>
      </c>
      <c r="N76" s="108">
        <v>4075</v>
      </c>
    </row>
    <row r="77" spans="1:14" ht="15.75" thickBot="1" x14ac:dyDescent="0.3">
      <c r="A77" s="44" t="s">
        <v>881</v>
      </c>
      <c r="B77" s="107" t="s">
        <v>882</v>
      </c>
      <c r="C77" s="78" t="s">
        <v>798</v>
      </c>
      <c r="D77" s="109">
        <v>15582</v>
      </c>
      <c r="E77" s="109">
        <v>1926</v>
      </c>
      <c r="F77" s="109">
        <v>350</v>
      </c>
      <c r="G77" s="109">
        <v>17858</v>
      </c>
      <c r="H77" s="109">
        <v>53369</v>
      </c>
      <c r="I77" s="109">
        <v>19992</v>
      </c>
      <c r="J77" s="109">
        <v>73361</v>
      </c>
      <c r="K77" s="109">
        <v>17049</v>
      </c>
      <c r="L77" s="109">
        <v>108268</v>
      </c>
      <c r="M77" s="109">
        <f t="shared" si="1"/>
        <v>19.997783524196528</v>
      </c>
      <c r="N77" s="108">
        <v>5414</v>
      </c>
    </row>
    <row r="78" spans="1:14" ht="15.75" thickBot="1" x14ac:dyDescent="0.3">
      <c r="A78" s="44" t="s">
        <v>903</v>
      </c>
      <c r="B78" s="107" t="s">
        <v>904</v>
      </c>
      <c r="C78" s="78" t="s">
        <v>798</v>
      </c>
      <c r="D78" s="109">
        <v>19957</v>
      </c>
      <c r="E78" s="109">
        <v>7440</v>
      </c>
      <c r="F78" s="109">
        <v>8156</v>
      </c>
      <c r="G78" s="109">
        <v>35553</v>
      </c>
      <c r="H78" s="109">
        <v>231761</v>
      </c>
      <c r="I78" s="109">
        <v>1325</v>
      </c>
      <c r="J78" s="109">
        <v>233086</v>
      </c>
      <c r="K78" s="109">
        <v>126703</v>
      </c>
      <c r="L78" s="109">
        <v>395342</v>
      </c>
      <c r="M78" s="109">
        <f t="shared" si="1"/>
        <v>62.7925667090216</v>
      </c>
      <c r="N78" s="108">
        <v>6296</v>
      </c>
    </row>
    <row r="79" spans="1:14" ht="15.75" thickBot="1" x14ac:dyDescent="0.3">
      <c r="A79" s="44" t="s">
        <v>909</v>
      </c>
      <c r="B79" s="107" t="s">
        <v>910</v>
      </c>
      <c r="C79" s="78" t="s">
        <v>798</v>
      </c>
      <c r="D79" s="109">
        <v>2967</v>
      </c>
      <c r="E79" s="109">
        <v>75</v>
      </c>
      <c r="F79" s="109">
        <v>0</v>
      </c>
      <c r="G79" s="109">
        <v>3042</v>
      </c>
      <c r="H79" s="109">
        <v>30768</v>
      </c>
      <c r="I79" s="109">
        <v>928</v>
      </c>
      <c r="J79" s="109">
        <v>31696</v>
      </c>
      <c r="K79" s="109">
        <v>8700</v>
      </c>
      <c r="L79" s="109">
        <v>43438</v>
      </c>
      <c r="M79" s="109">
        <f t="shared" si="1"/>
        <v>10.845942571785269</v>
      </c>
      <c r="N79" s="108">
        <v>4005</v>
      </c>
    </row>
    <row r="80" spans="1:14" ht="15.75" thickBot="1" x14ac:dyDescent="0.3">
      <c r="A80" s="44" t="s">
        <v>921</v>
      </c>
      <c r="B80" s="107" t="s">
        <v>922</v>
      </c>
      <c r="C80" s="78" t="s">
        <v>798</v>
      </c>
      <c r="D80" s="109">
        <v>1355</v>
      </c>
      <c r="E80" s="109">
        <v>1398</v>
      </c>
      <c r="F80" s="109">
        <v>900</v>
      </c>
      <c r="G80" s="109">
        <v>3653</v>
      </c>
      <c r="H80" s="109">
        <v>34558</v>
      </c>
      <c r="I80" s="109">
        <v>0</v>
      </c>
      <c r="J80" s="109">
        <v>34558</v>
      </c>
      <c r="K80" s="109">
        <v>18704</v>
      </c>
      <c r="L80" s="109">
        <v>56915</v>
      </c>
      <c r="M80" s="109">
        <f t="shared" si="1"/>
        <v>13.58029109997614</v>
      </c>
      <c r="N80" s="108">
        <v>4191</v>
      </c>
    </row>
    <row r="81" spans="1:14" ht="15.75" thickBot="1" x14ac:dyDescent="0.3">
      <c r="A81" s="44" t="s">
        <v>963</v>
      </c>
      <c r="B81" s="107" t="s">
        <v>964</v>
      </c>
      <c r="C81" s="78" t="s">
        <v>798</v>
      </c>
      <c r="D81" s="109">
        <v>7224</v>
      </c>
      <c r="E81" s="109">
        <v>2525</v>
      </c>
      <c r="F81" s="109">
        <v>3301</v>
      </c>
      <c r="G81" s="109">
        <v>13050</v>
      </c>
      <c r="H81" s="109">
        <v>86198</v>
      </c>
      <c r="I81" s="109">
        <v>8545</v>
      </c>
      <c r="J81" s="109">
        <v>94743</v>
      </c>
      <c r="K81" s="109">
        <v>41213</v>
      </c>
      <c r="L81" s="109">
        <v>149006</v>
      </c>
      <c r="M81" s="109">
        <f t="shared" si="1"/>
        <v>32.238424924275208</v>
      </c>
      <c r="N81" s="108">
        <v>4622</v>
      </c>
    </row>
    <row r="82" spans="1:14" ht="15.75" thickBot="1" x14ac:dyDescent="0.3">
      <c r="A82" s="44" t="s">
        <v>977</v>
      </c>
      <c r="B82" s="107" t="s">
        <v>978</v>
      </c>
      <c r="C82" s="78" t="s">
        <v>798</v>
      </c>
      <c r="D82" s="109">
        <v>14995</v>
      </c>
      <c r="E82" s="109">
        <v>1902</v>
      </c>
      <c r="F82" s="109">
        <v>1035</v>
      </c>
      <c r="G82" s="109">
        <v>17932</v>
      </c>
      <c r="H82" s="109">
        <v>94142</v>
      </c>
      <c r="I82" s="109">
        <v>0</v>
      </c>
      <c r="J82" s="109">
        <v>94142</v>
      </c>
      <c r="K82" s="109">
        <v>52876</v>
      </c>
      <c r="L82" s="109">
        <v>164950</v>
      </c>
      <c r="M82" s="109">
        <f t="shared" si="1"/>
        <v>33.082631367829926</v>
      </c>
      <c r="N82" s="108">
        <v>4986</v>
      </c>
    </row>
    <row r="83" spans="1:14" ht="15.75" thickBot="1" x14ac:dyDescent="0.3">
      <c r="A83" s="44" t="s">
        <v>999</v>
      </c>
      <c r="B83" s="107" t="s">
        <v>1000</v>
      </c>
      <c r="C83" s="78" t="s">
        <v>798</v>
      </c>
      <c r="D83" s="109">
        <v>13725</v>
      </c>
      <c r="E83" s="109">
        <v>579</v>
      </c>
      <c r="F83" s="109">
        <v>3124</v>
      </c>
      <c r="G83" s="109">
        <v>17428</v>
      </c>
      <c r="H83" s="109">
        <v>41902</v>
      </c>
      <c r="I83" s="109">
        <v>0</v>
      </c>
      <c r="J83" s="109">
        <v>41902</v>
      </c>
      <c r="K83" s="109">
        <v>16172</v>
      </c>
      <c r="L83" s="109">
        <v>75502</v>
      </c>
      <c r="M83" s="109">
        <f t="shared" si="1"/>
        <v>16.726185201595037</v>
      </c>
      <c r="N83" s="108">
        <v>4514</v>
      </c>
    </row>
    <row r="84" spans="1:14" ht="15.75" thickBot="1" x14ac:dyDescent="0.3">
      <c r="A84" s="44" t="s">
        <v>1013</v>
      </c>
      <c r="B84" s="107" t="s">
        <v>1014</v>
      </c>
      <c r="C84" s="78" t="s">
        <v>798</v>
      </c>
      <c r="D84" s="109">
        <v>15883</v>
      </c>
      <c r="E84" s="109">
        <v>1318</v>
      </c>
      <c r="F84" s="109">
        <v>250</v>
      </c>
      <c r="G84" s="109">
        <v>17451</v>
      </c>
      <c r="H84" s="109">
        <v>65785</v>
      </c>
      <c r="I84" s="109">
        <v>3924</v>
      </c>
      <c r="J84" s="109">
        <v>69709</v>
      </c>
      <c r="K84" s="109">
        <v>24505</v>
      </c>
      <c r="L84" s="109">
        <v>111665</v>
      </c>
      <c r="M84" s="109">
        <f t="shared" si="1"/>
        <v>16.330067271131909</v>
      </c>
      <c r="N84" s="108">
        <v>6838</v>
      </c>
    </row>
    <row r="85" spans="1:14" ht="15.75" thickBot="1" x14ac:dyDescent="0.3">
      <c r="A85" s="44" t="s">
        <v>1019</v>
      </c>
      <c r="B85" s="107" t="s">
        <v>1020</v>
      </c>
      <c r="C85" s="78" t="s">
        <v>798</v>
      </c>
      <c r="D85" s="109">
        <v>4329</v>
      </c>
      <c r="E85" s="109">
        <v>1000</v>
      </c>
      <c r="F85" s="109">
        <v>0</v>
      </c>
      <c r="G85" s="109">
        <v>5329</v>
      </c>
      <c r="H85" s="109">
        <v>40027</v>
      </c>
      <c r="I85" s="109">
        <v>0</v>
      </c>
      <c r="J85" s="109">
        <v>40027</v>
      </c>
      <c r="K85" s="109">
        <v>19384</v>
      </c>
      <c r="L85" s="109">
        <v>64740</v>
      </c>
      <c r="M85" s="109">
        <f t="shared" si="1"/>
        <v>13.296364756623536</v>
      </c>
      <c r="N85" s="108">
        <v>4869</v>
      </c>
    </row>
    <row r="86" spans="1:14" ht="15.75" thickBot="1" x14ac:dyDescent="0.3">
      <c r="A86" s="44" t="s">
        <v>1021</v>
      </c>
      <c r="B86" s="107" t="s">
        <v>1022</v>
      </c>
      <c r="C86" s="78" t="s">
        <v>798</v>
      </c>
      <c r="D86" s="109">
        <v>15424</v>
      </c>
      <c r="E86" s="109">
        <v>5875</v>
      </c>
      <c r="F86" s="109">
        <v>2110</v>
      </c>
      <c r="G86" s="109">
        <v>23409</v>
      </c>
      <c r="H86" s="109">
        <v>64798</v>
      </c>
      <c r="I86" s="109">
        <v>4017</v>
      </c>
      <c r="J86" s="109">
        <v>68815</v>
      </c>
      <c r="K86" s="109">
        <v>38206</v>
      </c>
      <c r="L86" s="109">
        <v>130430</v>
      </c>
      <c r="M86" s="109">
        <f t="shared" si="1"/>
        <v>27.355285234899331</v>
      </c>
      <c r="N86" s="108">
        <v>4768</v>
      </c>
    </row>
    <row r="87" spans="1:14" ht="15.75" thickBot="1" x14ac:dyDescent="0.3">
      <c r="A87" s="44" t="s">
        <v>1035</v>
      </c>
      <c r="B87" s="107" t="s">
        <v>1036</v>
      </c>
      <c r="C87" s="78" t="s">
        <v>798</v>
      </c>
      <c r="D87" s="109">
        <v>19828</v>
      </c>
      <c r="E87" s="109">
        <v>2489</v>
      </c>
      <c r="F87" s="109">
        <v>2322</v>
      </c>
      <c r="G87" s="109">
        <v>24639</v>
      </c>
      <c r="H87" s="109">
        <v>170759</v>
      </c>
      <c r="I87" s="109">
        <v>20307</v>
      </c>
      <c r="J87" s="109">
        <v>191066</v>
      </c>
      <c r="K87" s="109">
        <v>71285</v>
      </c>
      <c r="L87" s="109">
        <v>286990</v>
      </c>
      <c r="M87" s="109">
        <f t="shared" si="1"/>
        <v>52.833210603829158</v>
      </c>
      <c r="N87" s="108">
        <v>5432</v>
      </c>
    </row>
    <row r="88" spans="1:14" ht="15.75" thickBot="1" x14ac:dyDescent="0.3">
      <c r="A88" s="44" t="s">
        <v>1065</v>
      </c>
      <c r="B88" s="107" t="s">
        <v>1066</v>
      </c>
      <c r="C88" s="78" t="s">
        <v>798</v>
      </c>
      <c r="D88" s="109">
        <v>14910</v>
      </c>
      <c r="E88" s="109">
        <v>1531</v>
      </c>
      <c r="F88" s="109">
        <v>750</v>
      </c>
      <c r="G88" s="109">
        <v>17191</v>
      </c>
      <c r="H88" s="109">
        <v>93228</v>
      </c>
      <c r="I88" s="109">
        <v>13322</v>
      </c>
      <c r="J88" s="109">
        <v>106550</v>
      </c>
      <c r="K88" s="109">
        <v>45039</v>
      </c>
      <c r="L88" s="109">
        <v>168780</v>
      </c>
      <c r="M88" s="109">
        <f t="shared" si="1"/>
        <v>27.381570408825439</v>
      </c>
      <c r="N88" s="108">
        <v>6164</v>
      </c>
    </row>
    <row r="89" spans="1:14" ht="15.75" thickBot="1" x14ac:dyDescent="0.3">
      <c r="A89" s="44" t="s">
        <v>1075</v>
      </c>
      <c r="B89" s="107" t="s">
        <v>1076</v>
      </c>
      <c r="C89" s="78" t="s">
        <v>798</v>
      </c>
      <c r="D89" s="109">
        <v>4902</v>
      </c>
      <c r="E89" s="109">
        <v>2917</v>
      </c>
      <c r="F89" s="109">
        <v>2270</v>
      </c>
      <c r="G89" s="109">
        <v>10089</v>
      </c>
      <c r="H89" s="109">
        <v>57598</v>
      </c>
      <c r="I89" s="109">
        <v>4397</v>
      </c>
      <c r="J89" s="109">
        <v>61995</v>
      </c>
      <c r="K89" s="109">
        <v>31254</v>
      </c>
      <c r="L89" s="109">
        <v>103338</v>
      </c>
      <c r="M89" s="109">
        <f t="shared" si="1"/>
        <v>18.319092359510726</v>
      </c>
      <c r="N89" s="108">
        <v>5641</v>
      </c>
    </row>
    <row r="90" spans="1:14" ht="15.75" thickBot="1" x14ac:dyDescent="0.3">
      <c r="A90" s="44" t="s">
        <v>1119</v>
      </c>
      <c r="B90" s="107" t="s">
        <v>1120</v>
      </c>
      <c r="C90" s="78" t="s">
        <v>798</v>
      </c>
      <c r="D90" s="109">
        <v>15250</v>
      </c>
      <c r="E90" s="109">
        <v>9192</v>
      </c>
      <c r="F90" s="109">
        <v>1761</v>
      </c>
      <c r="G90" s="109">
        <v>26203</v>
      </c>
      <c r="H90" s="109">
        <v>208027</v>
      </c>
      <c r="I90" s="109">
        <v>55575</v>
      </c>
      <c r="J90" s="109">
        <v>263602</v>
      </c>
      <c r="K90" s="109">
        <v>238824</v>
      </c>
      <c r="L90" s="109">
        <v>528629</v>
      </c>
      <c r="M90" s="109">
        <f t="shared" si="1"/>
        <v>86.391403824154267</v>
      </c>
      <c r="N90" s="108">
        <v>6119</v>
      </c>
    </row>
    <row r="91" spans="1:14" ht="15.75" thickBot="1" x14ac:dyDescent="0.3">
      <c r="A91" s="44" t="s">
        <v>1129</v>
      </c>
      <c r="B91" s="107" t="s">
        <v>1130</v>
      </c>
      <c r="C91" s="78" t="s">
        <v>798</v>
      </c>
      <c r="D91" s="109">
        <v>15042</v>
      </c>
      <c r="E91" s="109">
        <v>7120</v>
      </c>
      <c r="F91" s="109">
        <v>4767</v>
      </c>
      <c r="G91" s="109">
        <v>26929</v>
      </c>
      <c r="H91" s="109">
        <v>118108</v>
      </c>
      <c r="I91" s="109">
        <v>8998</v>
      </c>
      <c r="J91" s="109">
        <v>127106</v>
      </c>
      <c r="K91" s="109">
        <v>78126</v>
      </c>
      <c r="L91" s="109">
        <v>232161</v>
      </c>
      <c r="M91" s="109">
        <f t="shared" si="1"/>
        <v>35.272105742935281</v>
      </c>
      <c r="N91" s="108">
        <v>6582</v>
      </c>
    </row>
    <row r="92" spans="1:14" ht="15.75" thickBot="1" x14ac:dyDescent="0.3">
      <c r="A92" s="44" t="s">
        <v>1139</v>
      </c>
      <c r="B92" s="107" t="s">
        <v>1140</v>
      </c>
      <c r="C92" s="78" t="s">
        <v>798</v>
      </c>
      <c r="D92" s="109">
        <v>27893</v>
      </c>
      <c r="E92" s="109">
        <v>6215</v>
      </c>
      <c r="F92" s="109">
        <v>4990</v>
      </c>
      <c r="G92" s="109">
        <v>39098</v>
      </c>
      <c r="H92" s="109">
        <v>112420</v>
      </c>
      <c r="I92" s="109">
        <v>8485</v>
      </c>
      <c r="J92" s="109">
        <v>120905</v>
      </c>
      <c r="K92" s="109">
        <v>84456</v>
      </c>
      <c r="L92" s="109">
        <v>244459</v>
      </c>
      <c r="M92" s="109">
        <f t="shared" si="1"/>
        <v>41.2032698466206</v>
      </c>
      <c r="N92" s="108">
        <v>5933</v>
      </c>
    </row>
    <row r="93" spans="1:14" ht="15.75" thickBot="1" x14ac:dyDescent="0.3">
      <c r="A93" s="44" t="s">
        <v>1147</v>
      </c>
      <c r="B93" s="107" t="s">
        <v>1148</v>
      </c>
      <c r="C93" s="78" t="s">
        <v>798</v>
      </c>
      <c r="D93" s="109">
        <v>7121</v>
      </c>
      <c r="E93" s="109">
        <v>1806</v>
      </c>
      <c r="F93" s="109">
        <v>4974</v>
      </c>
      <c r="G93" s="109">
        <v>13901</v>
      </c>
      <c r="H93" s="109">
        <v>51782</v>
      </c>
      <c r="I93" s="109">
        <v>8114</v>
      </c>
      <c r="J93" s="109">
        <v>59896</v>
      </c>
      <c r="K93" s="109">
        <v>33536</v>
      </c>
      <c r="L93" s="109">
        <v>107333</v>
      </c>
      <c r="M93" s="109">
        <f t="shared" si="1"/>
        <v>25.434360189573461</v>
      </c>
      <c r="N93" s="108">
        <v>4220</v>
      </c>
    </row>
    <row r="94" spans="1:14" ht="15.75" thickBot="1" x14ac:dyDescent="0.3">
      <c r="A94" s="44" t="s">
        <v>1151</v>
      </c>
      <c r="B94" s="107" t="s">
        <v>1152</v>
      </c>
      <c r="C94" s="78" t="s">
        <v>798</v>
      </c>
      <c r="D94" s="109">
        <v>2986</v>
      </c>
      <c r="E94" s="109">
        <v>2502</v>
      </c>
      <c r="F94" s="109">
        <v>1981</v>
      </c>
      <c r="G94" s="109">
        <v>7469</v>
      </c>
      <c r="H94" s="109">
        <v>51745</v>
      </c>
      <c r="I94" s="109">
        <v>0</v>
      </c>
      <c r="J94" s="109">
        <v>51745</v>
      </c>
      <c r="K94" s="109">
        <v>43229</v>
      </c>
      <c r="L94" s="109">
        <v>102443</v>
      </c>
      <c r="M94" s="109">
        <f t="shared" si="1"/>
        <v>22.221908893709326</v>
      </c>
      <c r="N94" s="108">
        <v>4610</v>
      </c>
    </row>
    <row r="95" spans="1:14" ht="15.75" thickBot="1" x14ac:dyDescent="0.3">
      <c r="A95" s="44" t="s">
        <v>1157</v>
      </c>
      <c r="B95" s="107" t="s">
        <v>1158</v>
      </c>
      <c r="C95" s="78" t="s">
        <v>798</v>
      </c>
      <c r="D95" s="109">
        <v>3735</v>
      </c>
      <c r="E95" s="109">
        <v>200</v>
      </c>
      <c r="F95" s="109">
        <v>664</v>
      </c>
      <c r="G95" s="109">
        <v>4599</v>
      </c>
      <c r="H95" s="109">
        <v>47712</v>
      </c>
      <c r="I95" s="109">
        <v>13382</v>
      </c>
      <c r="J95" s="109">
        <v>61094</v>
      </c>
      <c r="K95" s="109">
        <v>29920</v>
      </c>
      <c r="L95" s="109">
        <v>95613</v>
      </c>
      <c r="M95" s="109">
        <f t="shared" si="1"/>
        <v>17.286747423612368</v>
      </c>
      <c r="N95" s="108">
        <v>5531</v>
      </c>
    </row>
    <row r="96" spans="1:14" ht="15.75" thickBot="1" x14ac:dyDescent="0.3">
      <c r="A96" s="44" t="s">
        <v>1161</v>
      </c>
      <c r="B96" s="107" t="s">
        <v>1162</v>
      </c>
      <c r="C96" s="78" t="s">
        <v>798</v>
      </c>
      <c r="D96" s="109">
        <v>11567</v>
      </c>
      <c r="E96" s="109">
        <v>0</v>
      </c>
      <c r="F96" s="109">
        <v>1782</v>
      </c>
      <c r="G96" s="109">
        <v>13349</v>
      </c>
      <c r="H96" s="109">
        <v>58239</v>
      </c>
      <c r="I96" s="109">
        <v>7800</v>
      </c>
      <c r="J96" s="109">
        <v>66039</v>
      </c>
      <c r="K96" s="109">
        <v>63634</v>
      </c>
      <c r="L96" s="109">
        <v>143022</v>
      </c>
      <c r="M96" s="109">
        <f t="shared" si="1"/>
        <v>28.005091051497946</v>
      </c>
      <c r="N96" s="108">
        <v>5107</v>
      </c>
    </row>
    <row r="97" spans="1:14" ht="15.75" thickBot="1" x14ac:dyDescent="0.3">
      <c r="A97" s="44" t="s">
        <v>1167</v>
      </c>
      <c r="B97" s="107" t="s">
        <v>1168</v>
      </c>
      <c r="C97" s="78" t="s">
        <v>798</v>
      </c>
      <c r="D97" s="109">
        <v>12904</v>
      </c>
      <c r="E97" s="109">
        <v>2511</v>
      </c>
      <c r="F97" s="109">
        <v>0</v>
      </c>
      <c r="G97" s="109">
        <v>15415</v>
      </c>
      <c r="H97" s="109">
        <v>142517</v>
      </c>
      <c r="I97" s="109">
        <v>0</v>
      </c>
      <c r="J97" s="109">
        <v>142517</v>
      </c>
      <c r="K97" s="109">
        <v>50324</v>
      </c>
      <c r="L97" s="109">
        <v>208256</v>
      </c>
      <c r="M97" s="109">
        <f t="shared" si="1"/>
        <v>36.005532503457815</v>
      </c>
      <c r="N97" s="108">
        <v>5784</v>
      </c>
    </row>
    <row r="98" spans="1:14" ht="15.75" thickBot="1" x14ac:dyDescent="0.3">
      <c r="A98" s="44" t="s">
        <v>1173</v>
      </c>
      <c r="B98" s="107" t="s">
        <v>1174</v>
      </c>
      <c r="C98" s="78" t="s">
        <v>798</v>
      </c>
      <c r="D98" s="109">
        <v>16270</v>
      </c>
      <c r="E98" s="109">
        <v>2257</v>
      </c>
      <c r="F98" s="109">
        <v>1150</v>
      </c>
      <c r="G98" s="109">
        <v>19677</v>
      </c>
      <c r="H98" s="109">
        <v>45051</v>
      </c>
      <c r="I98" s="109">
        <v>23481</v>
      </c>
      <c r="J98" s="109">
        <v>68532</v>
      </c>
      <c r="K98" s="109">
        <v>50790</v>
      </c>
      <c r="L98" s="109">
        <v>138999</v>
      </c>
      <c r="M98" s="109">
        <f t="shared" si="1"/>
        <v>24.330299317346402</v>
      </c>
      <c r="N98" s="108">
        <v>5713</v>
      </c>
    </row>
    <row r="99" spans="1:14" ht="15.75" thickBot="1" x14ac:dyDescent="0.3">
      <c r="A99" s="44" t="s">
        <v>1177</v>
      </c>
      <c r="B99" s="107" t="s">
        <v>1178</v>
      </c>
      <c r="C99" s="78" t="s">
        <v>798</v>
      </c>
      <c r="D99" s="109">
        <v>6462</v>
      </c>
      <c r="E99" s="109">
        <v>4283</v>
      </c>
      <c r="F99" s="109">
        <v>0</v>
      </c>
      <c r="G99" s="109">
        <v>10745</v>
      </c>
      <c r="H99" s="109">
        <v>43474</v>
      </c>
      <c r="I99" s="109">
        <v>4050</v>
      </c>
      <c r="J99" s="109">
        <v>47524</v>
      </c>
      <c r="K99" s="109">
        <v>13326</v>
      </c>
      <c r="L99" s="109">
        <v>71595</v>
      </c>
      <c r="M99" s="109">
        <f t="shared" si="1"/>
        <v>11.11205959956542</v>
      </c>
      <c r="N99" s="108">
        <v>6443</v>
      </c>
    </row>
    <row r="100" spans="1:14" ht="15.75" thickBot="1" x14ac:dyDescent="0.3">
      <c r="A100" s="44" t="s">
        <v>1181</v>
      </c>
      <c r="B100" s="107" t="s">
        <v>1182</v>
      </c>
      <c r="C100" s="78" t="s">
        <v>798</v>
      </c>
      <c r="D100" s="109">
        <v>2667</v>
      </c>
      <c r="E100" s="109">
        <v>921</v>
      </c>
      <c r="F100" s="109">
        <v>1367</v>
      </c>
      <c r="G100" s="109">
        <v>4955</v>
      </c>
      <c r="H100" s="109">
        <v>23203</v>
      </c>
      <c r="I100" s="109">
        <v>11761</v>
      </c>
      <c r="J100" s="109">
        <v>34964</v>
      </c>
      <c r="K100" s="109">
        <v>7286</v>
      </c>
      <c r="L100" s="109">
        <v>47205</v>
      </c>
      <c r="M100" s="109">
        <f t="shared" si="1"/>
        <v>11.569852941176471</v>
      </c>
      <c r="N100" s="108">
        <v>4080</v>
      </c>
    </row>
    <row r="101" spans="1:14" ht="15.75" thickBot="1" x14ac:dyDescent="0.3">
      <c r="A101" s="44" t="s">
        <v>1183</v>
      </c>
      <c r="B101" s="107" t="s">
        <v>1184</v>
      </c>
      <c r="C101" s="78" t="s">
        <v>798</v>
      </c>
      <c r="D101" s="109">
        <v>12109</v>
      </c>
      <c r="E101" s="109">
        <v>4036</v>
      </c>
      <c r="F101" s="109">
        <v>2819</v>
      </c>
      <c r="G101" s="109">
        <v>18964</v>
      </c>
      <c r="H101" s="109">
        <v>86539</v>
      </c>
      <c r="I101" s="109">
        <v>7213</v>
      </c>
      <c r="J101" s="109">
        <v>93752</v>
      </c>
      <c r="K101" s="109">
        <v>50863</v>
      </c>
      <c r="L101" s="109">
        <v>163579</v>
      </c>
      <c r="M101" s="109">
        <f t="shared" si="1"/>
        <v>31.397120921305181</v>
      </c>
      <c r="N101" s="108">
        <v>5210</v>
      </c>
    </row>
    <row r="102" spans="1:14" ht="15.75" thickBot="1" x14ac:dyDescent="0.3">
      <c r="A102" s="44" t="s">
        <v>1185</v>
      </c>
      <c r="B102" s="107" t="s">
        <v>1186</v>
      </c>
      <c r="C102" s="78" t="s">
        <v>798</v>
      </c>
      <c r="D102" s="109">
        <v>22953</v>
      </c>
      <c r="E102" s="109">
        <v>4283</v>
      </c>
      <c r="F102" s="109">
        <v>12439</v>
      </c>
      <c r="G102" s="109">
        <v>39675</v>
      </c>
      <c r="H102" s="109">
        <v>143787</v>
      </c>
      <c r="I102" s="109">
        <v>51374</v>
      </c>
      <c r="J102" s="109">
        <v>195161</v>
      </c>
      <c r="K102" s="109">
        <v>90121</v>
      </c>
      <c r="L102" s="109">
        <v>324957</v>
      </c>
      <c r="M102" s="109">
        <f t="shared" si="1"/>
        <v>46.442332428183505</v>
      </c>
      <c r="N102" s="108">
        <v>6997</v>
      </c>
    </row>
    <row r="103" spans="1:14" ht="15.75" thickBot="1" x14ac:dyDescent="0.3">
      <c r="A103" s="44" t="s">
        <v>1197</v>
      </c>
      <c r="B103" s="107" t="s">
        <v>1198</v>
      </c>
      <c r="C103" s="78" t="s">
        <v>798</v>
      </c>
      <c r="D103" s="109">
        <v>16905</v>
      </c>
      <c r="E103" s="109">
        <v>7350</v>
      </c>
      <c r="F103" s="109">
        <v>4111</v>
      </c>
      <c r="G103" s="109">
        <v>28366</v>
      </c>
      <c r="H103" s="109">
        <v>120640</v>
      </c>
      <c r="I103" s="109">
        <v>10000</v>
      </c>
      <c r="J103" s="109">
        <v>130640</v>
      </c>
      <c r="K103" s="109">
        <v>113988</v>
      </c>
      <c r="L103" s="109">
        <v>272994</v>
      </c>
      <c r="M103" s="109">
        <f t="shared" si="1"/>
        <v>65.497600767754321</v>
      </c>
      <c r="N103" s="108">
        <v>4168</v>
      </c>
    </row>
    <row r="104" spans="1:14" ht="15.75" thickBot="1" x14ac:dyDescent="0.3">
      <c r="A104" s="44" t="s">
        <v>1211</v>
      </c>
      <c r="B104" s="107" t="s">
        <v>1212</v>
      </c>
      <c r="C104" s="78" t="s">
        <v>798</v>
      </c>
      <c r="D104" s="109">
        <v>24964</v>
      </c>
      <c r="E104" s="109">
        <v>13177</v>
      </c>
      <c r="F104" s="109">
        <v>3048</v>
      </c>
      <c r="G104" s="109">
        <v>41189</v>
      </c>
      <c r="H104" s="109">
        <v>114685</v>
      </c>
      <c r="I104" s="109">
        <v>6408</v>
      </c>
      <c r="J104" s="109">
        <v>121093</v>
      </c>
      <c r="K104" s="109">
        <v>60549</v>
      </c>
      <c r="L104" s="109">
        <v>222831</v>
      </c>
      <c r="M104" s="109">
        <f t="shared" si="1"/>
        <v>45.162342926631538</v>
      </c>
      <c r="N104" s="108">
        <v>4934</v>
      </c>
    </row>
    <row r="105" spans="1:14" ht="15.75" thickBot="1" x14ac:dyDescent="0.3">
      <c r="A105" s="44" t="s">
        <v>1213</v>
      </c>
      <c r="B105" s="107" t="s">
        <v>1214</v>
      </c>
      <c r="C105" s="78" t="s">
        <v>798</v>
      </c>
      <c r="D105" s="109">
        <v>16265</v>
      </c>
      <c r="E105" s="109">
        <v>7772</v>
      </c>
      <c r="F105" s="109">
        <v>2642</v>
      </c>
      <c r="G105" s="109">
        <v>26679</v>
      </c>
      <c r="H105" s="109">
        <v>87844</v>
      </c>
      <c r="I105" s="109">
        <v>22939</v>
      </c>
      <c r="J105" s="109">
        <v>110783</v>
      </c>
      <c r="K105" s="109">
        <v>41112</v>
      </c>
      <c r="L105" s="109">
        <v>178574</v>
      </c>
      <c r="M105" s="109">
        <f t="shared" si="1"/>
        <v>30.488987536281371</v>
      </c>
      <c r="N105" s="108">
        <v>5857</v>
      </c>
    </row>
    <row r="106" spans="1:14" ht="15.75" thickBot="1" x14ac:dyDescent="0.3">
      <c r="A106" s="44" t="s">
        <v>1233</v>
      </c>
      <c r="B106" s="107" t="s">
        <v>1234</v>
      </c>
      <c r="C106" s="78" t="s">
        <v>798</v>
      </c>
      <c r="D106" s="109">
        <v>5611</v>
      </c>
      <c r="E106" s="109">
        <v>350</v>
      </c>
      <c r="F106" s="109">
        <v>5381</v>
      </c>
      <c r="G106" s="109">
        <v>11342</v>
      </c>
      <c r="H106" s="109">
        <v>26894</v>
      </c>
      <c r="I106" s="109">
        <v>4000</v>
      </c>
      <c r="J106" s="109">
        <v>30894</v>
      </c>
      <c r="K106" s="109">
        <v>34026</v>
      </c>
      <c r="L106" s="109">
        <v>76262</v>
      </c>
      <c r="M106" s="109">
        <f t="shared" si="1"/>
        <v>18.416324559285197</v>
      </c>
      <c r="N106" s="108">
        <v>4141</v>
      </c>
    </row>
    <row r="107" spans="1:14" ht="15.75" thickBot="1" x14ac:dyDescent="0.3">
      <c r="A107" s="44" t="s">
        <v>1239</v>
      </c>
      <c r="B107" s="107" t="s">
        <v>1240</v>
      </c>
      <c r="C107" s="78" t="s">
        <v>798</v>
      </c>
      <c r="D107" s="109">
        <v>4625</v>
      </c>
      <c r="E107" s="109">
        <v>0</v>
      </c>
      <c r="F107" s="109">
        <v>224</v>
      </c>
      <c r="G107" s="109">
        <v>4849</v>
      </c>
      <c r="H107" s="109">
        <v>34509</v>
      </c>
      <c r="I107" s="109">
        <v>5682</v>
      </c>
      <c r="J107" s="109">
        <v>40191</v>
      </c>
      <c r="K107" s="109">
        <v>13788</v>
      </c>
      <c r="L107" s="109">
        <v>58828</v>
      </c>
      <c r="M107" s="109">
        <f t="shared" si="1"/>
        <v>14.01667857993805</v>
      </c>
      <c r="N107" s="108">
        <v>4197</v>
      </c>
    </row>
    <row r="108" spans="1:14" ht="15.75" thickBot="1" x14ac:dyDescent="0.3">
      <c r="A108" s="44" t="s">
        <v>1245</v>
      </c>
      <c r="B108" s="107" t="s">
        <v>1246</v>
      </c>
      <c r="C108" s="78" t="s">
        <v>798</v>
      </c>
      <c r="D108" s="109">
        <v>25687</v>
      </c>
      <c r="E108" s="109">
        <v>2816</v>
      </c>
      <c r="F108" s="109">
        <v>3365</v>
      </c>
      <c r="G108" s="109">
        <v>31868</v>
      </c>
      <c r="H108" s="109">
        <v>113228</v>
      </c>
      <c r="I108" s="109">
        <v>3498</v>
      </c>
      <c r="J108" s="109">
        <v>116726</v>
      </c>
      <c r="K108" s="109">
        <v>37854</v>
      </c>
      <c r="L108" s="109">
        <v>186448</v>
      </c>
      <c r="M108" s="109">
        <f t="shared" si="1"/>
        <v>36.789265982636145</v>
      </c>
      <c r="N108" s="108">
        <v>5068</v>
      </c>
    </row>
    <row r="109" spans="1:14" ht="15.75" thickBot="1" x14ac:dyDescent="0.3">
      <c r="A109" s="44" t="s">
        <v>1249</v>
      </c>
      <c r="B109" s="107" t="s">
        <v>1250</v>
      </c>
      <c r="C109" s="78" t="s">
        <v>798</v>
      </c>
      <c r="D109" s="109">
        <v>5431</v>
      </c>
      <c r="E109" s="109">
        <v>501</v>
      </c>
      <c r="F109" s="109">
        <v>262</v>
      </c>
      <c r="G109" s="109">
        <v>6194</v>
      </c>
      <c r="H109" s="109">
        <v>31902</v>
      </c>
      <c r="I109" s="109">
        <v>2459</v>
      </c>
      <c r="J109" s="109">
        <v>34361</v>
      </c>
      <c r="K109" s="109">
        <v>20074</v>
      </c>
      <c r="L109" s="109">
        <v>60629</v>
      </c>
      <c r="M109" s="109">
        <f t="shared" si="1"/>
        <v>12.20390499194847</v>
      </c>
      <c r="N109" s="108">
        <v>4968</v>
      </c>
    </row>
    <row r="110" spans="1:14" ht="15.75" thickBot="1" x14ac:dyDescent="0.3">
      <c r="A110" s="44" t="s">
        <v>1261</v>
      </c>
      <c r="B110" s="107" t="s">
        <v>1262</v>
      </c>
      <c r="C110" s="78" t="s">
        <v>798</v>
      </c>
      <c r="D110" s="109">
        <v>11279</v>
      </c>
      <c r="E110" s="109">
        <v>3393</v>
      </c>
      <c r="F110" s="109">
        <v>3410</v>
      </c>
      <c r="G110" s="109">
        <v>18082</v>
      </c>
      <c r="H110" s="109">
        <v>95885</v>
      </c>
      <c r="I110" s="109">
        <v>10600</v>
      </c>
      <c r="J110" s="109">
        <v>106485</v>
      </c>
      <c r="K110" s="109">
        <v>25154</v>
      </c>
      <c r="L110" s="109">
        <v>149721</v>
      </c>
      <c r="M110" s="109">
        <f t="shared" si="1"/>
        <v>36.508412582296998</v>
      </c>
      <c r="N110" s="108">
        <v>4101</v>
      </c>
    </row>
    <row r="111" spans="1:14" ht="15.75" thickBot="1" x14ac:dyDescent="0.3">
      <c r="A111" s="44" t="s">
        <v>1263</v>
      </c>
      <c r="B111" s="107" t="s">
        <v>1264</v>
      </c>
      <c r="C111" s="78" t="s">
        <v>798</v>
      </c>
      <c r="D111" s="109">
        <v>11038</v>
      </c>
      <c r="E111" s="109">
        <v>1913</v>
      </c>
      <c r="F111" s="109">
        <v>0</v>
      </c>
      <c r="G111" s="109">
        <v>12951</v>
      </c>
      <c r="H111" s="109">
        <v>50467</v>
      </c>
      <c r="I111" s="109">
        <v>3796</v>
      </c>
      <c r="J111" s="109">
        <v>54263</v>
      </c>
      <c r="K111" s="109">
        <v>46052</v>
      </c>
      <c r="L111" s="109">
        <v>113266</v>
      </c>
      <c r="M111" s="109">
        <f t="shared" si="1"/>
        <v>21.611524518221714</v>
      </c>
      <c r="N111" s="108">
        <v>5241</v>
      </c>
    </row>
    <row r="112" spans="1:14" ht="15.75" thickBot="1" x14ac:dyDescent="0.3">
      <c r="A112" s="44" t="s">
        <v>1271</v>
      </c>
      <c r="B112" s="107" t="s">
        <v>1272</v>
      </c>
      <c r="C112" s="78" t="s">
        <v>798</v>
      </c>
      <c r="D112" s="109">
        <v>13900</v>
      </c>
      <c r="E112" s="109">
        <v>4780</v>
      </c>
      <c r="F112" s="109">
        <v>992</v>
      </c>
      <c r="G112" s="109">
        <v>19672</v>
      </c>
      <c r="H112" s="109">
        <v>78349</v>
      </c>
      <c r="I112" s="109">
        <v>5994</v>
      </c>
      <c r="J112" s="109">
        <v>84343</v>
      </c>
      <c r="K112" s="109">
        <v>36009</v>
      </c>
      <c r="L112" s="109">
        <v>140024</v>
      </c>
      <c r="M112" s="109">
        <f t="shared" si="1"/>
        <v>27.136434108527133</v>
      </c>
      <c r="N112" s="108">
        <v>5160</v>
      </c>
    </row>
    <row r="113" spans="1:14" ht="15.75" thickBot="1" x14ac:dyDescent="0.3">
      <c r="A113" s="44" t="s">
        <v>1273</v>
      </c>
      <c r="B113" s="107" t="s">
        <v>1274</v>
      </c>
      <c r="C113" s="78" t="s">
        <v>798</v>
      </c>
      <c r="D113" s="109">
        <v>12895</v>
      </c>
      <c r="E113" s="109">
        <v>10023</v>
      </c>
      <c r="F113" s="109">
        <v>2000</v>
      </c>
      <c r="G113" s="109">
        <v>24918</v>
      </c>
      <c r="H113" s="109">
        <v>63131</v>
      </c>
      <c r="I113" s="109">
        <v>32871</v>
      </c>
      <c r="J113" s="109">
        <v>96002</v>
      </c>
      <c r="K113" s="109">
        <v>6105</v>
      </c>
      <c r="L113" s="109">
        <v>127025</v>
      </c>
      <c r="M113" s="109">
        <f t="shared" si="1"/>
        <v>21.747132340352678</v>
      </c>
      <c r="N113" s="108">
        <v>5841</v>
      </c>
    </row>
    <row r="114" spans="1:14" ht="15.75" thickBot="1" x14ac:dyDescent="0.3">
      <c r="A114" s="44" t="s">
        <v>1279</v>
      </c>
      <c r="B114" s="107" t="s">
        <v>1280</v>
      </c>
      <c r="C114" s="78" t="s">
        <v>798</v>
      </c>
      <c r="D114" s="109">
        <v>10015</v>
      </c>
      <c r="E114" s="109">
        <v>3738</v>
      </c>
      <c r="F114" s="109">
        <v>0</v>
      </c>
      <c r="G114" s="109">
        <v>13753</v>
      </c>
      <c r="H114" s="109">
        <v>50296</v>
      </c>
      <c r="I114" s="109">
        <v>6761</v>
      </c>
      <c r="J114" s="109">
        <v>57057</v>
      </c>
      <c r="K114" s="109">
        <v>8400</v>
      </c>
      <c r="L114" s="109">
        <v>79210</v>
      </c>
      <c r="M114" s="109">
        <f t="shared" si="1"/>
        <v>16.746300211416489</v>
      </c>
      <c r="N114" s="108">
        <v>4730</v>
      </c>
    </row>
    <row r="115" spans="1:14" ht="15.75" thickBot="1" x14ac:dyDescent="0.3">
      <c r="A115" s="44" t="s">
        <v>1297</v>
      </c>
      <c r="B115" s="107" t="s">
        <v>1298</v>
      </c>
      <c r="C115" s="78" t="s">
        <v>798</v>
      </c>
      <c r="D115" s="109">
        <v>18567</v>
      </c>
      <c r="E115" s="109">
        <v>5080</v>
      </c>
      <c r="F115" s="109">
        <v>3943</v>
      </c>
      <c r="G115" s="109">
        <v>27590</v>
      </c>
      <c r="H115" s="109">
        <v>91960</v>
      </c>
      <c r="I115" s="109">
        <v>3826</v>
      </c>
      <c r="J115" s="109">
        <v>95786</v>
      </c>
      <c r="K115" s="109">
        <v>79945</v>
      </c>
      <c r="L115" s="109">
        <v>203321</v>
      </c>
      <c r="M115" s="109">
        <f t="shared" si="1"/>
        <v>40.086947949526817</v>
      </c>
      <c r="N115" s="108">
        <v>5072</v>
      </c>
    </row>
    <row r="116" spans="1:14" ht="15.75" thickBot="1" x14ac:dyDescent="0.3">
      <c r="A116" s="44" t="s">
        <v>1299</v>
      </c>
      <c r="B116" s="107" t="s">
        <v>1300</v>
      </c>
      <c r="C116" s="78" t="s">
        <v>798</v>
      </c>
      <c r="D116" s="109">
        <v>17844</v>
      </c>
      <c r="E116" s="109">
        <v>3565</v>
      </c>
      <c r="F116" s="109">
        <v>10273</v>
      </c>
      <c r="G116" s="109">
        <v>31682</v>
      </c>
      <c r="H116" s="109">
        <v>126327</v>
      </c>
      <c r="I116" s="109">
        <v>41526</v>
      </c>
      <c r="J116" s="109">
        <v>167853</v>
      </c>
      <c r="K116" s="109">
        <v>109231</v>
      </c>
      <c r="L116" s="109">
        <v>308766</v>
      </c>
      <c r="M116" s="109">
        <f t="shared" si="1"/>
        <v>46.542960506481762</v>
      </c>
      <c r="N116" s="108">
        <v>6634</v>
      </c>
    </row>
    <row r="117" spans="1:14" ht="15.75" thickBot="1" x14ac:dyDescent="0.3">
      <c r="A117" s="44" t="s">
        <v>1311</v>
      </c>
      <c r="B117" s="107" t="s">
        <v>1312</v>
      </c>
      <c r="C117" s="78" t="s">
        <v>798</v>
      </c>
      <c r="D117" s="109">
        <v>19686</v>
      </c>
      <c r="E117" s="109">
        <v>2873</v>
      </c>
      <c r="F117" s="109">
        <v>5500</v>
      </c>
      <c r="G117" s="109">
        <v>28059</v>
      </c>
      <c r="H117" s="109">
        <v>210383</v>
      </c>
      <c r="I117" s="109">
        <v>12500</v>
      </c>
      <c r="J117" s="109">
        <v>222883</v>
      </c>
      <c r="K117" s="109">
        <v>132547</v>
      </c>
      <c r="L117" s="109">
        <v>383489</v>
      </c>
      <c r="M117" s="109">
        <f t="shared" si="1"/>
        <v>72.3291210863825</v>
      </c>
      <c r="N117" s="108">
        <v>5302</v>
      </c>
    </row>
    <row r="118" spans="1:14" ht="15.75" thickBot="1" x14ac:dyDescent="0.3">
      <c r="A118" s="44" t="s">
        <v>1313</v>
      </c>
      <c r="B118" s="107" t="s">
        <v>1314</v>
      </c>
      <c r="C118" s="78" t="s">
        <v>798</v>
      </c>
      <c r="D118" s="109">
        <v>19978</v>
      </c>
      <c r="E118" s="109">
        <v>3866</v>
      </c>
      <c r="F118" s="109">
        <v>2723</v>
      </c>
      <c r="G118" s="109">
        <v>26567</v>
      </c>
      <c r="H118" s="109">
        <v>144647</v>
      </c>
      <c r="I118" s="109">
        <v>12640</v>
      </c>
      <c r="J118" s="109">
        <v>157287</v>
      </c>
      <c r="K118" s="109">
        <v>128285</v>
      </c>
      <c r="L118" s="109">
        <v>312139</v>
      </c>
      <c r="M118" s="109">
        <f t="shared" si="1"/>
        <v>45.674422007609017</v>
      </c>
      <c r="N118" s="108">
        <v>6834</v>
      </c>
    </row>
    <row r="119" spans="1:14" ht="15.75" thickBot="1" x14ac:dyDescent="0.3">
      <c r="A119" s="44" t="s">
        <v>1317</v>
      </c>
      <c r="B119" s="107" t="s">
        <v>1318</v>
      </c>
      <c r="C119" s="78" t="s">
        <v>798</v>
      </c>
      <c r="D119" s="109">
        <v>5472</v>
      </c>
      <c r="E119" s="109">
        <v>758</v>
      </c>
      <c r="F119" s="109">
        <v>1403</v>
      </c>
      <c r="G119" s="109">
        <v>7633</v>
      </c>
      <c r="H119" s="109">
        <v>33437</v>
      </c>
      <c r="I119" s="109">
        <v>0</v>
      </c>
      <c r="J119" s="109">
        <v>33437</v>
      </c>
      <c r="K119" s="109">
        <v>36786</v>
      </c>
      <c r="L119" s="109">
        <v>77856</v>
      </c>
      <c r="M119" s="109">
        <f t="shared" si="1"/>
        <v>17.421347057507273</v>
      </c>
      <c r="N119" s="108">
        <v>4469</v>
      </c>
    </row>
    <row r="120" spans="1:14" ht="15.75" thickBot="1" x14ac:dyDescent="0.3">
      <c r="A120" s="44" t="s">
        <v>1325</v>
      </c>
      <c r="B120" s="107" t="s">
        <v>1326</v>
      </c>
      <c r="C120" s="78" t="s">
        <v>798</v>
      </c>
      <c r="D120" s="109">
        <v>29128</v>
      </c>
      <c r="E120" s="109">
        <v>4777</v>
      </c>
      <c r="F120" s="109">
        <v>2753</v>
      </c>
      <c r="G120" s="109">
        <v>36658</v>
      </c>
      <c r="H120" s="109">
        <v>116891</v>
      </c>
      <c r="I120" s="109">
        <v>9213</v>
      </c>
      <c r="J120" s="109">
        <v>126104</v>
      </c>
      <c r="K120" s="109">
        <v>19450</v>
      </c>
      <c r="L120" s="109">
        <v>182212</v>
      </c>
      <c r="M120" s="109">
        <f t="shared" si="1"/>
        <v>29.512795594428248</v>
      </c>
      <c r="N120" s="108">
        <v>6174</v>
      </c>
    </row>
    <row r="121" spans="1:14" ht="15.75" thickBot="1" x14ac:dyDescent="0.3">
      <c r="A121" s="44" t="s">
        <v>1345</v>
      </c>
      <c r="B121" s="107" t="s">
        <v>1346</v>
      </c>
      <c r="C121" s="78" t="s">
        <v>798</v>
      </c>
      <c r="D121" s="109">
        <v>8494</v>
      </c>
      <c r="E121" s="109">
        <v>0</v>
      </c>
      <c r="F121" s="109">
        <v>5436</v>
      </c>
      <c r="G121" s="109">
        <v>13930</v>
      </c>
      <c r="H121" s="109">
        <v>57006</v>
      </c>
      <c r="I121" s="109">
        <v>21474</v>
      </c>
      <c r="J121" s="109">
        <v>78480</v>
      </c>
      <c r="K121" s="109">
        <v>38642</v>
      </c>
      <c r="L121" s="109">
        <v>131052</v>
      </c>
      <c r="M121" s="109">
        <f t="shared" si="1"/>
        <v>24.703487276154572</v>
      </c>
      <c r="N121" s="108">
        <v>5305</v>
      </c>
    </row>
    <row r="122" spans="1:14" ht="15.75" thickBot="1" x14ac:dyDescent="0.3">
      <c r="A122" s="44" t="s">
        <v>1351</v>
      </c>
      <c r="B122" s="107" t="s">
        <v>1352</v>
      </c>
      <c r="C122" s="78" t="s">
        <v>798</v>
      </c>
      <c r="D122" s="109">
        <v>24450</v>
      </c>
      <c r="E122" s="109">
        <v>8000</v>
      </c>
      <c r="F122" s="109">
        <v>2000</v>
      </c>
      <c r="G122" s="109">
        <v>34450</v>
      </c>
      <c r="H122" s="109">
        <v>61000</v>
      </c>
      <c r="I122" s="109">
        <v>14000</v>
      </c>
      <c r="J122" s="109">
        <v>75000</v>
      </c>
      <c r="K122" s="109">
        <v>67250</v>
      </c>
      <c r="L122" s="109">
        <v>176700</v>
      </c>
      <c r="M122" s="109">
        <f t="shared" si="1"/>
        <v>27.866267150291751</v>
      </c>
      <c r="N122" s="108">
        <v>6341</v>
      </c>
    </row>
    <row r="123" spans="1:14" ht="15.75" thickBot="1" x14ac:dyDescent="0.3">
      <c r="A123" s="44" t="s">
        <v>1357</v>
      </c>
      <c r="B123" s="107" t="s">
        <v>1358</v>
      </c>
      <c r="C123" s="78" t="s">
        <v>798</v>
      </c>
      <c r="D123" s="109">
        <v>11703</v>
      </c>
      <c r="E123" s="109">
        <v>4471</v>
      </c>
      <c r="F123" s="109">
        <v>0</v>
      </c>
      <c r="G123" s="109">
        <v>16174</v>
      </c>
      <c r="H123" s="109">
        <v>126544</v>
      </c>
      <c r="I123" s="109">
        <v>18194</v>
      </c>
      <c r="J123" s="109">
        <v>144738</v>
      </c>
      <c r="K123" s="109">
        <v>64338</v>
      </c>
      <c r="L123" s="109">
        <v>225250</v>
      </c>
      <c r="M123" s="109">
        <f t="shared" si="1"/>
        <v>41.459598748389475</v>
      </c>
      <c r="N123" s="108">
        <v>5433</v>
      </c>
    </row>
    <row r="124" spans="1:14" ht="15.75" thickBot="1" x14ac:dyDescent="0.3">
      <c r="A124" s="44" t="s">
        <v>1367</v>
      </c>
      <c r="B124" s="107" t="s">
        <v>1368</v>
      </c>
      <c r="C124" s="78" t="s">
        <v>798</v>
      </c>
      <c r="D124" s="109">
        <v>28748</v>
      </c>
      <c r="E124" s="109">
        <v>7692</v>
      </c>
      <c r="F124" s="109">
        <v>1767</v>
      </c>
      <c r="G124" s="109">
        <v>38207</v>
      </c>
      <c r="H124" s="109">
        <v>147007</v>
      </c>
      <c r="I124" s="109">
        <v>24484</v>
      </c>
      <c r="J124" s="109">
        <v>171491</v>
      </c>
      <c r="K124" s="109">
        <v>53919</v>
      </c>
      <c r="L124" s="109">
        <v>263617</v>
      </c>
      <c r="M124" s="109">
        <f t="shared" si="1"/>
        <v>39.617823865344157</v>
      </c>
      <c r="N124" s="108">
        <v>6654</v>
      </c>
    </row>
    <row r="125" spans="1:14" ht="15.75" thickBot="1" x14ac:dyDescent="0.3">
      <c r="A125" s="44" t="s">
        <v>1371</v>
      </c>
      <c r="B125" s="107" t="s">
        <v>1372</v>
      </c>
      <c r="C125" s="78" t="s">
        <v>798</v>
      </c>
      <c r="D125" s="109">
        <v>9689</v>
      </c>
      <c r="E125" s="109">
        <v>1498</v>
      </c>
      <c r="F125" s="109">
        <v>0</v>
      </c>
      <c r="G125" s="109">
        <v>11187</v>
      </c>
      <c r="H125" s="109">
        <v>32541</v>
      </c>
      <c r="I125" s="109">
        <v>2489</v>
      </c>
      <c r="J125" s="109">
        <v>35030</v>
      </c>
      <c r="K125" s="109">
        <v>35978</v>
      </c>
      <c r="L125" s="109">
        <v>82195</v>
      </c>
      <c r="M125" s="109">
        <f t="shared" si="1"/>
        <v>20.023142509135202</v>
      </c>
      <c r="N125" s="108">
        <v>4105</v>
      </c>
    </row>
    <row r="126" spans="1:14" ht="15.75" thickBot="1" x14ac:dyDescent="0.3">
      <c r="A126" s="44" t="s">
        <v>1377</v>
      </c>
      <c r="B126" s="107" t="s">
        <v>1378</v>
      </c>
      <c r="C126" s="78" t="s">
        <v>798</v>
      </c>
      <c r="D126" s="109">
        <v>19293</v>
      </c>
      <c r="E126" s="109">
        <v>8200</v>
      </c>
      <c r="F126" s="109">
        <v>1100</v>
      </c>
      <c r="G126" s="109">
        <v>28593</v>
      </c>
      <c r="H126" s="109">
        <v>43514</v>
      </c>
      <c r="I126" s="109">
        <v>1150</v>
      </c>
      <c r="J126" s="109">
        <v>44664</v>
      </c>
      <c r="K126" s="109">
        <v>13964</v>
      </c>
      <c r="L126" s="109">
        <v>87221</v>
      </c>
      <c r="M126" s="109">
        <f t="shared" si="1"/>
        <v>17.32982316709716</v>
      </c>
      <c r="N126" s="108">
        <v>5033</v>
      </c>
    </row>
    <row r="127" spans="1:14" ht="15.75" thickBot="1" x14ac:dyDescent="0.3">
      <c r="A127" s="44" t="s">
        <v>1385</v>
      </c>
      <c r="B127" s="107" t="s">
        <v>1386</v>
      </c>
      <c r="C127" s="78" t="s">
        <v>798</v>
      </c>
      <c r="D127" s="109">
        <v>6934</v>
      </c>
      <c r="E127" s="109">
        <v>0</v>
      </c>
      <c r="F127" s="109">
        <v>2430</v>
      </c>
      <c r="G127" s="109">
        <v>9364</v>
      </c>
      <c r="H127" s="109">
        <v>40083</v>
      </c>
      <c r="I127" s="109">
        <v>4913</v>
      </c>
      <c r="J127" s="109">
        <v>44996</v>
      </c>
      <c r="K127" s="109">
        <v>42192</v>
      </c>
      <c r="L127" s="109">
        <v>96552</v>
      </c>
      <c r="M127" s="109">
        <f t="shared" si="1"/>
        <v>17.837058932200257</v>
      </c>
      <c r="N127" s="108">
        <v>5413</v>
      </c>
    </row>
    <row r="128" spans="1:14" ht="15.75" thickBot="1" x14ac:dyDescent="0.3">
      <c r="A128" s="44" t="s">
        <v>1391</v>
      </c>
      <c r="B128" s="107" t="s">
        <v>1392</v>
      </c>
      <c r="C128" s="78" t="s">
        <v>798</v>
      </c>
      <c r="D128" s="109">
        <v>5633</v>
      </c>
      <c r="E128" s="109">
        <v>909</v>
      </c>
      <c r="F128" s="109">
        <v>646</v>
      </c>
      <c r="G128" s="109">
        <v>7188</v>
      </c>
      <c r="H128" s="109">
        <v>63897</v>
      </c>
      <c r="I128" s="109">
        <v>0</v>
      </c>
      <c r="J128" s="109">
        <v>63897</v>
      </c>
      <c r="K128" s="109">
        <v>41524</v>
      </c>
      <c r="L128" s="109">
        <v>112609</v>
      </c>
      <c r="M128" s="109">
        <f t="shared" si="1"/>
        <v>16.44647290784285</v>
      </c>
      <c r="N128" s="108">
        <v>6847</v>
      </c>
    </row>
    <row r="129" spans="1:14" ht="15.75" thickBot="1" x14ac:dyDescent="0.3">
      <c r="A129" s="44" t="s">
        <v>1393</v>
      </c>
      <c r="B129" s="107" t="s">
        <v>1394</v>
      </c>
      <c r="C129" s="78" t="s">
        <v>798</v>
      </c>
      <c r="D129" s="109">
        <v>12882</v>
      </c>
      <c r="E129" s="109">
        <v>1141</v>
      </c>
      <c r="F129" s="109">
        <v>1709</v>
      </c>
      <c r="G129" s="109">
        <v>15732</v>
      </c>
      <c r="H129" s="109">
        <v>79620</v>
      </c>
      <c r="I129" s="109">
        <v>21235</v>
      </c>
      <c r="J129" s="109">
        <v>100855</v>
      </c>
      <c r="K129" s="109">
        <v>33602</v>
      </c>
      <c r="L129" s="109">
        <v>150189</v>
      </c>
      <c r="M129" s="109">
        <f t="shared" si="1"/>
        <v>24.068750000000001</v>
      </c>
      <c r="N129" s="108">
        <v>6240</v>
      </c>
    </row>
    <row r="130" spans="1:14" ht="15.75" thickBot="1" x14ac:dyDescent="0.3">
      <c r="A130" s="44" t="s">
        <v>1399</v>
      </c>
      <c r="B130" s="107" t="s">
        <v>1400</v>
      </c>
      <c r="C130" s="78" t="s">
        <v>798</v>
      </c>
      <c r="D130" s="109">
        <v>4392</v>
      </c>
      <c r="E130" s="109">
        <v>1095</v>
      </c>
      <c r="F130" s="109">
        <v>1023</v>
      </c>
      <c r="G130" s="109">
        <v>6510</v>
      </c>
      <c r="H130" s="109">
        <v>39150</v>
      </c>
      <c r="I130" s="109">
        <v>2995</v>
      </c>
      <c r="J130" s="109">
        <v>42145</v>
      </c>
      <c r="K130" s="109">
        <v>30812</v>
      </c>
      <c r="L130" s="109">
        <v>79467</v>
      </c>
      <c r="M130" s="109">
        <f t="shared" si="1"/>
        <v>14.781808035714286</v>
      </c>
      <c r="N130" s="108">
        <v>5376</v>
      </c>
    </row>
    <row r="131" spans="1:14" ht="15.75" thickBot="1" x14ac:dyDescent="0.3">
      <c r="A131" s="44" t="s">
        <v>1405</v>
      </c>
      <c r="B131" s="107" t="s">
        <v>1406</v>
      </c>
      <c r="C131" s="78" t="s">
        <v>798</v>
      </c>
      <c r="D131" s="109">
        <v>28542</v>
      </c>
      <c r="E131" s="109">
        <v>6655</v>
      </c>
      <c r="F131" s="109">
        <v>1765</v>
      </c>
      <c r="G131" s="109">
        <v>36962</v>
      </c>
      <c r="H131" s="109">
        <v>84928</v>
      </c>
      <c r="I131" s="109">
        <v>0</v>
      </c>
      <c r="J131" s="109">
        <v>84928</v>
      </c>
      <c r="K131" s="109">
        <v>60801</v>
      </c>
      <c r="L131" s="109">
        <v>182691</v>
      </c>
      <c r="M131" s="109">
        <f t="shared" si="1"/>
        <v>33.078218359587183</v>
      </c>
      <c r="N131" s="108">
        <v>5523</v>
      </c>
    </row>
    <row r="132" spans="1:14" ht="15.75" thickBot="1" x14ac:dyDescent="0.3">
      <c r="A132" s="44" t="s">
        <v>1417</v>
      </c>
      <c r="B132" s="107" t="s">
        <v>1418</v>
      </c>
      <c r="C132" s="78" t="s">
        <v>798</v>
      </c>
      <c r="D132" s="109">
        <v>9231</v>
      </c>
      <c r="E132" s="109">
        <v>3121</v>
      </c>
      <c r="F132" s="109">
        <v>4782</v>
      </c>
      <c r="G132" s="109">
        <v>17134</v>
      </c>
      <c r="H132" s="109">
        <v>85866</v>
      </c>
      <c r="I132" s="109">
        <v>1271</v>
      </c>
      <c r="J132" s="109">
        <v>87137</v>
      </c>
      <c r="K132" s="109">
        <v>39377</v>
      </c>
      <c r="L132" s="109">
        <v>143648</v>
      </c>
      <c r="M132" s="109">
        <f t="shared" ref="M132:M195" si="2">L132/N132</f>
        <v>30.832367460828504</v>
      </c>
      <c r="N132" s="108">
        <v>4659</v>
      </c>
    </row>
    <row r="133" spans="1:14" ht="15.75" thickBot="1" x14ac:dyDescent="0.3">
      <c r="A133" s="44" t="s">
        <v>1429</v>
      </c>
      <c r="B133" s="107" t="s">
        <v>1430</v>
      </c>
      <c r="C133" s="78" t="s">
        <v>798</v>
      </c>
      <c r="D133" s="109">
        <v>28970</v>
      </c>
      <c r="E133" s="109">
        <v>9869</v>
      </c>
      <c r="F133" s="109">
        <v>11312</v>
      </c>
      <c r="G133" s="109">
        <v>50151</v>
      </c>
      <c r="H133" s="109">
        <v>145960</v>
      </c>
      <c r="I133" s="109">
        <v>3000</v>
      </c>
      <c r="J133" s="109">
        <v>148960</v>
      </c>
      <c r="K133" s="109">
        <v>114924</v>
      </c>
      <c r="L133" s="109">
        <v>314035</v>
      </c>
      <c r="M133" s="109">
        <f t="shared" si="2"/>
        <v>49.886417791898332</v>
      </c>
      <c r="N133" s="108">
        <v>6295</v>
      </c>
    </row>
    <row r="134" spans="1:14" ht="15.75" thickBot="1" x14ac:dyDescent="0.3">
      <c r="A134" s="44" t="s">
        <v>1443</v>
      </c>
      <c r="B134" s="107" t="s">
        <v>1444</v>
      </c>
      <c r="C134" s="78" t="s">
        <v>798</v>
      </c>
      <c r="D134" s="109">
        <v>9656</v>
      </c>
      <c r="E134" s="109">
        <v>1129</v>
      </c>
      <c r="F134" s="109">
        <v>2600</v>
      </c>
      <c r="G134" s="109">
        <v>13385</v>
      </c>
      <c r="H134" s="109">
        <v>71000</v>
      </c>
      <c r="I134" s="109">
        <v>3562</v>
      </c>
      <c r="J134" s="109">
        <v>74562</v>
      </c>
      <c r="K134" s="109">
        <v>57279</v>
      </c>
      <c r="L134" s="109">
        <v>145226</v>
      </c>
      <c r="M134" s="109">
        <f t="shared" si="2"/>
        <v>32.75281912494362</v>
      </c>
      <c r="N134" s="108">
        <v>4434</v>
      </c>
    </row>
    <row r="135" spans="1:14" ht="15.75" thickBot="1" x14ac:dyDescent="0.3">
      <c r="A135" s="44" t="s">
        <v>1453</v>
      </c>
      <c r="B135" s="107" t="s">
        <v>1454</v>
      </c>
      <c r="C135" s="78" t="s">
        <v>798</v>
      </c>
      <c r="D135" s="109">
        <v>19420</v>
      </c>
      <c r="E135" s="109">
        <v>4581</v>
      </c>
      <c r="F135" s="109">
        <v>3317</v>
      </c>
      <c r="G135" s="109">
        <v>27318</v>
      </c>
      <c r="H135" s="109">
        <v>84505</v>
      </c>
      <c r="I135" s="109">
        <v>13557</v>
      </c>
      <c r="J135" s="109">
        <v>98062</v>
      </c>
      <c r="K135" s="109">
        <v>42009</v>
      </c>
      <c r="L135" s="109">
        <v>167389</v>
      </c>
      <c r="M135" s="109">
        <f t="shared" si="2"/>
        <v>38.260342857142859</v>
      </c>
      <c r="N135" s="108">
        <v>4375</v>
      </c>
    </row>
    <row r="136" spans="1:14" ht="15.75" thickBot="1" x14ac:dyDescent="0.3">
      <c r="A136" s="44" t="s">
        <v>1457</v>
      </c>
      <c r="B136" s="107" t="s">
        <v>1458</v>
      </c>
      <c r="C136" s="78" t="s">
        <v>798</v>
      </c>
      <c r="D136" s="109">
        <v>20314</v>
      </c>
      <c r="E136" s="109">
        <v>4264</v>
      </c>
      <c r="F136" s="109">
        <v>15030</v>
      </c>
      <c r="G136" s="109">
        <v>39608</v>
      </c>
      <c r="H136" s="109">
        <v>150798</v>
      </c>
      <c r="I136" s="109">
        <v>13502</v>
      </c>
      <c r="J136" s="109">
        <v>164300</v>
      </c>
      <c r="K136" s="109">
        <v>79860</v>
      </c>
      <c r="L136" s="109">
        <v>283768</v>
      </c>
      <c r="M136" s="109">
        <f t="shared" si="2"/>
        <v>55.62987649480494</v>
      </c>
      <c r="N136" s="108">
        <v>5101</v>
      </c>
    </row>
    <row r="137" spans="1:14" ht="15.75" thickBot="1" x14ac:dyDescent="0.3">
      <c r="A137" s="44" t="s">
        <v>1463</v>
      </c>
      <c r="B137" s="107" t="s">
        <v>1464</v>
      </c>
      <c r="C137" s="78" t="s">
        <v>798</v>
      </c>
      <c r="D137" s="109">
        <v>6776</v>
      </c>
      <c r="E137" s="109">
        <v>2682</v>
      </c>
      <c r="F137" s="109">
        <v>857</v>
      </c>
      <c r="G137" s="109">
        <v>10315</v>
      </c>
      <c r="H137" s="109">
        <v>47161</v>
      </c>
      <c r="I137" s="109">
        <v>5760</v>
      </c>
      <c r="J137" s="109">
        <v>52921</v>
      </c>
      <c r="K137" s="109">
        <v>32578</v>
      </c>
      <c r="L137" s="109">
        <v>95814</v>
      </c>
      <c r="M137" s="109">
        <f t="shared" si="2"/>
        <v>23.728083209509659</v>
      </c>
      <c r="N137" s="108">
        <v>4038</v>
      </c>
    </row>
    <row r="138" spans="1:14" ht="15.75" thickBot="1" x14ac:dyDescent="0.3">
      <c r="A138" s="44" t="s">
        <v>1472</v>
      </c>
      <c r="B138" s="107" t="s">
        <v>1473</v>
      </c>
      <c r="C138" s="78" t="s">
        <v>798</v>
      </c>
      <c r="D138" s="109">
        <v>4228</v>
      </c>
      <c r="E138" s="109">
        <v>0</v>
      </c>
      <c r="F138" s="109">
        <v>1374</v>
      </c>
      <c r="G138" s="109">
        <v>5602</v>
      </c>
      <c r="H138" s="109">
        <v>64765</v>
      </c>
      <c r="I138" s="109">
        <v>4955</v>
      </c>
      <c r="J138" s="109">
        <v>69720</v>
      </c>
      <c r="K138" s="109">
        <v>17011</v>
      </c>
      <c r="L138" s="109">
        <v>92333</v>
      </c>
      <c r="M138" s="109">
        <f t="shared" si="2"/>
        <v>16.385625554569653</v>
      </c>
      <c r="N138" s="108">
        <v>5635</v>
      </c>
    </row>
    <row r="139" spans="1:14" ht="15.75" thickBot="1" x14ac:dyDescent="0.3">
      <c r="A139" s="44" t="s">
        <v>1494</v>
      </c>
      <c r="B139" s="107" t="s">
        <v>1495</v>
      </c>
      <c r="C139" s="78" t="s">
        <v>798</v>
      </c>
      <c r="D139" s="109">
        <v>10298</v>
      </c>
      <c r="E139" s="109">
        <v>804</v>
      </c>
      <c r="F139" s="109">
        <v>2104</v>
      </c>
      <c r="G139" s="109">
        <v>13206</v>
      </c>
      <c r="H139" s="109">
        <v>68350</v>
      </c>
      <c r="I139" s="109">
        <v>19592</v>
      </c>
      <c r="J139" s="109">
        <v>87942</v>
      </c>
      <c r="K139" s="109">
        <v>33779</v>
      </c>
      <c r="L139" s="109">
        <v>134927</v>
      </c>
      <c r="M139" s="109">
        <f t="shared" si="2"/>
        <v>33.34824518042511</v>
      </c>
      <c r="N139" s="108">
        <v>4046</v>
      </c>
    </row>
    <row r="140" spans="1:14" ht="15.75" thickBot="1" x14ac:dyDescent="0.3">
      <c r="A140" s="44" t="s">
        <v>1506</v>
      </c>
      <c r="B140" s="107" t="s">
        <v>1507</v>
      </c>
      <c r="C140" s="78" t="s">
        <v>798</v>
      </c>
      <c r="D140" s="109">
        <v>20619</v>
      </c>
      <c r="E140" s="109">
        <v>3009</v>
      </c>
      <c r="F140" s="109">
        <v>2150</v>
      </c>
      <c r="G140" s="109">
        <v>25778</v>
      </c>
      <c r="H140" s="109">
        <v>113491</v>
      </c>
      <c r="I140" s="109">
        <v>16425</v>
      </c>
      <c r="J140" s="109">
        <v>129916</v>
      </c>
      <c r="K140" s="109">
        <v>41679</v>
      </c>
      <c r="L140" s="109">
        <v>197373</v>
      </c>
      <c r="M140" s="109">
        <f t="shared" si="2"/>
        <v>36.023544442416501</v>
      </c>
      <c r="N140" s="108">
        <v>5479</v>
      </c>
    </row>
    <row r="141" spans="1:14" ht="15.75" thickBot="1" x14ac:dyDescent="0.3">
      <c r="A141" s="44" t="s">
        <v>1514</v>
      </c>
      <c r="B141" s="107" t="s">
        <v>1515</v>
      </c>
      <c r="C141" s="78" t="s">
        <v>798</v>
      </c>
      <c r="D141" s="109">
        <v>10750</v>
      </c>
      <c r="E141" s="109">
        <v>3900</v>
      </c>
      <c r="F141" s="109">
        <v>0</v>
      </c>
      <c r="G141" s="109">
        <v>14650</v>
      </c>
      <c r="H141" s="109">
        <v>48467</v>
      </c>
      <c r="I141" s="109">
        <v>3850</v>
      </c>
      <c r="J141" s="109">
        <v>52317</v>
      </c>
      <c r="K141" s="109">
        <v>17050</v>
      </c>
      <c r="L141" s="109">
        <v>84017</v>
      </c>
      <c r="M141" s="109">
        <f t="shared" si="2"/>
        <v>12.577395209580839</v>
      </c>
      <c r="N141" s="108">
        <v>6680</v>
      </c>
    </row>
    <row r="142" spans="1:14" ht="15.75" thickBot="1" x14ac:dyDescent="0.3">
      <c r="A142" s="44" t="s">
        <v>1522</v>
      </c>
      <c r="B142" s="107" t="s">
        <v>1523</v>
      </c>
      <c r="C142" s="78" t="s">
        <v>798</v>
      </c>
      <c r="D142" s="109">
        <v>10416</v>
      </c>
      <c r="E142" s="109">
        <v>416</v>
      </c>
      <c r="F142" s="109">
        <v>4339</v>
      </c>
      <c r="G142" s="109">
        <v>15171</v>
      </c>
      <c r="H142" s="109">
        <v>63778</v>
      </c>
      <c r="I142" s="109">
        <v>4622</v>
      </c>
      <c r="J142" s="109">
        <v>68400</v>
      </c>
      <c r="K142" s="109">
        <v>28216</v>
      </c>
      <c r="L142" s="109">
        <v>111787</v>
      </c>
      <c r="M142" s="109">
        <f t="shared" si="2"/>
        <v>18.529255759986739</v>
      </c>
      <c r="N142" s="108">
        <v>6033</v>
      </c>
    </row>
    <row r="143" spans="1:14" ht="15.75" thickBot="1" x14ac:dyDescent="0.3">
      <c r="A143" s="44" t="s">
        <v>1530</v>
      </c>
      <c r="B143" s="107" t="s">
        <v>1531</v>
      </c>
      <c r="C143" s="78" t="s">
        <v>798</v>
      </c>
      <c r="D143" s="109">
        <v>9563</v>
      </c>
      <c r="E143" s="109">
        <v>6351</v>
      </c>
      <c r="F143" s="109">
        <v>3636</v>
      </c>
      <c r="G143" s="109">
        <v>19550</v>
      </c>
      <c r="H143" s="109">
        <v>61637</v>
      </c>
      <c r="I143" s="109">
        <v>4715</v>
      </c>
      <c r="J143" s="109">
        <v>66352</v>
      </c>
      <c r="K143" s="109">
        <v>94008</v>
      </c>
      <c r="L143" s="109">
        <v>179910</v>
      </c>
      <c r="M143" s="109">
        <f t="shared" si="2"/>
        <v>39.315996503496507</v>
      </c>
      <c r="N143" s="108">
        <v>4576</v>
      </c>
    </row>
    <row r="144" spans="1:14" ht="15.75" thickBot="1" x14ac:dyDescent="0.3">
      <c r="A144" s="44" t="s">
        <v>1544</v>
      </c>
      <c r="B144" s="107" t="s">
        <v>1545</v>
      </c>
      <c r="C144" s="78" t="s">
        <v>798</v>
      </c>
      <c r="D144" s="109">
        <v>14518</v>
      </c>
      <c r="E144" s="109">
        <v>4617</v>
      </c>
      <c r="F144" s="109">
        <v>3000</v>
      </c>
      <c r="G144" s="109">
        <v>22135</v>
      </c>
      <c r="H144" s="109">
        <v>108717</v>
      </c>
      <c r="I144" s="109">
        <v>50643</v>
      </c>
      <c r="J144" s="109">
        <v>159360</v>
      </c>
      <c r="K144" s="109">
        <v>61520</v>
      </c>
      <c r="L144" s="109">
        <v>243015</v>
      </c>
      <c r="M144" s="109">
        <f t="shared" si="2"/>
        <v>51.085768341391635</v>
      </c>
      <c r="N144" s="108">
        <v>4757</v>
      </c>
    </row>
    <row r="145" spans="1:14" ht="15.75" thickBot="1" x14ac:dyDescent="0.3">
      <c r="A145" s="44" t="s">
        <v>1550</v>
      </c>
      <c r="B145" s="107" t="s">
        <v>1551</v>
      </c>
      <c r="C145" s="78" t="s">
        <v>798</v>
      </c>
      <c r="D145" s="109">
        <v>4062</v>
      </c>
      <c r="E145" s="109">
        <v>229</v>
      </c>
      <c r="F145" s="109">
        <v>2013</v>
      </c>
      <c r="G145" s="109">
        <v>6304</v>
      </c>
      <c r="H145" s="109">
        <v>48757</v>
      </c>
      <c r="I145" s="109">
        <v>206</v>
      </c>
      <c r="J145" s="109">
        <v>48963</v>
      </c>
      <c r="K145" s="109">
        <v>18424</v>
      </c>
      <c r="L145" s="109">
        <v>73691</v>
      </c>
      <c r="M145" s="109">
        <f t="shared" si="2"/>
        <v>15.971174685739054</v>
      </c>
      <c r="N145" s="108">
        <v>4614</v>
      </c>
    </row>
    <row r="146" spans="1:14" ht="15.75" thickBot="1" x14ac:dyDescent="0.3">
      <c r="A146" s="44" t="s">
        <v>1560</v>
      </c>
      <c r="B146" s="107" t="s">
        <v>1561</v>
      </c>
      <c r="C146" s="78" t="s">
        <v>798</v>
      </c>
      <c r="D146" s="109">
        <v>34441</v>
      </c>
      <c r="E146" s="109">
        <v>10650</v>
      </c>
      <c r="F146" s="109">
        <v>5899</v>
      </c>
      <c r="G146" s="109">
        <v>50990</v>
      </c>
      <c r="H146" s="109">
        <v>165550</v>
      </c>
      <c r="I146" s="109">
        <v>38449</v>
      </c>
      <c r="J146" s="109">
        <v>203999</v>
      </c>
      <c r="K146" s="109">
        <v>94014</v>
      </c>
      <c r="L146" s="109">
        <v>349003</v>
      </c>
      <c r="M146" s="109">
        <f t="shared" si="2"/>
        <v>49.864694956422348</v>
      </c>
      <c r="N146" s="108">
        <v>6999</v>
      </c>
    </row>
    <row r="147" spans="1:14" ht="15.75" thickBot="1" x14ac:dyDescent="0.3">
      <c r="A147" s="44" t="s">
        <v>1570</v>
      </c>
      <c r="B147" s="107" t="s">
        <v>1571</v>
      </c>
      <c r="C147" s="78" t="s">
        <v>798</v>
      </c>
      <c r="D147" s="109">
        <v>16278</v>
      </c>
      <c r="E147" s="109">
        <v>1363</v>
      </c>
      <c r="F147" s="109">
        <v>4203</v>
      </c>
      <c r="G147" s="109">
        <v>21844</v>
      </c>
      <c r="H147" s="109">
        <v>108902</v>
      </c>
      <c r="I147" s="109">
        <v>8152</v>
      </c>
      <c r="J147" s="109">
        <v>117054</v>
      </c>
      <c r="K147" s="109">
        <v>31715</v>
      </c>
      <c r="L147" s="109">
        <v>170613</v>
      </c>
      <c r="M147" s="109">
        <f t="shared" si="2"/>
        <v>35.272482943973536</v>
      </c>
      <c r="N147" s="108">
        <v>4837</v>
      </c>
    </row>
    <row r="148" spans="1:14" ht="15.75" thickBot="1" x14ac:dyDescent="0.3">
      <c r="A148" s="44" t="s">
        <v>1588</v>
      </c>
      <c r="B148" s="107" t="s">
        <v>1589</v>
      </c>
      <c r="C148" s="78" t="s">
        <v>798</v>
      </c>
      <c r="D148" s="109">
        <v>10917</v>
      </c>
      <c r="E148" s="109">
        <v>1164</v>
      </c>
      <c r="F148" s="109">
        <v>3643</v>
      </c>
      <c r="G148" s="109">
        <v>15724</v>
      </c>
      <c r="H148" s="109">
        <v>137450</v>
      </c>
      <c r="I148" s="109">
        <v>1523</v>
      </c>
      <c r="J148" s="109">
        <v>138973</v>
      </c>
      <c r="K148" s="109">
        <v>63891</v>
      </c>
      <c r="L148" s="109">
        <v>218588</v>
      </c>
      <c r="M148" s="109">
        <f t="shared" si="2"/>
        <v>41.715267175572521</v>
      </c>
      <c r="N148" s="108">
        <v>5240</v>
      </c>
    </row>
    <row r="149" spans="1:14" ht="15.75" thickBot="1" x14ac:dyDescent="0.3">
      <c r="A149" s="44" t="s">
        <v>806</v>
      </c>
      <c r="B149" s="107" t="s">
        <v>807</v>
      </c>
      <c r="C149" s="78" t="s">
        <v>808</v>
      </c>
      <c r="D149" s="109">
        <v>27762</v>
      </c>
      <c r="E149" s="109">
        <v>2317</v>
      </c>
      <c r="F149" s="109">
        <v>5189</v>
      </c>
      <c r="G149" s="109">
        <v>35268</v>
      </c>
      <c r="H149" s="109">
        <v>95242</v>
      </c>
      <c r="I149" s="109">
        <v>22263</v>
      </c>
      <c r="J149" s="109">
        <v>117505</v>
      </c>
      <c r="K149" s="109">
        <v>93599</v>
      </c>
      <c r="L149" s="109">
        <v>246372</v>
      </c>
      <c r="M149" s="109">
        <f t="shared" si="2"/>
        <v>33.248582995951416</v>
      </c>
      <c r="N149" s="108">
        <v>7410</v>
      </c>
    </row>
    <row r="150" spans="1:14" ht="15.75" thickBot="1" x14ac:dyDescent="0.3">
      <c r="A150" s="44" t="s">
        <v>809</v>
      </c>
      <c r="B150" s="107" t="s">
        <v>810</v>
      </c>
      <c r="C150" s="78" t="s">
        <v>808</v>
      </c>
      <c r="D150" s="109">
        <v>7541</v>
      </c>
      <c r="E150" s="109">
        <v>441</v>
      </c>
      <c r="F150" s="109">
        <v>450</v>
      </c>
      <c r="G150" s="109">
        <v>8432</v>
      </c>
      <c r="H150" s="109">
        <v>69592</v>
      </c>
      <c r="I150" s="109">
        <v>6169</v>
      </c>
      <c r="J150" s="109">
        <v>75761</v>
      </c>
      <c r="K150" s="109">
        <v>38294</v>
      </c>
      <c r="L150" s="109">
        <v>122487</v>
      </c>
      <c r="M150" s="109">
        <f t="shared" si="2"/>
        <v>10.559224137931034</v>
      </c>
      <c r="N150" s="108">
        <v>11600</v>
      </c>
    </row>
    <row r="151" spans="1:14" ht="15.75" thickBot="1" x14ac:dyDescent="0.3">
      <c r="A151" s="44" t="s">
        <v>811</v>
      </c>
      <c r="B151" s="107" t="s">
        <v>812</v>
      </c>
      <c r="C151" s="78" t="s">
        <v>808</v>
      </c>
      <c r="D151" s="109">
        <v>26193</v>
      </c>
      <c r="E151" s="109">
        <v>9164</v>
      </c>
      <c r="F151" s="109">
        <v>6330</v>
      </c>
      <c r="G151" s="109">
        <v>41687</v>
      </c>
      <c r="H151" s="109">
        <v>324556</v>
      </c>
      <c r="I151" s="109">
        <v>73113</v>
      </c>
      <c r="J151" s="109">
        <v>397669</v>
      </c>
      <c r="K151" s="109">
        <v>267253</v>
      </c>
      <c r="L151" s="109">
        <v>706609</v>
      </c>
      <c r="M151" s="109">
        <f t="shared" si="2"/>
        <v>61.077794104935606</v>
      </c>
      <c r="N151" s="108">
        <v>11569</v>
      </c>
    </row>
    <row r="152" spans="1:14" ht="15.75" thickBot="1" x14ac:dyDescent="0.3">
      <c r="A152" s="44" t="s">
        <v>813</v>
      </c>
      <c r="B152" s="107" t="s">
        <v>814</v>
      </c>
      <c r="C152" s="78" t="s">
        <v>808</v>
      </c>
      <c r="D152" s="109">
        <v>22877</v>
      </c>
      <c r="E152" s="109">
        <v>6397</v>
      </c>
      <c r="F152" s="109">
        <v>16900</v>
      </c>
      <c r="G152" s="109">
        <v>46174</v>
      </c>
      <c r="H152" s="109">
        <v>276064</v>
      </c>
      <c r="I152" s="109">
        <v>92837</v>
      </c>
      <c r="J152" s="109">
        <v>368901</v>
      </c>
      <c r="K152" s="109">
        <v>72533</v>
      </c>
      <c r="L152" s="109">
        <v>487608</v>
      </c>
      <c r="M152" s="109">
        <f t="shared" si="2"/>
        <v>50.237791057078098</v>
      </c>
      <c r="N152" s="108">
        <v>9706</v>
      </c>
    </row>
    <row r="153" spans="1:14" ht="15.75" thickBot="1" x14ac:dyDescent="0.3">
      <c r="A153" s="44" t="s">
        <v>825</v>
      </c>
      <c r="B153" s="107" t="s">
        <v>826</v>
      </c>
      <c r="C153" s="78" t="s">
        <v>808</v>
      </c>
      <c r="D153" s="109">
        <v>40696</v>
      </c>
      <c r="E153" s="109">
        <v>20413</v>
      </c>
      <c r="F153" s="109">
        <v>8801</v>
      </c>
      <c r="G153" s="109">
        <v>69910</v>
      </c>
      <c r="H153" s="109">
        <v>242157</v>
      </c>
      <c r="I153" s="109">
        <v>72720</v>
      </c>
      <c r="J153" s="109">
        <v>314877</v>
      </c>
      <c r="K153" s="109">
        <v>175954</v>
      </c>
      <c r="L153" s="109">
        <v>560741</v>
      </c>
      <c r="M153" s="109">
        <f t="shared" si="2"/>
        <v>47.113174256427492</v>
      </c>
      <c r="N153" s="108">
        <v>11902</v>
      </c>
    </row>
    <row r="154" spans="1:14" ht="15.75" thickBot="1" x14ac:dyDescent="0.3">
      <c r="A154" s="44" t="s">
        <v>833</v>
      </c>
      <c r="B154" s="107" t="s">
        <v>834</v>
      </c>
      <c r="C154" s="78" t="s">
        <v>808</v>
      </c>
      <c r="D154" s="109">
        <v>32647</v>
      </c>
      <c r="E154" s="109">
        <v>11568</v>
      </c>
      <c r="F154" s="109">
        <v>2575</v>
      </c>
      <c r="G154" s="109">
        <v>46790</v>
      </c>
      <c r="H154" s="109">
        <v>127961</v>
      </c>
      <c r="I154" s="109">
        <v>17080</v>
      </c>
      <c r="J154" s="109">
        <v>145041</v>
      </c>
      <c r="K154" s="109">
        <v>60356</v>
      </c>
      <c r="L154" s="109">
        <v>252187</v>
      </c>
      <c r="M154" s="109">
        <f t="shared" si="2"/>
        <v>22.92609090909091</v>
      </c>
      <c r="N154" s="108">
        <v>11000</v>
      </c>
    </row>
    <row r="155" spans="1:14" ht="15.75" thickBot="1" x14ac:dyDescent="0.3">
      <c r="A155" s="44" t="s">
        <v>848</v>
      </c>
      <c r="B155" s="107" t="s">
        <v>849</v>
      </c>
      <c r="C155" s="78" t="s">
        <v>808</v>
      </c>
      <c r="D155" s="109">
        <v>13174</v>
      </c>
      <c r="E155" s="109">
        <v>3358</v>
      </c>
      <c r="F155" s="109">
        <v>4145</v>
      </c>
      <c r="G155" s="109">
        <v>20677</v>
      </c>
      <c r="H155" s="109">
        <v>124885</v>
      </c>
      <c r="I155" s="109">
        <v>13248</v>
      </c>
      <c r="J155" s="109">
        <v>138133</v>
      </c>
      <c r="K155" s="109">
        <v>41653</v>
      </c>
      <c r="L155" s="109">
        <v>200463</v>
      </c>
      <c r="M155" s="109">
        <f t="shared" si="2"/>
        <v>27.950780814277746</v>
      </c>
      <c r="N155" s="108">
        <v>7172</v>
      </c>
    </row>
    <row r="156" spans="1:14" ht="15.75" thickBot="1" x14ac:dyDescent="0.3">
      <c r="A156" s="44" t="s">
        <v>859</v>
      </c>
      <c r="B156" s="107" t="s">
        <v>860</v>
      </c>
      <c r="C156" s="78" t="s">
        <v>808</v>
      </c>
      <c r="D156" s="109">
        <v>14739</v>
      </c>
      <c r="E156" s="109">
        <v>5899</v>
      </c>
      <c r="F156" s="109">
        <v>1000</v>
      </c>
      <c r="G156" s="109">
        <v>21638</v>
      </c>
      <c r="H156" s="109">
        <v>77606</v>
      </c>
      <c r="I156" s="109">
        <v>7168</v>
      </c>
      <c r="J156" s="109">
        <v>84774</v>
      </c>
      <c r="K156" s="109">
        <v>23888</v>
      </c>
      <c r="L156" s="109">
        <v>130300</v>
      </c>
      <c r="M156" s="109">
        <f t="shared" si="2"/>
        <v>11.234695637178824</v>
      </c>
      <c r="N156" s="108">
        <v>11598</v>
      </c>
    </row>
    <row r="157" spans="1:14" ht="15.75" thickBot="1" x14ac:dyDescent="0.3">
      <c r="A157" s="44" t="s">
        <v>879</v>
      </c>
      <c r="B157" s="107" t="s">
        <v>880</v>
      </c>
      <c r="C157" s="78" t="s">
        <v>808</v>
      </c>
      <c r="D157" s="109">
        <v>20259</v>
      </c>
      <c r="E157" s="109">
        <v>8892</v>
      </c>
      <c r="F157" s="109">
        <v>6631</v>
      </c>
      <c r="G157" s="109">
        <v>35782</v>
      </c>
      <c r="H157" s="109">
        <v>176017</v>
      </c>
      <c r="I157" s="109">
        <v>29665</v>
      </c>
      <c r="J157" s="109">
        <v>205682</v>
      </c>
      <c r="K157" s="109">
        <v>115336</v>
      </c>
      <c r="L157" s="109">
        <v>356800</v>
      </c>
      <c r="M157" s="109">
        <f t="shared" si="2"/>
        <v>38.795259323692505</v>
      </c>
      <c r="N157" s="108">
        <v>9197</v>
      </c>
    </row>
    <row r="158" spans="1:14" ht="15.75" thickBot="1" x14ac:dyDescent="0.3">
      <c r="A158" s="44" t="s">
        <v>889</v>
      </c>
      <c r="B158" s="107" t="s">
        <v>890</v>
      </c>
      <c r="C158" s="78" t="s">
        <v>808</v>
      </c>
      <c r="D158" s="109">
        <v>33983</v>
      </c>
      <c r="E158" s="109">
        <v>5145</v>
      </c>
      <c r="F158" s="109">
        <v>1769</v>
      </c>
      <c r="G158" s="109">
        <v>40897</v>
      </c>
      <c r="H158" s="109">
        <v>207777</v>
      </c>
      <c r="I158" s="109">
        <v>115922</v>
      </c>
      <c r="J158" s="109">
        <v>323699</v>
      </c>
      <c r="K158" s="109">
        <v>64716</v>
      </c>
      <c r="L158" s="109">
        <v>429312</v>
      </c>
      <c r="M158" s="109">
        <f t="shared" si="2"/>
        <v>36.305454545454545</v>
      </c>
      <c r="N158" s="108">
        <v>11825</v>
      </c>
    </row>
    <row r="159" spans="1:14" ht="15.75" thickBot="1" x14ac:dyDescent="0.3">
      <c r="A159" s="44" t="s">
        <v>893</v>
      </c>
      <c r="B159" s="107" t="s">
        <v>894</v>
      </c>
      <c r="C159" s="78" t="s">
        <v>808</v>
      </c>
      <c r="D159" s="109">
        <v>39000</v>
      </c>
      <c r="E159" s="109">
        <v>4960</v>
      </c>
      <c r="F159" s="109">
        <v>13914</v>
      </c>
      <c r="G159" s="109">
        <v>57874</v>
      </c>
      <c r="H159" s="109">
        <v>252815</v>
      </c>
      <c r="I159" s="109">
        <v>51587</v>
      </c>
      <c r="J159" s="109">
        <v>304402</v>
      </c>
      <c r="K159" s="109">
        <v>197057</v>
      </c>
      <c r="L159" s="109">
        <v>559333</v>
      </c>
      <c r="M159" s="109">
        <f t="shared" si="2"/>
        <v>77.405618599501793</v>
      </c>
      <c r="N159" s="108">
        <v>7226</v>
      </c>
    </row>
    <row r="160" spans="1:14" ht="15.75" thickBot="1" x14ac:dyDescent="0.3">
      <c r="A160" s="44" t="s">
        <v>911</v>
      </c>
      <c r="B160" s="107" t="s">
        <v>912</v>
      </c>
      <c r="C160" s="78" t="s">
        <v>808</v>
      </c>
      <c r="D160" s="109">
        <v>32051</v>
      </c>
      <c r="E160" s="109">
        <v>0</v>
      </c>
      <c r="F160" s="109">
        <v>1500</v>
      </c>
      <c r="G160" s="109">
        <v>33551</v>
      </c>
      <c r="H160" s="109">
        <v>199619</v>
      </c>
      <c r="I160" s="109">
        <v>46659</v>
      </c>
      <c r="J160" s="109">
        <v>246278</v>
      </c>
      <c r="K160" s="109">
        <v>115751</v>
      </c>
      <c r="L160" s="109">
        <v>395580</v>
      </c>
      <c r="M160" s="109">
        <f t="shared" si="2"/>
        <v>39.20515361744301</v>
      </c>
      <c r="N160" s="108">
        <v>10090</v>
      </c>
    </row>
    <row r="161" spans="1:14" ht="15.75" thickBot="1" x14ac:dyDescent="0.3">
      <c r="A161" s="44" t="s">
        <v>913</v>
      </c>
      <c r="B161" s="107" t="s">
        <v>914</v>
      </c>
      <c r="C161" s="78" t="s">
        <v>808</v>
      </c>
      <c r="D161" s="109">
        <v>25653.62</v>
      </c>
      <c r="E161" s="109">
        <v>3227</v>
      </c>
      <c r="F161" s="109">
        <v>1537</v>
      </c>
      <c r="G161" s="109">
        <v>30417.62</v>
      </c>
      <c r="H161" s="109">
        <v>134014.94</v>
      </c>
      <c r="I161" s="109">
        <v>14310.79</v>
      </c>
      <c r="J161" s="109">
        <v>148325.73000000001</v>
      </c>
      <c r="K161" s="109">
        <v>142613.6</v>
      </c>
      <c r="L161" s="109">
        <v>321356.95</v>
      </c>
      <c r="M161" s="109">
        <f t="shared" si="2"/>
        <v>33.112514167954664</v>
      </c>
      <c r="N161" s="108">
        <v>9705</v>
      </c>
    </row>
    <row r="162" spans="1:14" ht="15.75" thickBot="1" x14ac:dyDescent="0.3">
      <c r="A162" s="44" t="s">
        <v>919</v>
      </c>
      <c r="B162" s="107" t="s">
        <v>920</v>
      </c>
      <c r="C162" s="78" t="s">
        <v>808</v>
      </c>
      <c r="D162" s="109">
        <v>15991</v>
      </c>
      <c r="E162" s="109">
        <v>1919</v>
      </c>
      <c r="F162" s="109">
        <v>3411</v>
      </c>
      <c r="G162" s="109">
        <v>21321</v>
      </c>
      <c r="H162" s="109">
        <v>81393</v>
      </c>
      <c r="I162" s="109">
        <v>17915</v>
      </c>
      <c r="J162" s="109">
        <v>99308</v>
      </c>
      <c r="K162" s="109">
        <v>10567</v>
      </c>
      <c r="L162" s="109">
        <v>131196</v>
      </c>
      <c r="M162" s="109">
        <f t="shared" si="2"/>
        <v>15.093879429360332</v>
      </c>
      <c r="N162" s="108">
        <v>8692</v>
      </c>
    </row>
    <row r="163" spans="1:14" ht="15.75" thickBot="1" x14ac:dyDescent="0.3">
      <c r="A163" s="44" t="s">
        <v>927</v>
      </c>
      <c r="B163" s="107" t="s">
        <v>928</v>
      </c>
      <c r="C163" s="78" t="s">
        <v>808</v>
      </c>
      <c r="D163" s="109">
        <v>28124</v>
      </c>
      <c r="E163" s="109">
        <v>8835</v>
      </c>
      <c r="F163" s="109">
        <v>10971</v>
      </c>
      <c r="G163" s="109">
        <v>47930</v>
      </c>
      <c r="H163" s="109">
        <v>270844</v>
      </c>
      <c r="I163" s="109">
        <v>53037</v>
      </c>
      <c r="J163" s="109">
        <v>323881</v>
      </c>
      <c r="K163" s="109">
        <v>139827</v>
      </c>
      <c r="L163" s="109">
        <v>511638</v>
      </c>
      <c r="M163" s="109">
        <f t="shared" si="2"/>
        <v>43.238232062875014</v>
      </c>
      <c r="N163" s="108">
        <v>11833</v>
      </c>
    </row>
    <row r="164" spans="1:14" ht="15.75" thickBot="1" x14ac:dyDescent="0.3">
      <c r="A164" s="44" t="s">
        <v>931</v>
      </c>
      <c r="B164" s="107" t="s">
        <v>932</v>
      </c>
      <c r="C164" s="78" t="s">
        <v>808</v>
      </c>
      <c r="D164" s="109">
        <v>12977</v>
      </c>
      <c r="E164" s="109">
        <v>2401</v>
      </c>
      <c r="F164" s="109">
        <v>3952</v>
      </c>
      <c r="G164" s="109">
        <v>19330</v>
      </c>
      <c r="H164" s="109">
        <v>121975</v>
      </c>
      <c r="I164" s="109">
        <v>10606</v>
      </c>
      <c r="J164" s="109">
        <v>132581</v>
      </c>
      <c r="K164" s="109">
        <v>66182</v>
      </c>
      <c r="L164" s="109">
        <v>218093</v>
      </c>
      <c r="M164" s="109">
        <f t="shared" si="2"/>
        <v>20.087777470756194</v>
      </c>
      <c r="N164" s="108">
        <v>10857</v>
      </c>
    </row>
    <row r="165" spans="1:14" ht="15.75" thickBot="1" x14ac:dyDescent="0.3">
      <c r="A165" s="44" t="s">
        <v>935</v>
      </c>
      <c r="B165" s="107" t="s">
        <v>936</v>
      </c>
      <c r="C165" s="78" t="s">
        <v>808</v>
      </c>
      <c r="D165" s="109">
        <v>12361</v>
      </c>
      <c r="E165" s="109">
        <v>1323</v>
      </c>
      <c r="F165" s="109">
        <v>2638</v>
      </c>
      <c r="G165" s="109">
        <v>16322</v>
      </c>
      <c r="H165" s="109">
        <v>108924</v>
      </c>
      <c r="I165" s="109">
        <v>24952</v>
      </c>
      <c r="J165" s="109">
        <v>133876</v>
      </c>
      <c r="K165" s="109">
        <v>57245</v>
      </c>
      <c r="L165" s="109">
        <v>207443</v>
      </c>
      <c r="M165" s="109">
        <f t="shared" si="2"/>
        <v>21.875250448170409</v>
      </c>
      <c r="N165" s="108">
        <v>9483</v>
      </c>
    </row>
    <row r="166" spans="1:14" ht="15.75" thickBot="1" x14ac:dyDescent="0.3">
      <c r="A166" s="44" t="s">
        <v>937</v>
      </c>
      <c r="B166" s="107" t="s">
        <v>938</v>
      </c>
      <c r="C166" s="78" t="s">
        <v>808</v>
      </c>
      <c r="D166" s="109">
        <v>25726</v>
      </c>
      <c r="E166" s="109">
        <v>6685</v>
      </c>
      <c r="F166" s="109">
        <v>6131</v>
      </c>
      <c r="G166" s="109">
        <v>38542</v>
      </c>
      <c r="H166" s="109">
        <v>123385</v>
      </c>
      <c r="I166" s="109">
        <v>66246</v>
      </c>
      <c r="J166" s="109">
        <v>189631</v>
      </c>
      <c r="K166" s="109">
        <v>48298</v>
      </c>
      <c r="L166" s="109">
        <v>276471</v>
      </c>
      <c r="M166" s="109">
        <f t="shared" si="2"/>
        <v>33.483226353397114</v>
      </c>
      <c r="N166" s="108">
        <v>8257</v>
      </c>
    </row>
    <row r="167" spans="1:14" ht="15.75" thickBot="1" x14ac:dyDescent="0.3">
      <c r="A167" s="44" t="s">
        <v>943</v>
      </c>
      <c r="B167" s="107" t="s">
        <v>944</v>
      </c>
      <c r="C167" s="78" t="s">
        <v>808</v>
      </c>
      <c r="D167" s="109">
        <v>34067</v>
      </c>
      <c r="E167" s="109">
        <v>22841</v>
      </c>
      <c r="F167" s="109">
        <v>12559</v>
      </c>
      <c r="G167" s="109">
        <v>69467</v>
      </c>
      <c r="H167" s="109">
        <v>464113</v>
      </c>
      <c r="I167" s="109">
        <v>114582</v>
      </c>
      <c r="J167" s="109">
        <v>578695</v>
      </c>
      <c r="K167" s="109">
        <v>405329</v>
      </c>
      <c r="L167" s="109">
        <v>1053491</v>
      </c>
      <c r="M167" s="109">
        <f t="shared" si="2"/>
        <v>107.389500509684</v>
      </c>
      <c r="N167" s="108">
        <v>9810</v>
      </c>
    </row>
    <row r="168" spans="1:14" ht="15.75" thickBot="1" x14ac:dyDescent="0.3">
      <c r="A168" s="44" t="s">
        <v>979</v>
      </c>
      <c r="B168" s="107" t="s">
        <v>980</v>
      </c>
      <c r="C168" s="78" t="s">
        <v>808</v>
      </c>
      <c r="D168" s="109">
        <v>23697</v>
      </c>
      <c r="E168" s="109">
        <v>11323</v>
      </c>
      <c r="F168" s="109">
        <v>14375</v>
      </c>
      <c r="G168" s="109">
        <v>49395</v>
      </c>
      <c r="H168" s="109">
        <v>191770</v>
      </c>
      <c r="I168" s="109">
        <v>28150</v>
      </c>
      <c r="J168" s="109">
        <v>219920</v>
      </c>
      <c r="K168" s="109">
        <v>151505</v>
      </c>
      <c r="L168" s="109">
        <v>420820</v>
      </c>
      <c r="M168" s="109">
        <f t="shared" si="2"/>
        <v>35.476310908784356</v>
      </c>
      <c r="N168" s="108">
        <v>11862</v>
      </c>
    </row>
    <row r="169" spans="1:14" ht="15.75" thickBot="1" x14ac:dyDescent="0.3">
      <c r="A169" s="44" t="s">
        <v>1003</v>
      </c>
      <c r="B169" s="107" t="s">
        <v>1004</v>
      </c>
      <c r="C169" s="78" t="s">
        <v>808</v>
      </c>
      <c r="D169" s="109">
        <v>8012</v>
      </c>
      <c r="E169" s="109">
        <v>3575</v>
      </c>
      <c r="F169" s="109">
        <v>0</v>
      </c>
      <c r="G169" s="109">
        <v>11587</v>
      </c>
      <c r="H169" s="109">
        <v>101444</v>
      </c>
      <c r="I169" s="109">
        <v>8012</v>
      </c>
      <c r="J169" s="109">
        <v>109456</v>
      </c>
      <c r="K169" s="109">
        <v>37736</v>
      </c>
      <c r="L169" s="109">
        <v>158779</v>
      </c>
      <c r="M169" s="109">
        <f t="shared" si="2"/>
        <v>15.844626284801915</v>
      </c>
      <c r="N169" s="108">
        <v>10021</v>
      </c>
    </row>
    <row r="170" spans="1:14" ht="15.75" thickBot="1" x14ac:dyDescent="0.3">
      <c r="A170" s="44" t="s">
        <v>1015</v>
      </c>
      <c r="B170" s="107" t="s">
        <v>1016</v>
      </c>
      <c r="C170" s="78" t="s">
        <v>808</v>
      </c>
      <c r="D170" s="109">
        <v>11056</v>
      </c>
      <c r="E170" s="109">
        <v>7349</v>
      </c>
      <c r="F170" s="109">
        <v>26696</v>
      </c>
      <c r="G170" s="109">
        <v>45101</v>
      </c>
      <c r="H170" s="109">
        <v>103605</v>
      </c>
      <c r="I170" s="109">
        <v>0</v>
      </c>
      <c r="J170" s="109">
        <v>103605</v>
      </c>
      <c r="K170" s="109">
        <v>25865</v>
      </c>
      <c r="L170" s="109">
        <v>174571</v>
      </c>
      <c r="M170" s="109">
        <f t="shared" si="2"/>
        <v>23.466998252453287</v>
      </c>
      <c r="N170" s="108">
        <v>7439</v>
      </c>
    </row>
    <row r="171" spans="1:14" ht="15.75" thickBot="1" x14ac:dyDescent="0.3">
      <c r="A171" s="44" t="s">
        <v>1029</v>
      </c>
      <c r="B171" s="107" t="s">
        <v>1030</v>
      </c>
      <c r="C171" s="78" t="s">
        <v>808</v>
      </c>
      <c r="D171" s="109">
        <v>17277</v>
      </c>
      <c r="E171" s="109">
        <v>1919</v>
      </c>
      <c r="F171" s="109">
        <v>3034</v>
      </c>
      <c r="G171" s="109">
        <v>22230</v>
      </c>
      <c r="H171" s="109">
        <v>115364</v>
      </c>
      <c r="I171" s="109">
        <v>21759</v>
      </c>
      <c r="J171" s="109">
        <v>137123</v>
      </c>
      <c r="K171" s="109">
        <v>64923</v>
      </c>
      <c r="L171" s="109">
        <v>224276</v>
      </c>
      <c r="M171" s="109">
        <f t="shared" si="2"/>
        <v>30.340367965367964</v>
      </c>
      <c r="N171" s="108">
        <v>7392</v>
      </c>
    </row>
    <row r="172" spans="1:14" ht="15.75" thickBot="1" x14ac:dyDescent="0.3">
      <c r="A172" s="44" t="s">
        <v>1033</v>
      </c>
      <c r="B172" s="107" t="s">
        <v>1034</v>
      </c>
      <c r="C172" s="78" t="s">
        <v>808</v>
      </c>
      <c r="D172" s="109">
        <v>19360</v>
      </c>
      <c r="E172" s="109">
        <v>4600</v>
      </c>
      <c r="F172" s="109">
        <v>0</v>
      </c>
      <c r="G172" s="109">
        <v>23960</v>
      </c>
      <c r="H172" s="109">
        <v>75210</v>
      </c>
      <c r="I172" s="109">
        <v>17706</v>
      </c>
      <c r="J172" s="109">
        <v>92916</v>
      </c>
      <c r="K172" s="109">
        <v>116386</v>
      </c>
      <c r="L172" s="109">
        <v>233262</v>
      </c>
      <c r="M172" s="109">
        <f t="shared" si="2"/>
        <v>24.52291841883936</v>
      </c>
      <c r="N172" s="108">
        <v>9512</v>
      </c>
    </row>
    <row r="173" spans="1:14" ht="15.75" thickBot="1" x14ac:dyDescent="0.3">
      <c r="A173" s="44" t="s">
        <v>1045</v>
      </c>
      <c r="B173" s="107" t="s">
        <v>1046</v>
      </c>
      <c r="C173" s="78" t="s">
        <v>808</v>
      </c>
      <c r="D173" s="109">
        <v>11640</v>
      </c>
      <c r="E173" s="109">
        <v>2194</v>
      </c>
      <c r="F173" s="109">
        <v>2527</v>
      </c>
      <c r="G173" s="109">
        <v>16361</v>
      </c>
      <c r="H173" s="109">
        <v>68759</v>
      </c>
      <c r="I173" s="109">
        <v>1200</v>
      </c>
      <c r="J173" s="109">
        <v>69959</v>
      </c>
      <c r="K173" s="109">
        <v>43100</v>
      </c>
      <c r="L173" s="109">
        <v>129420</v>
      </c>
      <c r="M173" s="109">
        <f t="shared" si="2"/>
        <v>16.770765841648309</v>
      </c>
      <c r="N173" s="108">
        <v>7717</v>
      </c>
    </row>
    <row r="174" spans="1:14" ht="15.75" thickBot="1" x14ac:dyDescent="0.3">
      <c r="A174" s="44" t="s">
        <v>1069</v>
      </c>
      <c r="B174" s="107" t="s">
        <v>1070</v>
      </c>
      <c r="C174" s="78" t="s">
        <v>808</v>
      </c>
      <c r="D174" s="109">
        <v>19872</v>
      </c>
      <c r="E174" s="109">
        <v>4754</v>
      </c>
      <c r="F174" s="109">
        <v>7848</v>
      </c>
      <c r="G174" s="109">
        <v>32474</v>
      </c>
      <c r="H174" s="109">
        <v>174333</v>
      </c>
      <c r="I174" s="109">
        <v>30404</v>
      </c>
      <c r="J174" s="109">
        <v>204737</v>
      </c>
      <c r="K174" s="109">
        <v>109147</v>
      </c>
      <c r="L174" s="109">
        <v>346358</v>
      </c>
      <c r="M174" s="109">
        <f t="shared" si="2"/>
        <v>44.268660531697343</v>
      </c>
      <c r="N174" s="108">
        <v>7824</v>
      </c>
    </row>
    <row r="175" spans="1:14" ht="15.75" thickBot="1" x14ac:dyDescent="0.3">
      <c r="A175" s="44" t="s">
        <v>1081</v>
      </c>
      <c r="B175" s="107" t="s">
        <v>1082</v>
      </c>
      <c r="C175" s="78" t="s">
        <v>808</v>
      </c>
      <c r="D175" s="109">
        <v>12866</v>
      </c>
      <c r="E175" s="109">
        <v>2529</v>
      </c>
      <c r="F175" s="109">
        <v>3000</v>
      </c>
      <c r="G175" s="109">
        <v>18395</v>
      </c>
      <c r="H175" s="109">
        <v>72384</v>
      </c>
      <c r="I175" s="109">
        <v>0</v>
      </c>
      <c r="J175" s="109">
        <v>72384</v>
      </c>
      <c r="K175" s="109">
        <v>50318</v>
      </c>
      <c r="L175" s="109">
        <v>141097</v>
      </c>
      <c r="M175" s="109">
        <f t="shared" si="2"/>
        <v>14.88993246095399</v>
      </c>
      <c r="N175" s="108">
        <v>9476</v>
      </c>
    </row>
    <row r="176" spans="1:14" ht="15.75" thickBot="1" x14ac:dyDescent="0.3">
      <c r="A176" s="44" t="s">
        <v>1087</v>
      </c>
      <c r="B176" s="107" t="s">
        <v>1088</v>
      </c>
      <c r="C176" s="78" t="s">
        <v>808</v>
      </c>
      <c r="D176" s="109">
        <v>25684</v>
      </c>
      <c r="E176" s="109">
        <v>1679</v>
      </c>
      <c r="F176" s="109">
        <v>3653</v>
      </c>
      <c r="G176" s="109">
        <v>31016</v>
      </c>
      <c r="H176" s="109">
        <v>217528</v>
      </c>
      <c r="I176" s="109">
        <v>41174</v>
      </c>
      <c r="J176" s="109">
        <v>258702</v>
      </c>
      <c r="K176" s="109">
        <v>109017</v>
      </c>
      <c r="L176" s="109">
        <v>398735</v>
      </c>
      <c r="M176" s="109">
        <f t="shared" si="2"/>
        <v>36.304743694801054</v>
      </c>
      <c r="N176" s="108">
        <v>10983</v>
      </c>
    </row>
    <row r="177" spans="1:14" ht="15.75" thickBot="1" x14ac:dyDescent="0.3">
      <c r="A177" s="44" t="s">
        <v>1095</v>
      </c>
      <c r="B177" s="107" t="s">
        <v>1096</v>
      </c>
      <c r="C177" s="78" t="s">
        <v>808</v>
      </c>
      <c r="D177" s="109">
        <v>20818</v>
      </c>
      <c r="E177" s="109">
        <v>0</v>
      </c>
      <c r="F177" s="109">
        <v>1830</v>
      </c>
      <c r="G177" s="109">
        <v>22648</v>
      </c>
      <c r="H177" s="109">
        <v>52906</v>
      </c>
      <c r="I177" s="109">
        <v>17235</v>
      </c>
      <c r="J177" s="109">
        <v>70141</v>
      </c>
      <c r="K177" s="109">
        <v>14871</v>
      </c>
      <c r="L177" s="109">
        <v>107660</v>
      </c>
      <c r="M177" s="109">
        <f t="shared" si="2"/>
        <v>9.5791440519619186</v>
      </c>
      <c r="N177" s="108">
        <v>11239</v>
      </c>
    </row>
    <row r="178" spans="1:14" ht="15.75" thickBot="1" x14ac:dyDescent="0.3">
      <c r="A178" s="44" t="s">
        <v>1109</v>
      </c>
      <c r="B178" s="107" t="s">
        <v>1110</v>
      </c>
      <c r="C178" s="78" t="s">
        <v>808</v>
      </c>
      <c r="D178" s="109">
        <v>20664</v>
      </c>
      <c r="E178" s="109">
        <v>4657</v>
      </c>
      <c r="F178" s="109">
        <v>10203</v>
      </c>
      <c r="G178" s="109">
        <v>35524</v>
      </c>
      <c r="H178" s="109">
        <v>180260</v>
      </c>
      <c r="I178" s="109">
        <v>13573</v>
      </c>
      <c r="J178" s="109">
        <v>193833</v>
      </c>
      <c r="K178" s="109">
        <v>141374</v>
      </c>
      <c r="L178" s="109">
        <v>370731</v>
      </c>
      <c r="M178" s="109">
        <f t="shared" si="2"/>
        <v>41.772507042253523</v>
      </c>
      <c r="N178" s="108">
        <v>8875</v>
      </c>
    </row>
    <row r="179" spans="1:14" ht="15.75" thickBot="1" x14ac:dyDescent="0.3">
      <c r="A179" s="44" t="s">
        <v>1127</v>
      </c>
      <c r="B179" s="107" t="s">
        <v>1128</v>
      </c>
      <c r="C179" s="78" t="s">
        <v>808</v>
      </c>
      <c r="D179" s="109">
        <v>25757</v>
      </c>
      <c r="E179" s="109">
        <v>13835</v>
      </c>
      <c r="F179" s="109">
        <v>6021</v>
      </c>
      <c r="G179" s="109">
        <v>45613</v>
      </c>
      <c r="H179" s="109">
        <v>141772</v>
      </c>
      <c r="I179" s="109">
        <v>13432</v>
      </c>
      <c r="J179" s="109">
        <v>155204</v>
      </c>
      <c r="K179" s="109">
        <v>109159</v>
      </c>
      <c r="L179" s="109">
        <v>309976</v>
      </c>
      <c r="M179" s="109">
        <f t="shared" si="2"/>
        <v>38.113365301856632</v>
      </c>
      <c r="N179" s="108">
        <v>8133</v>
      </c>
    </row>
    <row r="180" spans="1:14" ht="15.75" thickBot="1" x14ac:dyDescent="0.3">
      <c r="A180" s="44" t="s">
        <v>1135</v>
      </c>
      <c r="B180" s="107" t="s">
        <v>1136</v>
      </c>
      <c r="C180" s="78" t="s">
        <v>808</v>
      </c>
      <c r="D180" s="109">
        <v>18893</v>
      </c>
      <c r="E180" s="109">
        <v>9446</v>
      </c>
      <c r="F180" s="109">
        <v>2000</v>
      </c>
      <c r="G180" s="109">
        <v>30339</v>
      </c>
      <c r="H180" s="109">
        <v>161359</v>
      </c>
      <c r="I180" s="109">
        <v>27430</v>
      </c>
      <c r="J180" s="109">
        <v>188789</v>
      </c>
      <c r="K180" s="109">
        <v>95581</v>
      </c>
      <c r="L180" s="109">
        <v>314709</v>
      </c>
      <c r="M180" s="109">
        <f t="shared" si="2"/>
        <v>44.10777855641205</v>
      </c>
      <c r="N180" s="108">
        <v>7135</v>
      </c>
    </row>
    <row r="181" spans="1:14" ht="15.75" thickBot="1" x14ac:dyDescent="0.3">
      <c r="A181" s="44" t="s">
        <v>1143</v>
      </c>
      <c r="B181" s="107" t="s">
        <v>1144</v>
      </c>
      <c r="C181" s="78" t="s">
        <v>808</v>
      </c>
      <c r="D181" s="109">
        <v>19233</v>
      </c>
      <c r="E181" s="109">
        <v>2500</v>
      </c>
      <c r="F181" s="109">
        <v>2000</v>
      </c>
      <c r="G181" s="109">
        <v>23733</v>
      </c>
      <c r="H181" s="109">
        <v>125245</v>
      </c>
      <c r="I181" s="109">
        <v>53191</v>
      </c>
      <c r="J181" s="109">
        <v>178436</v>
      </c>
      <c r="K181" s="109">
        <v>62068</v>
      </c>
      <c r="L181" s="109">
        <v>264237</v>
      </c>
      <c r="M181" s="109">
        <f t="shared" si="2"/>
        <v>22.260909856781804</v>
      </c>
      <c r="N181" s="108">
        <v>11870</v>
      </c>
    </row>
    <row r="182" spans="1:14" ht="15.75" thickBot="1" x14ac:dyDescent="0.3">
      <c r="A182" s="44" t="s">
        <v>1163</v>
      </c>
      <c r="B182" s="107" t="s">
        <v>1164</v>
      </c>
      <c r="C182" s="78" t="s">
        <v>808</v>
      </c>
      <c r="D182" s="109">
        <v>31627</v>
      </c>
      <c r="E182" s="109">
        <v>7180</v>
      </c>
      <c r="F182" s="109">
        <v>27697</v>
      </c>
      <c r="G182" s="109">
        <v>66504</v>
      </c>
      <c r="H182" s="109">
        <v>264847</v>
      </c>
      <c r="I182" s="109">
        <v>135376</v>
      </c>
      <c r="J182" s="109">
        <v>400223</v>
      </c>
      <c r="K182" s="109">
        <v>103724</v>
      </c>
      <c r="L182" s="109">
        <v>570451</v>
      </c>
      <c r="M182" s="109">
        <f t="shared" si="2"/>
        <v>65.090255591054316</v>
      </c>
      <c r="N182" s="108">
        <v>8764</v>
      </c>
    </row>
    <row r="183" spans="1:14" ht="15.75" thickBot="1" x14ac:dyDescent="0.3">
      <c r="A183" s="44" t="s">
        <v>1193</v>
      </c>
      <c r="B183" s="107" t="s">
        <v>1194</v>
      </c>
      <c r="C183" s="78" t="s">
        <v>808</v>
      </c>
      <c r="D183" s="109">
        <v>5700</v>
      </c>
      <c r="E183" s="109">
        <v>2596</v>
      </c>
      <c r="F183" s="109">
        <v>2000</v>
      </c>
      <c r="G183" s="109">
        <v>10296</v>
      </c>
      <c r="H183" s="109">
        <v>47382</v>
      </c>
      <c r="I183" s="109">
        <v>23546</v>
      </c>
      <c r="J183" s="109">
        <v>70928</v>
      </c>
      <c r="K183" s="109">
        <v>6790</v>
      </c>
      <c r="L183" s="109">
        <v>88014</v>
      </c>
      <c r="M183" s="109">
        <f t="shared" si="2"/>
        <v>9.2113029827315547</v>
      </c>
      <c r="N183" s="108">
        <v>9555</v>
      </c>
    </row>
    <row r="184" spans="1:14" ht="15.75" thickBot="1" x14ac:dyDescent="0.3">
      <c r="A184" s="44" t="s">
        <v>1199</v>
      </c>
      <c r="B184" s="107" t="s">
        <v>1200</v>
      </c>
      <c r="C184" s="78" t="s">
        <v>808</v>
      </c>
      <c r="D184" s="109">
        <v>4088</v>
      </c>
      <c r="E184" s="109">
        <v>592</v>
      </c>
      <c r="F184" s="109">
        <v>1642</v>
      </c>
      <c r="G184" s="109">
        <v>6322</v>
      </c>
      <c r="H184" s="109">
        <v>18891</v>
      </c>
      <c r="I184" s="109">
        <v>12187</v>
      </c>
      <c r="J184" s="109">
        <v>31078</v>
      </c>
      <c r="K184" s="109">
        <v>31966</v>
      </c>
      <c r="L184" s="109">
        <v>69366</v>
      </c>
      <c r="M184" s="109">
        <f t="shared" si="2"/>
        <v>7.2764082660232878</v>
      </c>
      <c r="N184" s="108">
        <v>9533</v>
      </c>
    </row>
    <row r="185" spans="1:14" ht="15.75" thickBot="1" x14ac:dyDescent="0.3">
      <c r="A185" s="44" t="s">
        <v>1217</v>
      </c>
      <c r="B185" s="107" t="s">
        <v>1218</v>
      </c>
      <c r="C185" s="78" t="s">
        <v>808</v>
      </c>
      <c r="D185" s="109">
        <v>12694</v>
      </c>
      <c r="E185" s="109">
        <v>7015</v>
      </c>
      <c r="F185" s="109">
        <v>5563</v>
      </c>
      <c r="G185" s="109">
        <v>25272</v>
      </c>
      <c r="H185" s="109">
        <v>205525</v>
      </c>
      <c r="I185" s="109">
        <v>43147</v>
      </c>
      <c r="J185" s="109">
        <v>248672</v>
      </c>
      <c r="K185" s="109">
        <v>64506</v>
      </c>
      <c r="L185" s="109">
        <v>338450</v>
      </c>
      <c r="M185" s="109">
        <f t="shared" si="2"/>
        <v>32.325692454632282</v>
      </c>
      <c r="N185" s="108">
        <v>10470</v>
      </c>
    </row>
    <row r="186" spans="1:14" ht="15.75" thickBot="1" x14ac:dyDescent="0.3">
      <c r="A186" s="44" t="s">
        <v>1229</v>
      </c>
      <c r="B186" s="107" t="s">
        <v>1230</v>
      </c>
      <c r="C186" s="78" t="s">
        <v>808</v>
      </c>
      <c r="D186" s="109">
        <v>26000</v>
      </c>
      <c r="E186" s="109">
        <v>300</v>
      </c>
      <c r="F186" s="109">
        <v>2000</v>
      </c>
      <c r="G186" s="109">
        <v>28300</v>
      </c>
      <c r="H186" s="109">
        <v>178585</v>
      </c>
      <c r="I186" s="109">
        <v>68883</v>
      </c>
      <c r="J186" s="109">
        <v>247468</v>
      </c>
      <c r="K186" s="109">
        <v>59309</v>
      </c>
      <c r="L186" s="109">
        <v>335077</v>
      </c>
      <c r="M186" s="109">
        <f t="shared" si="2"/>
        <v>28.933339089888612</v>
      </c>
      <c r="N186" s="108">
        <v>11581</v>
      </c>
    </row>
    <row r="187" spans="1:14" ht="15.75" thickBot="1" x14ac:dyDescent="0.3">
      <c r="A187" s="44" t="s">
        <v>1251</v>
      </c>
      <c r="B187" s="107" t="s">
        <v>1252</v>
      </c>
      <c r="C187" s="78" t="s">
        <v>808</v>
      </c>
      <c r="D187" s="109">
        <v>24200</v>
      </c>
      <c r="E187" s="109">
        <v>7696</v>
      </c>
      <c r="F187" s="109">
        <v>3789</v>
      </c>
      <c r="G187" s="109">
        <v>35685</v>
      </c>
      <c r="H187" s="109">
        <v>159101</v>
      </c>
      <c r="I187" s="109">
        <v>8300</v>
      </c>
      <c r="J187" s="109">
        <v>167401</v>
      </c>
      <c r="K187" s="109">
        <v>126697</v>
      </c>
      <c r="L187" s="109">
        <v>329783</v>
      </c>
      <c r="M187" s="109">
        <f t="shared" si="2"/>
        <v>45.101613785557987</v>
      </c>
      <c r="N187" s="108">
        <v>7312</v>
      </c>
    </row>
    <row r="188" spans="1:14" ht="15.75" thickBot="1" x14ac:dyDescent="0.3">
      <c r="A188" s="44" t="s">
        <v>1257</v>
      </c>
      <c r="B188" s="107" t="s">
        <v>1258</v>
      </c>
      <c r="C188" s="78" t="s">
        <v>808</v>
      </c>
      <c r="D188" s="109">
        <v>11901</v>
      </c>
      <c r="E188" s="109">
        <v>4736</v>
      </c>
      <c r="F188" s="109">
        <v>1550</v>
      </c>
      <c r="G188" s="109">
        <v>18187</v>
      </c>
      <c r="H188" s="109">
        <v>85165</v>
      </c>
      <c r="I188" s="109">
        <v>67438</v>
      </c>
      <c r="J188" s="109">
        <v>152603</v>
      </c>
      <c r="K188" s="109">
        <v>3745</v>
      </c>
      <c r="L188" s="109">
        <v>174535</v>
      </c>
      <c r="M188" s="109">
        <f t="shared" si="2"/>
        <v>20.917425695110261</v>
      </c>
      <c r="N188" s="108">
        <v>8344</v>
      </c>
    </row>
    <row r="189" spans="1:14" ht="15.75" thickBot="1" x14ac:dyDescent="0.3">
      <c r="A189" s="44" t="s">
        <v>1277</v>
      </c>
      <c r="B189" s="107" t="s">
        <v>1278</v>
      </c>
      <c r="C189" s="78" t="s">
        <v>808</v>
      </c>
      <c r="D189" s="109">
        <v>12700</v>
      </c>
      <c r="E189" s="109">
        <v>300</v>
      </c>
      <c r="F189" s="109">
        <v>0</v>
      </c>
      <c r="G189" s="109">
        <v>13000</v>
      </c>
      <c r="H189" s="109">
        <v>72500</v>
      </c>
      <c r="I189" s="109">
        <v>0</v>
      </c>
      <c r="J189" s="109">
        <v>72500</v>
      </c>
      <c r="K189" s="109">
        <v>99405</v>
      </c>
      <c r="L189" s="109">
        <v>184905</v>
      </c>
      <c r="M189" s="109">
        <f t="shared" si="2"/>
        <v>17.256649556696221</v>
      </c>
      <c r="N189" s="108">
        <v>10715</v>
      </c>
    </row>
    <row r="190" spans="1:14" ht="15.75" thickBot="1" x14ac:dyDescent="0.3">
      <c r="A190" s="44" t="s">
        <v>1289</v>
      </c>
      <c r="B190" s="107" t="s">
        <v>1290</v>
      </c>
      <c r="C190" s="78" t="s">
        <v>808</v>
      </c>
      <c r="D190" s="109">
        <v>15574</v>
      </c>
      <c r="E190" s="109">
        <v>2384</v>
      </c>
      <c r="F190" s="109">
        <v>1851</v>
      </c>
      <c r="G190" s="109">
        <v>19809</v>
      </c>
      <c r="H190" s="109">
        <v>111032</v>
      </c>
      <c r="I190" s="109">
        <v>7282</v>
      </c>
      <c r="J190" s="109">
        <v>118314</v>
      </c>
      <c r="K190" s="109">
        <v>40694</v>
      </c>
      <c r="L190" s="109">
        <v>178817</v>
      </c>
      <c r="M190" s="109">
        <f t="shared" si="2"/>
        <v>24.086341594827587</v>
      </c>
      <c r="N190" s="108">
        <v>7424</v>
      </c>
    </row>
    <row r="191" spans="1:14" ht="15.75" thickBot="1" x14ac:dyDescent="0.3">
      <c r="A191" s="44" t="s">
        <v>1295</v>
      </c>
      <c r="B191" s="107" t="s">
        <v>1296</v>
      </c>
      <c r="C191" s="78" t="s">
        <v>808</v>
      </c>
      <c r="D191" s="109">
        <v>13236</v>
      </c>
      <c r="E191" s="109">
        <v>0</v>
      </c>
      <c r="F191" s="109">
        <v>2000</v>
      </c>
      <c r="G191" s="109">
        <v>15236</v>
      </c>
      <c r="H191" s="109">
        <v>190177</v>
      </c>
      <c r="I191" s="109">
        <v>51930</v>
      </c>
      <c r="J191" s="109">
        <v>242107</v>
      </c>
      <c r="K191" s="109">
        <v>81345</v>
      </c>
      <c r="L191" s="109">
        <v>338688</v>
      </c>
      <c r="M191" s="109">
        <f t="shared" si="2"/>
        <v>34.683870967741939</v>
      </c>
      <c r="N191" s="108">
        <v>9765</v>
      </c>
    </row>
    <row r="192" spans="1:14" ht="15.75" thickBot="1" x14ac:dyDescent="0.3">
      <c r="A192" s="44" t="s">
        <v>1305</v>
      </c>
      <c r="B192" s="107" t="s">
        <v>1306</v>
      </c>
      <c r="C192" s="78" t="s">
        <v>808</v>
      </c>
      <c r="D192" s="109">
        <v>13525</v>
      </c>
      <c r="E192" s="109">
        <v>1578</v>
      </c>
      <c r="F192" s="109">
        <v>4902</v>
      </c>
      <c r="G192" s="109">
        <v>20005</v>
      </c>
      <c r="H192" s="109">
        <v>60702</v>
      </c>
      <c r="I192" s="109">
        <v>39650</v>
      </c>
      <c r="J192" s="109">
        <v>100352</v>
      </c>
      <c r="K192" s="109">
        <v>40561</v>
      </c>
      <c r="L192" s="109">
        <v>160918</v>
      </c>
      <c r="M192" s="109">
        <f t="shared" si="2"/>
        <v>16.72222799542762</v>
      </c>
      <c r="N192" s="108">
        <v>9623</v>
      </c>
    </row>
    <row r="193" spans="1:14" ht="15.75" thickBot="1" x14ac:dyDescent="0.3">
      <c r="A193" s="44" t="s">
        <v>1309</v>
      </c>
      <c r="B193" s="107" t="s">
        <v>1310</v>
      </c>
      <c r="C193" s="78" t="s">
        <v>808</v>
      </c>
      <c r="D193" s="109">
        <v>8850</v>
      </c>
      <c r="E193" s="109">
        <v>1379</v>
      </c>
      <c r="F193" s="109">
        <v>842</v>
      </c>
      <c r="G193" s="109">
        <v>11071</v>
      </c>
      <c r="H193" s="109">
        <v>45895</v>
      </c>
      <c r="I193" s="109">
        <v>5058</v>
      </c>
      <c r="J193" s="109">
        <v>50953</v>
      </c>
      <c r="K193" s="109">
        <v>17663</v>
      </c>
      <c r="L193" s="109">
        <v>79687</v>
      </c>
      <c r="M193" s="109">
        <f t="shared" si="2"/>
        <v>10.408437826541276</v>
      </c>
      <c r="N193" s="108">
        <v>7656</v>
      </c>
    </row>
    <row r="194" spans="1:14" ht="15.75" thickBot="1" x14ac:dyDescent="0.3">
      <c r="A194" s="44" t="s">
        <v>1321</v>
      </c>
      <c r="B194" s="107" t="s">
        <v>1322</v>
      </c>
      <c r="C194" s="78" t="s">
        <v>808</v>
      </c>
      <c r="D194" s="109">
        <v>12106</v>
      </c>
      <c r="E194" s="109">
        <v>6007</v>
      </c>
      <c r="F194" s="109">
        <v>13525</v>
      </c>
      <c r="G194" s="109">
        <v>31638</v>
      </c>
      <c r="H194" s="109">
        <v>243447</v>
      </c>
      <c r="I194" s="109">
        <v>87618</v>
      </c>
      <c r="J194" s="109">
        <v>331065</v>
      </c>
      <c r="K194" s="109">
        <v>81519</v>
      </c>
      <c r="L194" s="109">
        <v>444222</v>
      </c>
      <c r="M194" s="109">
        <f t="shared" si="2"/>
        <v>53.174766578884366</v>
      </c>
      <c r="N194" s="108">
        <v>8354</v>
      </c>
    </row>
    <row r="195" spans="1:14" ht="15.75" thickBot="1" x14ac:dyDescent="0.3">
      <c r="A195" s="44" t="s">
        <v>1339</v>
      </c>
      <c r="B195" s="107" t="s">
        <v>1340</v>
      </c>
      <c r="C195" s="78" t="s">
        <v>808</v>
      </c>
      <c r="D195" s="109">
        <v>19266</v>
      </c>
      <c r="E195" s="109">
        <v>1577</v>
      </c>
      <c r="F195" s="109">
        <v>3585</v>
      </c>
      <c r="G195" s="109">
        <v>24428</v>
      </c>
      <c r="H195" s="109">
        <v>115932</v>
      </c>
      <c r="I195" s="109">
        <v>14491</v>
      </c>
      <c r="J195" s="109">
        <v>130423</v>
      </c>
      <c r="K195" s="109">
        <v>150086</v>
      </c>
      <c r="L195" s="109">
        <v>304937</v>
      </c>
      <c r="M195" s="109">
        <f t="shared" si="2"/>
        <v>35.293634259259257</v>
      </c>
      <c r="N195" s="108">
        <v>8640</v>
      </c>
    </row>
    <row r="196" spans="1:14" ht="15.75" thickBot="1" x14ac:dyDescent="0.3">
      <c r="A196" s="44" t="s">
        <v>1349</v>
      </c>
      <c r="B196" s="107" t="s">
        <v>1350</v>
      </c>
      <c r="C196" s="78" t="s">
        <v>808</v>
      </c>
      <c r="D196" s="109">
        <v>28370</v>
      </c>
      <c r="E196" s="109">
        <v>7317</v>
      </c>
      <c r="F196" s="109">
        <v>10024</v>
      </c>
      <c r="G196" s="109">
        <v>45711</v>
      </c>
      <c r="H196" s="109">
        <v>311969</v>
      </c>
      <c r="I196" s="109">
        <v>25419</v>
      </c>
      <c r="J196" s="109">
        <v>337388</v>
      </c>
      <c r="K196" s="109">
        <v>120413</v>
      </c>
      <c r="L196" s="109">
        <v>503512</v>
      </c>
      <c r="M196" s="109">
        <f t="shared" ref="M196:M259" si="3">L196/N196</f>
        <v>50.507774099709096</v>
      </c>
      <c r="N196" s="108">
        <v>9969</v>
      </c>
    </row>
    <row r="197" spans="1:14" ht="15.75" thickBot="1" x14ac:dyDescent="0.3">
      <c r="A197" s="44" t="s">
        <v>1353</v>
      </c>
      <c r="B197" s="107" t="s">
        <v>1354</v>
      </c>
      <c r="C197" s="78" t="s">
        <v>808</v>
      </c>
      <c r="D197" s="109">
        <v>16102</v>
      </c>
      <c r="E197" s="109">
        <v>0</v>
      </c>
      <c r="F197" s="109">
        <v>2145</v>
      </c>
      <c r="G197" s="109">
        <v>18247</v>
      </c>
      <c r="H197" s="109">
        <v>72037</v>
      </c>
      <c r="I197" s="109">
        <v>4941</v>
      </c>
      <c r="J197" s="109">
        <v>76978</v>
      </c>
      <c r="K197" s="109">
        <v>85872</v>
      </c>
      <c r="L197" s="109">
        <v>181097</v>
      </c>
      <c r="M197" s="109">
        <f t="shared" si="3"/>
        <v>25.745948251350583</v>
      </c>
      <c r="N197" s="108">
        <v>7034</v>
      </c>
    </row>
    <row r="198" spans="1:14" ht="15.75" thickBot="1" x14ac:dyDescent="0.3">
      <c r="A198" s="44" t="s">
        <v>1361</v>
      </c>
      <c r="B198" s="107" t="s">
        <v>1362</v>
      </c>
      <c r="C198" s="78" t="s">
        <v>808</v>
      </c>
      <c r="D198" s="109">
        <v>12300</v>
      </c>
      <c r="E198" s="109">
        <v>3500</v>
      </c>
      <c r="F198" s="109">
        <v>4415</v>
      </c>
      <c r="G198" s="109">
        <v>20215</v>
      </c>
      <c r="H198" s="109">
        <v>152000</v>
      </c>
      <c r="I198" s="109">
        <v>25000</v>
      </c>
      <c r="J198" s="109">
        <v>177000</v>
      </c>
      <c r="K198" s="109">
        <v>255347</v>
      </c>
      <c r="L198" s="109">
        <v>452562</v>
      </c>
      <c r="M198" s="109">
        <f t="shared" si="3"/>
        <v>51.235367372353672</v>
      </c>
      <c r="N198" s="108">
        <v>8833</v>
      </c>
    </row>
    <row r="199" spans="1:14" ht="15.75" thickBot="1" x14ac:dyDescent="0.3">
      <c r="A199" s="44" t="s">
        <v>1369</v>
      </c>
      <c r="B199" s="107" t="s">
        <v>1370</v>
      </c>
      <c r="C199" s="78" t="s">
        <v>808</v>
      </c>
      <c r="D199" s="109">
        <v>19066</v>
      </c>
      <c r="E199" s="109">
        <v>12056</v>
      </c>
      <c r="F199" s="109">
        <v>27299</v>
      </c>
      <c r="G199" s="109">
        <v>58421</v>
      </c>
      <c r="H199" s="109">
        <v>290531</v>
      </c>
      <c r="I199" s="109">
        <v>103168</v>
      </c>
      <c r="J199" s="109">
        <v>393699</v>
      </c>
      <c r="K199" s="109">
        <v>144892</v>
      </c>
      <c r="L199" s="109">
        <v>597012</v>
      </c>
      <c r="M199" s="109">
        <f t="shared" si="3"/>
        <v>51.900547683213077</v>
      </c>
      <c r="N199" s="108">
        <v>11503</v>
      </c>
    </row>
    <row r="200" spans="1:14" ht="15.75" thickBot="1" x14ac:dyDescent="0.3">
      <c r="A200" s="44" t="s">
        <v>1395</v>
      </c>
      <c r="B200" s="107" t="s">
        <v>1396</v>
      </c>
      <c r="C200" s="78" t="s">
        <v>808</v>
      </c>
      <c r="D200" s="109">
        <v>24179</v>
      </c>
      <c r="E200" s="109">
        <v>2078</v>
      </c>
      <c r="F200" s="109">
        <v>1440</v>
      </c>
      <c r="G200" s="109">
        <v>27697</v>
      </c>
      <c r="H200" s="109">
        <v>185269</v>
      </c>
      <c r="I200" s="109">
        <v>15451</v>
      </c>
      <c r="J200" s="109">
        <v>200720</v>
      </c>
      <c r="K200" s="109">
        <v>66180</v>
      </c>
      <c r="L200" s="109">
        <v>294597</v>
      </c>
      <c r="M200" s="109">
        <f t="shared" si="3"/>
        <v>33.134293105387471</v>
      </c>
      <c r="N200" s="108">
        <v>8891</v>
      </c>
    </row>
    <row r="201" spans="1:14" ht="15.75" thickBot="1" x14ac:dyDescent="0.3">
      <c r="A201" s="44" t="s">
        <v>1403</v>
      </c>
      <c r="B201" s="107" t="s">
        <v>1404</v>
      </c>
      <c r="C201" s="78" t="s">
        <v>808</v>
      </c>
      <c r="D201" s="109">
        <v>13360</v>
      </c>
      <c r="E201" s="109">
        <v>3000</v>
      </c>
      <c r="F201" s="109">
        <v>2000</v>
      </c>
      <c r="G201" s="109">
        <v>18360</v>
      </c>
      <c r="H201" s="109">
        <v>85943</v>
      </c>
      <c r="I201" s="109">
        <v>7574</v>
      </c>
      <c r="J201" s="109">
        <v>93517</v>
      </c>
      <c r="K201" s="109">
        <v>127534</v>
      </c>
      <c r="L201" s="109">
        <v>239411</v>
      </c>
      <c r="M201" s="109">
        <f t="shared" si="3"/>
        <v>28.024230364040736</v>
      </c>
      <c r="N201" s="108">
        <v>8543</v>
      </c>
    </row>
    <row r="202" spans="1:14" ht="15.75" thickBot="1" x14ac:dyDescent="0.3">
      <c r="A202" s="44" t="s">
        <v>1411</v>
      </c>
      <c r="B202" s="107" t="s">
        <v>1412</v>
      </c>
      <c r="C202" s="78" t="s">
        <v>808</v>
      </c>
      <c r="D202" s="109">
        <v>37412</v>
      </c>
      <c r="E202" s="109">
        <v>15196</v>
      </c>
      <c r="F202" s="109">
        <v>9315</v>
      </c>
      <c r="G202" s="109">
        <v>61923</v>
      </c>
      <c r="H202" s="109">
        <v>205140</v>
      </c>
      <c r="I202" s="109">
        <v>14803</v>
      </c>
      <c r="J202" s="109">
        <v>219943</v>
      </c>
      <c r="K202" s="109">
        <v>134986</v>
      </c>
      <c r="L202" s="109">
        <v>416852</v>
      </c>
      <c r="M202" s="109">
        <f t="shared" si="3"/>
        <v>54.993667546174144</v>
      </c>
      <c r="N202" s="108">
        <v>7580</v>
      </c>
    </row>
    <row r="203" spans="1:14" ht="15.75" thickBot="1" x14ac:dyDescent="0.3">
      <c r="A203" s="44" t="s">
        <v>1419</v>
      </c>
      <c r="B203" s="107" t="s">
        <v>1420</v>
      </c>
      <c r="C203" s="78" t="s">
        <v>808</v>
      </c>
      <c r="D203" s="109">
        <v>7163</v>
      </c>
      <c r="E203" s="109">
        <v>982</v>
      </c>
      <c r="F203" s="109">
        <v>0</v>
      </c>
      <c r="G203" s="109">
        <v>8145</v>
      </c>
      <c r="H203" s="109">
        <v>93152</v>
      </c>
      <c r="I203" s="109">
        <v>68738</v>
      </c>
      <c r="J203" s="109">
        <v>161890</v>
      </c>
      <c r="K203" s="109">
        <v>62634</v>
      </c>
      <c r="L203" s="109">
        <v>232669</v>
      </c>
      <c r="M203" s="109">
        <f t="shared" si="3"/>
        <v>29.440592180184741</v>
      </c>
      <c r="N203" s="108">
        <v>7903</v>
      </c>
    </row>
    <row r="204" spans="1:14" ht="15.75" thickBot="1" x14ac:dyDescent="0.3">
      <c r="A204" s="44" t="s">
        <v>1435</v>
      </c>
      <c r="B204" s="107" t="s">
        <v>1436</v>
      </c>
      <c r="C204" s="78" t="s">
        <v>808</v>
      </c>
      <c r="D204" s="109">
        <v>16763</v>
      </c>
      <c r="E204" s="109">
        <v>7107</v>
      </c>
      <c r="F204" s="109">
        <v>8200</v>
      </c>
      <c r="G204" s="109">
        <v>32070</v>
      </c>
      <c r="H204" s="109">
        <v>243027</v>
      </c>
      <c r="I204" s="109">
        <v>16560</v>
      </c>
      <c r="J204" s="109">
        <v>259587</v>
      </c>
      <c r="K204" s="109">
        <v>144370</v>
      </c>
      <c r="L204" s="109">
        <v>436027</v>
      </c>
      <c r="M204" s="109">
        <f t="shared" si="3"/>
        <v>37.981445993031357</v>
      </c>
      <c r="N204" s="108">
        <v>11480</v>
      </c>
    </row>
    <row r="205" spans="1:14" ht="15.75" thickBot="1" x14ac:dyDescent="0.3">
      <c r="A205" s="44" t="s">
        <v>1437</v>
      </c>
      <c r="B205" s="107" t="s">
        <v>1438</v>
      </c>
      <c r="C205" s="78" t="s">
        <v>808</v>
      </c>
      <c r="D205" s="109">
        <v>21571</v>
      </c>
      <c r="E205" s="109">
        <v>8128</v>
      </c>
      <c r="F205" s="109">
        <v>3445</v>
      </c>
      <c r="G205" s="109">
        <v>33144</v>
      </c>
      <c r="H205" s="109">
        <v>101305</v>
      </c>
      <c r="I205" s="109">
        <v>7750</v>
      </c>
      <c r="J205" s="109">
        <v>109055</v>
      </c>
      <c r="K205" s="109">
        <v>67860</v>
      </c>
      <c r="L205" s="109">
        <v>210059</v>
      </c>
      <c r="M205" s="109">
        <f t="shared" si="3"/>
        <v>26.937548089253657</v>
      </c>
      <c r="N205" s="108">
        <v>7798</v>
      </c>
    </row>
    <row r="206" spans="1:14" ht="15.75" thickBot="1" x14ac:dyDescent="0.3">
      <c r="A206" s="44" t="s">
        <v>1445</v>
      </c>
      <c r="B206" s="107" t="s">
        <v>1446</v>
      </c>
      <c r="C206" s="78" t="s">
        <v>808</v>
      </c>
      <c r="D206" s="109">
        <v>21801</v>
      </c>
      <c r="E206" s="109">
        <v>3166</v>
      </c>
      <c r="F206" s="109">
        <v>2700</v>
      </c>
      <c r="G206" s="109">
        <v>27667</v>
      </c>
      <c r="H206" s="109">
        <v>96372</v>
      </c>
      <c r="I206" s="109">
        <v>1479</v>
      </c>
      <c r="J206" s="109">
        <v>97851</v>
      </c>
      <c r="K206" s="109">
        <v>25579</v>
      </c>
      <c r="L206" s="109">
        <v>151097</v>
      </c>
      <c r="M206" s="109">
        <f t="shared" si="3"/>
        <v>20.537855103982601</v>
      </c>
      <c r="N206" s="108">
        <v>7357</v>
      </c>
    </row>
    <row r="207" spans="1:14" ht="15.75" thickBot="1" x14ac:dyDescent="0.3">
      <c r="A207" s="44" t="s">
        <v>1451</v>
      </c>
      <c r="B207" s="107" t="s">
        <v>1452</v>
      </c>
      <c r="C207" s="78" t="s">
        <v>808</v>
      </c>
      <c r="D207" s="109">
        <v>45862</v>
      </c>
      <c r="E207" s="109">
        <v>0</v>
      </c>
      <c r="F207" s="109">
        <v>2795</v>
      </c>
      <c r="G207" s="109">
        <v>48657</v>
      </c>
      <c r="H207" s="109">
        <v>127438</v>
      </c>
      <c r="I207" s="109">
        <v>13733</v>
      </c>
      <c r="J207" s="109">
        <v>141171</v>
      </c>
      <c r="K207" s="109">
        <v>100417</v>
      </c>
      <c r="L207" s="109">
        <v>290245</v>
      </c>
      <c r="M207" s="109">
        <f t="shared" si="3"/>
        <v>40.862311699281996</v>
      </c>
      <c r="N207" s="108">
        <v>7103</v>
      </c>
    </row>
    <row r="208" spans="1:14" ht="15.75" thickBot="1" x14ac:dyDescent="0.3">
      <c r="A208" s="44" t="s">
        <v>1455</v>
      </c>
      <c r="B208" s="107" t="s">
        <v>1456</v>
      </c>
      <c r="C208" s="78" t="s">
        <v>808</v>
      </c>
      <c r="D208" s="109">
        <v>51097</v>
      </c>
      <c r="E208" s="109">
        <v>7775</v>
      </c>
      <c r="F208" s="109">
        <v>12500</v>
      </c>
      <c r="G208" s="109">
        <v>71372</v>
      </c>
      <c r="H208" s="109">
        <v>187844</v>
      </c>
      <c r="I208" s="109">
        <v>8772</v>
      </c>
      <c r="J208" s="109">
        <v>196616</v>
      </c>
      <c r="K208" s="109">
        <v>120007</v>
      </c>
      <c r="L208" s="109">
        <v>387995</v>
      </c>
      <c r="M208" s="109">
        <f t="shared" si="3"/>
        <v>38.733652790256563</v>
      </c>
      <c r="N208" s="108">
        <v>10017</v>
      </c>
    </row>
    <row r="209" spans="1:14" ht="15.75" thickBot="1" x14ac:dyDescent="0.3">
      <c r="A209" s="44" t="s">
        <v>1461</v>
      </c>
      <c r="B209" s="107" t="s">
        <v>1462</v>
      </c>
      <c r="C209" s="78" t="s">
        <v>808</v>
      </c>
      <c r="D209" s="109">
        <v>23041</v>
      </c>
      <c r="E209" s="109">
        <v>2830</v>
      </c>
      <c r="F209" s="109">
        <v>4289</v>
      </c>
      <c r="G209" s="109">
        <v>30160</v>
      </c>
      <c r="H209" s="109">
        <v>127883</v>
      </c>
      <c r="I209" s="109">
        <v>64812</v>
      </c>
      <c r="J209" s="109">
        <v>192695</v>
      </c>
      <c r="K209" s="109">
        <v>45581</v>
      </c>
      <c r="L209" s="109">
        <v>268436</v>
      </c>
      <c r="M209" s="109">
        <f t="shared" si="3"/>
        <v>36.913641364136417</v>
      </c>
      <c r="N209" s="108">
        <v>7272</v>
      </c>
    </row>
    <row r="210" spans="1:14" ht="15.75" thickBot="1" x14ac:dyDescent="0.3">
      <c r="A210" s="44" t="s">
        <v>1467</v>
      </c>
      <c r="B210" s="107" t="s">
        <v>1468</v>
      </c>
      <c r="C210" s="78" t="s">
        <v>808</v>
      </c>
      <c r="D210" s="109">
        <v>13618</v>
      </c>
      <c r="E210" s="109">
        <v>1606</v>
      </c>
      <c r="F210" s="109">
        <v>7067</v>
      </c>
      <c r="G210" s="109">
        <v>22291</v>
      </c>
      <c r="H210" s="109">
        <v>176569</v>
      </c>
      <c r="I210" s="109">
        <v>33492</v>
      </c>
      <c r="J210" s="109">
        <v>210061</v>
      </c>
      <c r="K210" s="109">
        <v>68187</v>
      </c>
      <c r="L210" s="109">
        <v>300539</v>
      </c>
      <c r="M210" s="109">
        <f t="shared" si="3"/>
        <v>26.416366353168673</v>
      </c>
      <c r="N210" s="108">
        <v>11377</v>
      </c>
    </row>
    <row r="211" spans="1:14" ht="15.75" thickBot="1" x14ac:dyDescent="0.3">
      <c r="A211" s="44" t="s">
        <v>1480</v>
      </c>
      <c r="B211" s="107" t="s">
        <v>1481</v>
      </c>
      <c r="C211" s="78" t="s">
        <v>808</v>
      </c>
      <c r="D211" s="109">
        <v>28145</v>
      </c>
      <c r="E211" s="109">
        <v>597</v>
      </c>
      <c r="F211" s="109">
        <v>2500</v>
      </c>
      <c r="G211" s="109">
        <v>31242</v>
      </c>
      <c r="H211" s="109">
        <v>214217</v>
      </c>
      <c r="I211" s="109">
        <v>37818</v>
      </c>
      <c r="J211" s="109">
        <v>252035</v>
      </c>
      <c r="K211" s="109">
        <v>93682</v>
      </c>
      <c r="L211" s="109">
        <v>376959</v>
      </c>
      <c r="M211" s="109">
        <f t="shared" si="3"/>
        <v>44.95098974481278</v>
      </c>
      <c r="N211" s="108">
        <v>8386</v>
      </c>
    </row>
    <row r="212" spans="1:14" ht="15.75" thickBot="1" x14ac:dyDescent="0.3">
      <c r="A212" s="44" t="s">
        <v>1486</v>
      </c>
      <c r="B212" s="107" t="s">
        <v>1487</v>
      </c>
      <c r="C212" s="78" t="s">
        <v>808</v>
      </c>
      <c r="D212" s="109">
        <v>19691</v>
      </c>
      <c r="E212" s="109">
        <v>5611</v>
      </c>
      <c r="F212" s="109">
        <v>15271</v>
      </c>
      <c r="G212" s="109">
        <v>40573</v>
      </c>
      <c r="H212" s="109">
        <v>135358</v>
      </c>
      <c r="I212" s="109">
        <v>13535</v>
      </c>
      <c r="J212" s="109">
        <v>148893</v>
      </c>
      <c r="K212" s="109">
        <v>35529</v>
      </c>
      <c r="L212" s="109">
        <v>224995</v>
      </c>
      <c r="M212" s="109">
        <f t="shared" si="3"/>
        <v>24.697585071350165</v>
      </c>
      <c r="N212" s="108">
        <v>9110</v>
      </c>
    </row>
    <row r="213" spans="1:14" ht="15.75" thickBot="1" x14ac:dyDescent="0.3">
      <c r="A213" s="44" t="s">
        <v>1488</v>
      </c>
      <c r="B213" s="107" t="s">
        <v>1489</v>
      </c>
      <c r="C213" s="78" t="s">
        <v>808</v>
      </c>
      <c r="D213" s="109">
        <v>38515</v>
      </c>
      <c r="E213" s="109">
        <v>9793</v>
      </c>
      <c r="F213" s="109">
        <v>4390</v>
      </c>
      <c r="G213" s="109">
        <v>52698</v>
      </c>
      <c r="H213" s="109">
        <v>218392</v>
      </c>
      <c r="I213" s="109">
        <v>115429</v>
      </c>
      <c r="J213" s="109">
        <v>333821</v>
      </c>
      <c r="K213" s="109">
        <v>79837</v>
      </c>
      <c r="L213" s="109">
        <v>466356</v>
      </c>
      <c r="M213" s="109">
        <f t="shared" si="3"/>
        <v>48.352099533437013</v>
      </c>
      <c r="N213" s="108">
        <v>9645</v>
      </c>
    </row>
    <row r="214" spans="1:14" ht="15.75" thickBot="1" x14ac:dyDescent="0.3">
      <c r="A214" s="44" t="s">
        <v>1504</v>
      </c>
      <c r="B214" s="107" t="s">
        <v>1505</v>
      </c>
      <c r="C214" s="78" t="s">
        <v>808</v>
      </c>
      <c r="D214" s="109">
        <v>15792</v>
      </c>
      <c r="E214" s="109">
        <v>0</v>
      </c>
      <c r="F214" s="109">
        <v>4851</v>
      </c>
      <c r="G214" s="109">
        <v>20643</v>
      </c>
      <c r="H214" s="109">
        <v>138855</v>
      </c>
      <c r="I214" s="109">
        <v>9000</v>
      </c>
      <c r="J214" s="109">
        <v>147855</v>
      </c>
      <c r="K214" s="109">
        <v>77731</v>
      </c>
      <c r="L214" s="109">
        <v>246229</v>
      </c>
      <c r="M214" s="109">
        <f t="shared" si="3"/>
        <v>26.473389958069024</v>
      </c>
      <c r="N214" s="108">
        <v>9301</v>
      </c>
    </row>
    <row r="215" spans="1:14" ht="15.75" thickBot="1" x14ac:dyDescent="0.3">
      <c r="A215" s="44" t="s">
        <v>1508</v>
      </c>
      <c r="B215" s="107" t="s">
        <v>1509</v>
      </c>
      <c r="C215" s="78" t="s">
        <v>808</v>
      </c>
      <c r="D215" s="109">
        <v>16253</v>
      </c>
      <c r="E215" s="109">
        <v>3335</v>
      </c>
      <c r="F215" s="109">
        <v>2167</v>
      </c>
      <c r="G215" s="109">
        <v>21755</v>
      </c>
      <c r="H215" s="109">
        <v>117000</v>
      </c>
      <c r="I215" s="109">
        <v>0</v>
      </c>
      <c r="J215" s="109">
        <v>117000</v>
      </c>
      <c r="K215" s="109">
        <v>24255</v>
      </c>
      <c r="L215" s="109">
        <v>163010</v>
      </c>
      <c r="M215" s="109">
        <f t="shared" si="3"/>
        <v>20.762960132467203</v>
      </c>
      <c r="N215" s="108">
        <v>7851</v>
      </c>
    </row>
    <row r="216" spans="1:14" ht="15.75" thickBot="1" x14ac:dyDescent="0.3">
      <c r="A216" s="44" t="s">
        <v>1510</v>
      </c>
      <c r="B216" s="107" t="s">
        <v>1511</v>
      </c>
      <c r="C216" s="78" t="s">
        <v>808</v>
      </c>
      <c r="D216" s="109">
        <v>30809</v>
      </c>
      <c r="E216" s="109">
        <v>7913</v>
      </c>
      <c r="F216" s="109">
        <v>3208</v>
      </c>
      <c r="G216" s="109">
        <v>41930</v>
      </c>
      <c r="H216" s="109">
        <v>193401</v>
      </c>
      <c r="I216" s="109">
        <v>3600</v>
      </c>
      <c r="J216" s="109">
        <v>197001</v>
      </c>
      <c r="K216" s="109">
        <v>126804</v>
      </c>
      <c r="L216" s="109">
        <v>365735</v>
      </c>
      <c r="M216" s="109">
        <f t="shared" si="3"/>
        <v>35.681463414634145</v>
      </c>
      <c r="N216" s="108">
        <v>10250</v>
      </c>
    </row>
    <row r="217" spans="1:14" ht="15.75" thickBot="1" x14ac:dyDescent="0.3">
      <c r="A217" s="44" t="s">
        <v>1520</v>
      </c>
      <c r="B217" s="107" t="s">
        <v>1521</v>
      </c>
      <c r="C217" s="78" t="s">
        <v>808</v>
      </c>
      <c r="D217" s="109">
        <v>8788</v>
      </c>
      <c r="E217" s="109">
        <v>1619</v>
      </c>
      <c r="F217" s="109">
        <v>2084</v>
      </c>
      <c r="G217" s="109">
        <v>12491</v>
      </c>
      <c r="H217" s="109">
        <v>99036</v>
      </c>
      <c r="I217" s="109">
        <v>17856</v>
      </c>
      <c r="J217" s="109">
        <v>116892</v>
      </c>
      <c r="K217" s="109">
        <v>42671</v>
      </c>
      <c r="L217" s="109">
        <v>172054</v>
      </c>
      <c r="M217" s="109">
        <f t="shared" si="3"/>
        <v>16.137122491089851</v>
      </c>
      <c r="N217" s="108">
        <v>10662</v>
      </c>
    </row>
    <row r="218" spans="1:14" ht="15.75" thickBot="1" x14ac:dyDescent="0.3">
      <c r="A218" s="44" t="s">
        <v>1524</v>
      </c>
      <c r="B218" s="107" t="s">
        <v>1525</v>
      </c>
      <c r="C218" s="78" t="s">
        <v>808</v>
      </c>
      <c r="D218" s="109">
        <v>31057</v>
      </c>
      <c r="E218" s="109">
        <v>5537</v>
      </c>
      <c r="F218" s="109">
        <v>4681</v>
      </c>
      <c r="G218" s="109">
        <v>41275</v>
      </c>
      <c r="H218" s="109">
        <v>185628</v>
      </c>
      <c r="I218" s="109">
        <v>32449</v>
      </c>
      <c r="J218" s="109">
        <v>218077</v>
      </c>
      <c r="K218" s="109">
        <v>67085</v>
      </c>
      <c r="L218" s="109">
        <v>326437</v>
      </c>
      <c r="M218" s="109">
        <f t="shared" si="3"/>
        <v>27.237129745515226</v>
      </c>
      <c r="N218" s="108">
        <v>11985</v>
      </c>
    </row>
    <row r="219" spans="1:14" ht="15.75" thickBot="1" x14ac:dyDescent="0.3">
      <c r="A219" s="44" t="s">
        <v>1526</v>
      </c>
      <c r="B219" s="107" t="s">
        <v>1527</v>
      </c>
      <c r="C219" s="78" t="s">
        <v>808</v>
      </c>
      <c r="D219" s="109">
        <v>14692</v>
      </c>
      <c r="E219" s="109">
        <v>1916</v>
      </c>
      <c r="F219" s="109">
        <v>3117</v>
      </c>
      <c r="G219" s="109">
        <v>19725</v>
      </c>
      <c r="H219" s="109">
        <v>76076</v>
      </c>
      <c r="I219" s="109">
        <v>7837</v>
      </c>
      <c r="J219" s="109">
        <v>83913</v>
      </c>
      <c r="K219" s="109">
        <v>47793</v>
      </c>
      <c r="L219" s="109">
        <v>151431</v>
      </c>
      <c r="M219" s="109">
        <f t="shared" si="3"/>
        <v>18.587332760525346</v>
      </c>
      <c r="N219" s="108">
        <v>8147</v>
      </c>
    </row>
    <row r="220" spans="1:14" ht="15.75" thickBot="1" x14ac:dyDescent="0.3">
      <c r="A220" s="44" t="s">
        <v>1534</v>
      </c>
      <c r="B220" s="107" t="s">
        <v>1535</v>
      </c>
      <c r="C220" s="78" t="s">
        <v>808</v>
      </c>
      <c r="D220" s="109">
        <v>17071</v>
      </c>
      <c r="E220" s="109">
        <v>11416</v>
      </c>
      <c r="F220" s="109">
        <v>3326</v>
      </c>
      <c r="G220" s="109">
        <v>31813</v>
      </c>
      <c r="H220" s="109">
        <v>141807</v>
      </c>
      <c r="I220" s="109">
        <v>14076</v>
      </c>
      <c r="J220" s="109">
        <v>155883</v>
      </c>
      <c r="K220" s="109">
        <v>77550</v>
      </c>
      <c r="L220" s="109">
        <v>265246</v>
      </c>
      <c r="M220" s="109">
        <f t="shared" si="3"/>
        <v>27.305538398188183</v>
      </c>
      <c r="N220" s="108">
        <v>9714</v>
      </c>
    </row>
    <row r="221" spans="1:14" ht="15.75" thickBot="1" x14ac:dyDescent="0.3">
      <c r="A221" s="44" t="s">
        <v>1562</v>
      </c>
      <c r="B221" s="107" t="s">
        <v>1563</v>
      </c>
      <c r="C221" s="78" t="s">
        <v>808</v>
      </c>
      <c r="D221" s="109">
        <v>7830</v>
      </c>
      <c r="E221" s="109">
        <v>500</v>
      </c>
      <c r="F221" s="109">
        <v>2000</v>
      </c>
      <c r="G221" s="109">
        <v>10330</v>
      </c>
      <c r="H221" s="109">
        <v>42961</v>
      </c>
      <c r="I221" s="109">
        <v>16721</v>
      </c>
      <c r="J221" s="109">
        <v>59682</v>
      </c>
      <c r="K221" s="109">
        <v>6221</v>
      </c>
      <c r="L221" s="109">
        <v>76233</v>
      </c>
      <c r="M221" s="109">
        <f t="shared" si="3"/>
        <v>8.0127180996426315</v>
      </c>
      <c r="N221" s="108">
        <v>9514</v>
      </c>
    </row>
    <row r="222" spans="1:14" ht="15.75" thickBot="1" x14ac:dyDescent="0.3">
      <c r="A222" s="44" t="s">
        <v>1576</v>
      </c>
      <c r="B222" s="107" t="s">
        <v>1577</v>
      </c>
      <c r="C222" s="78" t="s">
        <v>808</v>
      </c>
      <c r="D222" s="109">
        <v>14447</v>
      </c>
      <c r="E222" s="109">
        <v>3287</v>
      </c>
      <c r="F222" s="109">
        <v>1983</v>
      </c>
      <c r="G222" s="109">
        <v>19717</v>
      </c>
      <c r="H222" s="109">
        <v>117896</v>
      </c>
      <c r="I222" s="109">
        <v>63323</v>
      </c>
      <c r="J222" s="109">
        <v>181219</v>
      </c>
      <c r="K222" s="109">
        <v>72234</v>
      </c>
      <c r="L222" s="109">
        <v>273170</v>
      </c>
      <c r="M222" s="109">
        <f t="shared" si="3"/>
        <v>29.893849857736924</v>
      </c>
      <c r="N222" s="108">
        <v>9138</v>
      </c>
    </row>
    <row r="223" spans="1:14" ht="15.75" thickBot="1" x14ac:dyDescent="0.3">
      <c r="A223" s="44" t="s">
        <v>1578</v>
      </c>
      <c r="B223" s="107" t="s">
        <v>1579</v>
      </c>
      <c r="C223" s="78" t="s">
        <v>808</v>
      </c>
      <c r="D223" s="109">
        <v>46000</v>
      </c>
      <c r="E223" s="109">
        <v>7000</v>
      </c>
      <c r="F223" s="109">
        <v>2600</v>
      </c>
      <c r="G223" s="109">
        <v>55600</v>
      </c>
      <c r="H223" s="109">
        <v>233215</v>
      </c>
      <c r="I223" s="109">
        <v>74600</v>
      </c>
      <c r="J223" s="109">
        <v>307815</v>
      </c>
      <c r="K223" s="109">
        <v>118700</v>
      </c>
      <c r="L223" s="109">
        <v>482115</v>
      </c>
      <c r="M223" s="109">
        <f t="shared" si="3"/>
        <v>65.415875169606508</v>
      </c>
      <c r="N223" s="108">
        <v>7370</v>
      </c>
    </row>
    <row r="224" spans="1:14" ht="15.75" thickBot="1" x14ac:dyDescent="0.3">
      <c r="A224" s="44" t="s">
        <v>1582</v>
      </c>
      <c r="B224" s="107" t="s">
        <v>1583</v>
      </c>
      <c r="C224" s="78" t="s">
        <v>808</v>
      </c>
      <c r="D224" s="109">
        <v>28797</v>
      </c>
      <c r="E224" s="109">
        <v>5000</v>
      </c>
      <c r="F224" s="109">
        <v>6187</v>
      </c>
      <c r="G224" s="109">
        <v>39984</v>
      </c>
      <c r="H224" s="109">
        <v>213864</v>
      </c>
      <c r="I224" s="109">
        <v>16846</v>
      </c>
      <c r="J224" s="109">
        <v>230710</v>
      </c>
      <c r="K224" s="109">
        <v>50007</v>
      </c>
      <c r="L224" s="109">
        <v>320701</v>
      </c>
      <c r="M224" s="109">
        <f t="shared" si="3"/>
        <v>37.583616547521387</v>
      </c>
      <c r="N224" s="108">
        <v>8533</v>
      </c>
    </row>
    <row r="225" spans="1:14" ht="15.75" thickBot="1" x14ac:dyDescent="0.3">
      <c r="A225" s="44" t="s">
        <v>1584</v>
      </c>
      <c r="B225" s="107" t="s">
        <v>1585</v>
      </c>
      <c r="C225" s="78" t="s">
        <v>808</v>
      </c>
      <c r="D225" s="109">
        <v>21619</v>
      </c>
      <c r="E225" s="109">
        <v>2376</v>
      </c>
      <c r="F225" s="109">
        <v>4293</v>
      </c>
      <c r="G225" s="109">
        <v>28288</v>
      </c>
      <c r="H225" s="109">
        <v>210038</v>
      </c>
      <c r="I225" s="109">
        <v>33409</v>
      </c>
      <c r="J225" s="109">
        <v>243447</v>
      </c>
      <c r="K225" s="109">
        <v>104370</v>
      </c>
      <c r="L225" s="109">
        <v>376105</v>
      </c>
      <c r="M225" s="109">
        <f t="shared" si="3"/>
        <v>31.843620353907376</v>
      </c>
      <c r="N225" s="108">
        <v>11811</v>
      </c>
    </row>
    <row r="226" spans="1:14" ht="15.75" thickBot="1" x14ac:dyDescent="0.3">
      <c r="A226" s="44" t="s">
        <v>1590</v>
      </c>
      <c r="B226" s="107" t="s">
        <v>1591</v>
      </c>
      <c r="C226" s="78" t="s">
        <v>808</v>
      </c>
      <c r="D226" s="109">
        <v>15050</v>
      </c>
      <c r="E226" s="109">
        <v>11355</v>
      </c>
      <c r="F226" s="109">
        <v>4000</v>
      </c>
      <c r="G226" s="109">
        <v>30405</v>
      </c>
      <c r="H226" s="109">
        <v>112124</v>
      </c>
      <c r="I226" s="109">
        <v>24309</v>
      </c>
      <c r="J226" s="109">
        <v>136433</v>
      </c>
      <c r="K226" s="109">
        <v>59751</v>
      </c>
      <c r="L226" s="109">
        <v>226589</v>
      </c>
      <c r="M226" s="109">
        <f t="shared" si="3"/>
        <v>22.627221889354903</v>
      </c>
      <c r="N226" s="108">
        <v>10014</v>
      </c>
    </row>
    <row r="227" spans="1:14" ht="15.75" thickBot="1" x14ac:dyDescent="0.3">
      <c r="A227" s="44" t="s">
        <v>801</v>
      </c>
      <c r="B227" s="107" t="s">
        <v>802</v>
      </c>
      <c r="C227" s="78" t="s">
        <v>803</v>
      </c>
      <c r="D227" s="109">
        <v>61870</v>
      </c>
      <c r="E227" s="109">
        <v>13108</v>
      </c>
      <c r="F227" s="109">
        <v>30949</v>
      </c>
      <c r="G227" s="109">
        <v>105927</v>
      </c>
      <c r="H227" s="109">
        <v>388073</v>
      </c>
      <c r="I227" s="109">
        <v>64073</v>
      </c>
      <c r="J227" s="109">
        <v>452146</v>
      </c>
      <c r="K227" s="109">
        <v>217518</v>
      </c>
      <c r="L227" s="109">
        <v>775591</v>
      </c>
      <c r="M227" s="109">
        <f t="shared" si="3"/>
        <v>36.70046846164766</v>
      </c>
      <c r="N227" s="108">
        <v>21133</v>
      </c>
    </row>
    <row r="228" spans="1:14" ht="15.75" thickBot="1" x14ac:dyDescent="0.3">
      <c r="A228" s="44" t="s">
        <v>818</v>
      </c>
      <c r="B228" s="107" t="s">
        <v>819</v>
      </c>
      <c r="C228" s="78" t="s">
        <v>803</v>
      </c>
      <c r="D228" s="109">
        <v>27464</v>
      </c>
      <c r="E228" s="109">
        <v>10455</v>
      </c>
      <c r="F228" s="109">
        <v>13500</v>
      </c>
      <c r="G228" s="109">
        <v>51419</v>
      </c>
      <c r="H228" s="109">
        <v>318390</v>
      </c>
      <c r="I228" s="109">
        <v>45646</v>
      </c>
      <c r="J228" s="109">
        <v>364036</v>
      </c>
      <c r="K228" s="109">
        <v>223283</v>
      </c>
      <c r="L228" s="109">
        <v>638738</v>
      </c>
      <c r="M228" s="109">
        <f t="shared" si="3"/>
        <v>36.706970863743464</v>
      </c>
      <c r="N228" s="108">
        <v>17401</v>
      </c>
    </row>
    <row r="229" spans="1:14" ht="15.75" thickBot="1" x14ac:dyDescent="0.3">
      <c r="A229" s="44" t="s">
        <v>846</v>
      </c>
      <c r="B229" s="107" t="s">
        <v>847</v>
      </c>
      <c r="C229" s="78" t="s">
        <v>803</v>
      </c>
      <c r="D229" s="109">
        <v>43909</v>
      </c>
      <c r="E229" s="109">
        <v>9526</v>
      </c>
      <c r="F229" s="109">
        <v>18372</v>
      </c>
      <c r="G229" s="109">
        <v>71807</v>
      </c>
      <c r="H229" s="109">
        <v>425104</v>
      </c>
      <c r="I229" s="109">
        <v>119738</v>
      </c>
      <c r="J229" s="109">
        <v>544842</v>
      </c>
      <c r="K229" s="109">
        <v>454067</v>
      </c>
      <c r="L229" s="109">
        <v>1070716</v>
      </c>
      <c r="M229" s="109">
        <f t="shared" si="3"/>
        <v>50.005417522884365</v>
      </c>
      <c r="N229" s="108">
        <v>21412</v>
      </c>
    </row>
    <row r="230" spans="1:14" ht="15.75" thickBot="1" x14ac:dyDescent="0.3">
      <c r="A230" s="44" t="s">
        <v>851</v>
      </c>
      <c r="B230" s="107" t="s">
        <v>852</v>
      </c>
      <c r="C230" s="78" t="s">
        <v>803</v>
      </c>
      <c r="D230" s="109">
        <v>53000</v>
      </c>
      <c r="E230" s="109">
        <v>15700</v>
      </c>
      <c r="F230" s="109">
        <v>25000</v>
      </c>
      <c r="G230" s="109">
        <v>93700</v>
      </c>
      <c r="H230" s="109">
        <v>385581</v>
      </c>
      <c r="I230" s="109">
        <v>123463</v>
      </c>
      <c r="J230" s="109">
        <v>509044</v>
      </c>
      <c r="K230" s="109">
        <v>216531</v>
      </c>
      <c r="L230" s="109">
        <v>819275</v>
      </c>
      <c r="M230" s="109">
        <f t="shared" si="3"/>
        <v>31.653015492794498</v>
      </c>
      <c r="N230" s="108">
        <v>25883</v>
      </c>
    </row>
    <row r="231" spans="1:14" ht="15.75" thickBot="1" x14ac:dyDescent="0.3">
      <c r="A231" s="44" t="s">
        <v>871</v>
      </c>
      <c r="B231" s="107" t="s">
        <v>872</v>
      </c>
      <c r="C231" s="78" t="s">
        <v>803</v>
      </c>
      <c r="D231" s="109">
        <v>33295</v>
      </c>
      <c r="E231" s="109">
        <v>6878</v>
      </c>
      <c r="F231" s="109">
        <v>12608</v>
      </c>
      <c r="G231" s="109">
        <v>52781</v>
      </c>
      <c r="H231" s="109">
        <v>296112</v>
      </c>
      <c r="I231" s="109">
        <v>33699</v>
      </c>
      <c r="J231" s="109">
        <v>329811</v>
      </c>
      <c r="K231" s="109">
        <v>157649</v>
      </c>
      <c r="L231" s="109">
        <v>540241</v>
      </c>
      <c r="M231" s="109">
        <f t="shared" si="3"/>
        <v>21.79533626497761</v>
      </c>
      <c r="N231" s="108">
        <v>24787</v>
      </c>
    </row>
    <row r="232" spans="1:14" ht="15.75" thickBot="1" x14ac:dyDescent="0.3">
      <c r="A232" s="44" t="s">
        <v>877</v>
      </c>
      <c r="B232" s="107" t="s">
        <v>878</v>
      </c>
      <c r="C232" s="78" t="s">
        <v>803</v>
      </c>
      <c r="D232" s="109">
        <v>47770</v>
      </c>
      <c r="E232" s="109">
        <v>19984</v>
      </c>
      <c r="F232" s="109">
        <v>9656</v>
      </c>
      <c r="G232" s="109">
        <v>77410</v>
      </c>
      <c r="H232" s="109">
        <v>360532</v>
      </c>
      <c r="I232" s="109">
        <v>116786</v>
      </c>
      <c r="J232" s="109">
        <v>477318</v>
      </c>
      <c r="K232" s="109">
        <v>148837</v>
      </c>
      <c r="L232" s="109">
        <v>703565</v>
      </c>
      <c r="M232" s="109">
        <f t="shared" si="3"/>
        <v>46.99832999331997</v>
      </c>
      <c r="N232" s="108">
        <v>14970</v>
      </c>
    </row>
    <row r="233" spans="1:14" ht="15.75" thickBot="1" x14ac:dyDescent="0.3">
      <c r="A233" s="44" t="s">
        <v>887</v>
      </c>
      <c r="B233" s="107" t="s">
        <v>888</v>
      </c>
      <c r="C233" s="78" t="s">
        <v>803</v>
      </c>
      <c r="D233" s="109">
        <v>22029</v>
      </c>
      <c r="E233" s="109">
        <v>7607</v>
      </c>
      <c r="F233" s="109">
        <v>3067</v>
      </c>
      <c r="G233" s="109">
        <v>32703</v>
      </c>
      <c r="H233" s="109">
        <v>175305</v>
      </c>
      <c r="I233" s="109">
        <v>30200</v>
      </c>
      <c r="J233" s="109">
        <v>205505</v>
      </c>
      <c r="K233" s="109">
        <v>85971</v>
      </c>
      <c r="L233" s="109">
        <v>324179</v>
      </c>
      <c r="M233" s="109">
        <f t="shared" si="3"/>
        <v>16.188714107365794</v>
      </c>
      <c r="N233" s="108">
        <v>20025</v>
      </c>
    </row>
    <row r="234" spans="1:14" ht="15.75" thickBot="1" x14ac:dyDescent="0.3">
      <c r="A234" s="44" t="s">
        <v>899</v>
      </c>
      <c r="B234" s="107" t="s">
        <v>900</v>
      </c>
      <c r="C234" s="78" t="s">
        <v>803</v>
      </c>
      <c r="D234" s="109">
        <v>60563</v>
      </c>
      <c r="E234" s="109">
        <v>21714</v>
      </c>
      <c r="F234" s="109">
        <v>20907</v>
      </c>
      <c r="G234" s="109">
        <v>103184</v>
      </c>
      <c r="H234" s="109">
        <v>529206</v>
      </c>
      <c r="I234" s="109">
        <v>47290</v>
      </c>
      <c r="J234" s="109">
        <v>576496</v>
      </c>
      <c r="K234" s="109">
        <v>308531</v>
      </c>
      <c r="L234" s="109">
        <v>988211</v>
      </c>
      <c r="M234" s="109">
        <f t="shared" si="3"/>
        <v>65.120988467874795</v>
      </c>
      <c r="N234" s="108">
        <v>15175</v>
      </c>
    </row>
    <row r="235" spans="1:14" ht="15.75" thickBot="1" x14ac:dyDescent="0.3">
      <c r="A235" s="44" t="s">
        <v>901</v>
      </c>
      <c r="B235" s="107" t="s">
        <v>902</v>
      </c>
      <c r="C235" s="78" t="s">
        <v>803</v>
      </c>
      <c r="D235" s="109">
        <v>17091</v>
      </c>
      <c r="E235" s="109">
        <v>553</v>
      </c>
      <c r="F235" s="109">
        <v>2402</v>
      </c>
      <c r="G235" s="109">
        <v>20046</v>
      </c>
      <c r="H235" s="109">
        <v>181991</v>
      </c>
      <c r="I235" s="109">
        <v>70474</v>
      </c>
      <c r="J235" s="109">
        <v>252465</v>
      </c>
      <c r="K235" s="109">
        <v>100588</v>
      </c>
      <c r="L235" s="109">
        <v>373099</v>
      </c>
      <c r="M235" s="109">
        <f t="shared" si="3"/>
        <v>29.454409094497514</v>
      </c>
      <c r="N235" s="108">
        <v>12667</v>
      </c>
    </row>
    <row r="236" spans="1:14" ht="15.75" thickBot="1" x14ac:dyDescent="0.3">
      <c r="A236" s="44" t="s">
        <v>905</v>
      </c>
      <c r="B236" s="107" t="s">
        <v>906</v>
      </c>
      <c r="C236" s="78" t="s">
        <v>803</v>
      </c>
      <c r="D236" s="109">
        <v>30890</v>
      </c>
      <c r="E236" s="109">
        <v>9723</v>
      </c>
      <c r="F236" s="109">
        <v>12835</v>
      </c>
      <c r="G236" s="109">
        <v>53448</v>
      </c>
      <c r="H236" s="109">
        <v>303719</v>
      </c>
      <c r="I236" s="109">
        <v>50332</v>
      </c>
      <c r="J236" s="109">
        <v>354051</v>
      </c>
      <c r="K236" s="109">
        <v>132864</v>
      </c>
      <c r="L236" s="109">
        <v>540363</v>
      </c>
      <c r="M236" s="109">
        <f t="shared" si="3"/>
        <v>27.945955730244105</v>
      </c>
      <c r="N236" s="108">
        <v>19336</v>
      </c>
    </row>
    <row r="237" spans="1:14" ht="15.75" thickBot="1" x14ac:dyDescent="0.3">
      <c r="A237" s="44" t="s">
        <v>941</v>
      </c>
      <c r="B237" s="107" t="s">
        <v>942</v>
      </c>
      <c r="C237" s="78" t="s">
        <v>803</v>
      </c>
      <c r="D237" s="109">
        <v>43547</v>
      </c>
      <c r="E237" s="109">
        <v>16850</v>
      </c>
      <c r="F237" s="109">
        <v>10000</v>
      </c>
      <c r="G237" s="109">
        <v>70397</v>
      </c>
      <c r="H237" s="109">
        <v>287162</v>
      </c>
      <c r="I237" s="109">
        <v>35390</v>
      </c>
      <c r="J237" s="109">
        <v>322552</v>
      </c>
      <c r="K237" s="109">
        <v>158254</v>
      </c>
      <c r="L237" s="109">
        <v>551203</v>
      </c>
      <c r="M237" s="109">
        <f t="shared" si="3"/>
        <v>36.581032651977701</v>
      </c>
      <c r="N237" s="108">
        <v>15068</v>
      </c>
    </row>
    <row r="238" spans="1:14" ht="15.75" thickBot="1" x14ac:dyDescent="0.3">
      <c r="A238" s="44" t="s">
        <v>945</v>
      </c>
      <c r="B238" s="107" t="s">
        <v>946</v>
      </c>
      <c r="C238" s="78" t="s">
        <v>803</v>
      </c>
      <c r="D238" s="109">
        <v>39579</v>
      </c>
      <c r="E238" s="109">
        <v>10229</v>
      </c>
      <c r="F238" s="109">
        <v>10219</v>
      </c>
      <c r="G238" s="109">
        <v>60027</v>
      </c>
      <c r="H238" s="109">
        <v>312103</v>
      </c>
      <c r="I238" s="109">
        <v>142159</v>
      </c>
      <c r="J238" s="109">
        <v>454262</v>
      </c>
      <c r="K238" s="109">
        <v>122128</v>
      </c>
      <c r="L238" s="109">
        <v>636417</v>
      </c>
      <c r="M238" s="109">
        <f t="shared" si="3"/>
        <v>26.114772260976611</v>
      </c>
      <c r="N238" s="108">
        <v>24370</v>
      </c>
    </row>
    <row r="239" spans="1:14" ht="15.75" thickBot="1" x14ac:dyDescent="0.3">
      <c r="A239" s="44" t="s">
        <v>949</v>
      </c>
      <c r="B239" s="107" t="s">
        <v>950</v>
      </c>
      <c r="C239" s="78" t="s">
        <v>803</v>
      </c>
      <c r="D239" s="109">
        <v>38462</v>
      </c>
      <c r="E239" s="109">
        <v>8640</v>
      </c>
      <c r="F239" s="109">
        <v>5490</v>
      </c>
      <c r="G239" s="109">
        <v>52592</v>
      </c>
      <c r="H239" s="109">
        <v>313463</v>
      </c>
      <c r="I239" s="109">
        <v>111130</v>
      </c>
      <c r="J239" s="109">
        <v>424593</v>
      </c>
      <c r="K239" s="109">
        <v>124436</v>
      </c>
      <c r="L239" s="109">
        <v>601621</v>
      </c>
      <c r="M239" s="109">
        <f t="shared" si="3"/>
        <v>43.300777313948466</v>
      </c>
      <c r="N239" s="108">
        <v>13894</v>
      </c>
    </row>
    <row r="240" spans="1:14" ht="15.75" thickBot="1" x14ac:dyDescent="0.3">
      <c r="A240" s="44" t="s">
        <v>951</v>
      </c>
      <c r="B240" s="107" t="s">
        <v>952</v>
      </c>
      <c r="C240" s="78" t="s">
        <v>803</v>
      </c>
      <c r="D240" s="109">
        <v>64611</v>
      </c>
      <c r="E240" s="109">
        <v>36888</v>
      </c>
      <c r="F240" s="109">
        <v>45545</v>
      </c>
      <c r="G240" s="109">
        <v>147044</v>
      </c>
      <c r="H240" s="109">
        <v>1029907</v>
      </c>
      <c r="I240" s="109">
        <v>44218</v>
      </c>
      <c r="J240" s="109">
        <v>1074125</v>
      </c>
      <c r="K240" s="109">
        <v>540921</v>
      </c>
      <c r="L240" s="109">
        <v>1762090</v>
      </c>
      <c r="M240" s="109">
        <f t="shared" si="3"/>
        <v>117.39440373084611</v>
      </c>
      <c r="N240" s="108">
        <v>15010</v>
      </c>
    </row>
    <row r="241" spans="1:14" ht="15.75" thickBot="1" x14ac:dyDescent="0.3">
      <c r="A241" s="44" t="s">
        <v>965</v>
      </c>
      <c r="B241" s="107" t="s">
        <v>966</v>
      </c>
      <c r="C241" s="78" t="s">
        <v>803</v>
      </c>
      <c r="D241" s="109">
        <v>19581</v>
      </c>
      <c r="E241" s="109">
        <v>4477</v>
      </c>
      <c r="F241" s="109">
        <v>7178</v>
      </c>
      <c r="G241" s="109">
        <v>31236</v>
      </c>
      <c r="H241" s="109">
        <v>210789</v>
      </c>
      <c r="I241" s="109">
        <v>33789</v>
      </c>
      <c r="J241" s="109">
        <v>244578</v>
      </c>
      <c r="K241" s="109">
        <v>77114</v>
      </c>
      <c r="L241" s="109">
        <v>352928</v>
      </c>
      <c r="M241" s="109">
        <f t="shared" si="3"/>
        <v>27.185949776613771</v>
      </c>
      <c r="N241" s="108">
        <v>12982</v>
      </c>
    </row>
    <row r="242" spans="1:14" ht="15.75" thickBot="1" x14ac:dyDescent="0.3">
      <c r="A242" s="44" t="s">
        <v>975</v>
      </c>
      <c r="B242" s="107" t="s">
        <v>976</v>
      </c>
      <c r="C242" s="78" t="s">
        <v>803</v>
      </c>
      <c r="D242" s="109">
        <v>67145</v>
      </c>
      <c r="E242" s="109">
        <v>7816</v>
      </c>
      <c r="F242" s="109">
        <v>11725</v>
      </c>
      <c r="G242" s="109">
        <v>86686</v>
      </c>
      <c r="H242" s="109">
        <v>368718</v>
      </c>
      <c r="I242" s="109">
        <v>126493</v>
      </c>
      <c r="J242" s="109">
        <v>495211</v>
      </c>
      <c r="K242" s="109">
        <v>141910</v>
      </c>
      <c r="L242" s="109">
        <v>723807</v>
      </c>
      <c r="M242" s="109">
        <f t="shared" si="3"/>
        <v>48.728086710650331</v>
      </c>
      <c r="N242" s="108">
        <v>14854</v>
      </c>
    </row>
    <row r="243" spans="1:14" ht="15.75" thickBot="1" x14ac:dyDescent="0.3">
      <c r="A243" s="44" t="s">
        <v>981</v>
      </c>
      <c r="B243" s="107" t="s">
        <v>982</v>
      </c>
      <c r="C243" s="78" t="s">
        <v>803</v>
      </c>
      <c r="D243" s="109">
        <v>24927</v>
      </c>
      <c r="E243" s="109">
        <v>2139</v>
      </c>
      <c r="F243" s="109">
        <v>2598</v>
      </c>
      <c r="G243" s="109">
        <v>29664</v>
      </c>
      <c r="H243" s="109">
        <v>257880</v>
      </c>
      <c r="I243" s="109">
        <v>134356</v>
      </c>
      <c r="J243" s="109">
        <v>392236</v>
      </c>
      <c r="K243" s="109">
        <v>248683</v>
      </c>
      <c r="L243" s="109">
        <v>670583</v>
      </c>
      <c r="M243" s="109">
        <f t="shared" si="3"/>
        <v>47.646937615461134</v>
      </c>
      <c r="N243" s="108">
        <v>14074</v>
      </c>
    </row>
    <row r="244" spans="1:14" ht="15.75" thickBot="1" x14ac:dyDescent="0.3">
      <c r="A244" s="44" t="s">
        <v>1007</v>
      </c>
      <c r="B244" s="107" t="s">
        <v>1008</v>
      </c>
      <c r="C244" s="78" t="s">
        <v>803</v>
      </c>
      <c r="D244" s="109">
        <v>79500</v>
      </c>
      <c r="E244" s="109">
        <v>0</v>
      </c>
      <c r="F244" s="109">
        <v>22463</v>
      </c>
      <c r="G244" s="109">
        <v>101963</v>
      </c>
      <c r="H244" s="109">
        <v>427407</v>
      </c>
      <c r="I244" s="109">
        <v>34232</v>
      </c>
      <c r="J244" s="109">
        <v>461639</v>
      </c>
      <c r="K244" s="109">
        <v>367245</v>
      </c>
      <c r="L244" s="109">
        <v>930847</v>
      </c>
      <c r="M244" s="109">
        <f t="shared" si="3"/>
        <v>45.31433161328011</v>
      </c>
      <c r="N244" s="108">
        <v>20542</v>
      </c>
    </row>
    <row r="245" spans="1:14" ht="15.75" thickBot="1" x14ac:dyDescent="0.3">
      <c r="A245" s="44" t="s">
        <v>1009</v>
      </c>
      <c r="B245" s="107" t="s">
        <v>1010</v>
      </c>
      <c r="C245" s="78" t="s">
        <v>803</v>
      </c>
      <c r="D245" s="109">
        <v>119865</v>
      </c>
      <c r="E245" s="109">
        <v>49481</v>
      </c>
      <c r="F245" s="109">
        <v>36189</v>
      </c>
      <c r="G245" s="109">
        <v>205535</v>
      </c>
      <c r="H245" s="109">
        <v>809254</v>
      </c>
      <c r="I245" s="109">
        <v>91290</v>
      </c>
      <c r="J245" s="109">
        <v>900544</v>
      </c>
      <c r="K245" s="109">
        <v>406300</v>
      </c>
      <c r="L245" s="109">
        <v>1512379</v>
      </c>
      <c r="M245" s="109">
        <f t="shared" si="3"/>
        <v>77.197641774284108</v>
      </c>
      <c r="N245" s="108">
        <v>19591</v>
      </c>
    </row>
    <row r="246" spans="1:14" ht="15.75" thickBot="1" x14ac:dyDescent="0.3">
      <c r="A246" s="44" t="s">
        <v>1017</v>
      </c>
      <c r="B246" s="107" t="s">
        <v>1018</v>
      </c>
      <c r="C246" s="78" t="s">
        <v>803</v>
      </c>
      <c r="D246" s="109">
        <v>26033</v>
      </c>
      <c r="E246" s="109">
        <v>16598</v>
      </c>
      <c r="F246" s="109">
        <v>10507</v>
      </c>
      <c r="G246" s="109">
        <v>53138</v>
      </c>
      <c r="H246" s="109">
        <v>188809</v>
      </c>
      <c r="I246" s="109">
        <v>16816</v>
      </c>
      <c r="J246" s="109">
        <v>205625</v>
      </c>
      <c r="K246" s="109">
        <v>108749</v>
      </c>
      <c r="L246" s="109">
        <v>367512</v>
      </c>
      <c r="M246" s="109">
        <f t="shared" si="3"/>
        <v>27.620021043138433</v>
      </c>
      <c r="N246" s="108">
        <v>13306</v>
      </c>
    </row>
    <row r="247" spans="1:14" ht="15.75" thickBot="1" x14ac:dyDescent="0.3">
      <c r="A247" s="44" t="s">
        <v>1027</v>
      </c>
      <c r="B247" s="107" t="s">
        <v>1028</v>
      </c>
      <c r="C247" s="78" t="s">
        <v>803</v>
      </c>
      <c r="D247" s="109">
        <v>14188</v>
      </c>
      <c r="E247" s="109">
        <v>3256</v>
      </c>
      <c r="F247" s="109">
        <v>5921</v>
      </c>
      <c r="G247" s="109">
        <v>23365</v>
      </c>
      <c r="H247" s="109">
        <v>218259</v>
      </c>
      <c r="I247" s="109">
        <v>40707</v>
      </c>
      <c r="J247" s="109">
        <v>258966</v>
      </c>
      <c r="K247" s="109">
        <v>69821</v>
      </c>
      <c r="L247" s="109">
        <v>352152</v>
      </c>
      <c r="M247" s="109">
        <f t="shared" si="3"/>
        <v>27.794159431728492</v>
      </c>
      <c r="N247" s="108">
        <v>12670</v>
      </c>
    </row>
    <row r="248" spans="1:14" ht="15.75" thickBot="1" x14ac:dyDescent="0.3">
      <c r="A248" s="44" t="s">
        <v>1043</v>
      </c>
      <c r="B248" s="107" t="s">
        <v>1044</v>
      </c>
      <c r="C248" s="78" t="s">
        <v>803</v>
      </c>
      <c r="D248" s="109">
        <v>26398</v>
      </c>
      <c r="E248" s="109">
        <v>3138</v>
      </c>
      <c r="F248" s="109">
        <v>5632</v>
      </c>
      <c r="G248" s="109">
        <v>35168</v>
      </c>
      <c r="H248" s="109">
        <v>247812</v>
      </c>
      <c r="I248" s="109">
        <v>255096</v>
      </c>
      <c r="J248" s="109">
        <v>502908</v>
      </c>
      <c r="K248" s="109">
        <v>107893</v>
      </c>
      <c r="L248" s="109">
        <v>645969</v>
      </c>
      <c r="M248" s="109">
        <f t="shared" si="3"/>
        <v>25.008478513356561</v>
      </c>
      <c r="N248" s="108">
        <v>25830</v>
      </c>
    </row>
    <row r="249" spans="1:14" ht="15.75" thickBot="1" x14ac:dyDescent="0.3">
      <c r="A249" s="44" t="s">
        <v>1053</v>
      </c>
      <c r="B249" s="107" t="s">
        <v>1054</v>
      </c>
      <c r="C249" s="78" t="s">
        <v>803</v>
      </c>
      <c r="D249" s="109">
        <v>26270</v>
      </c>
      <c r="E249" s="109">
        <v>4998</v>
      </c>
      <c r="F249" s="109">
        <v>6546</v>
      </c>
      <c r="G249" s="109">
        <v>37814</v>
      </c>
      <c r="H249" s="109">
        <v>227299</v>
      </c>
      <c r="I249" s="109">
        <v>23450</v>
      </c>
      <c r="J249" s="109">
        <v>250749</v>
      </c>
      <c r="K249" s="109">
        <v>125763</v>
      </c>
      <c r="L249" s="109">
        <v>414326</v>
      </c>
      <c r="M249" s="109">
        <f t="shared" si="3"/>
        <v>29.11637385804638</v>
      </c>
      <c r="N249" s="108">
        <v>14230</v>
      </c>
    </row>
    <row r="250" spans="1:14" ht="15.75" thickBot="1" x14ac:dyDescent="0.3">
      <c r="A250" s="44" t="s">
        <v>1055</v>
      </c>
      <c r="B250" s="107" t="s">
        <v>1056</v>
      </c>
      <c r="C250" s="78" t="s">
        <v>803</v>
      </c>
      <c r="D250" s="109">
        <v>84382</v>
      </c>
      <c r="E250" s="109">
        <v>29130</v>
      </c>
      <c r="F250" s="109">
        <v>43272</v>
      </c>
      <c r="G250" s="109">
        <v>156784</v>
      </c>
      <c r="H250" s="109">
        <v>640340</v>
      </c>
      <c r="I250" s="109">
        <v>122497</v>
      </c>
      <c r="J250" s="109">
        <v>762837</v>
      </c>
      <c r="K250" s="109">
        <v>290997</v>
      </c>
      <c r="L250" s="109">
        <v>1210618</v>
      </c>
      <c r="M250" s="109">
        <f t="shared" si="3"/>
        <v>60.835075376884419</v>
      </c>
      <c r="N250" s="108">
        <v>19900</v>
      </c>
    </row>
    <row r="251" spans="1:14" ht="15.75" thickBot="1" x14ac:dyDescent="0.3">
      <c r="A251" s="44" t="s">
        <v>1059</v>
      </c>
      <c r="B251" s="107" t="s">
        <v>1060</v>
      </c>
      <c r="C251" s="78" t="s">
        <v>803</v>
      </c>
      <c r="D251" s="109">
        <v>57984</v>
      </c>
      <c r="E251" s="109">
        <v>14194</v>
      </c>
      <c r="F251" s="109">
        <v>23557</v>
      </c>
      <c r="G251" s="109">
        <v>95735</v>
      </c>
      <c r="H251" s="109">
        <v>298127</v>
      </c>
      <c r="I251" s="109">
        <v>36408</v>
      </c>
      <c r="J251" s="109">
        <v>334535</v>
      </c>
      <c r="K251" s="109">
        <v>314077</v>
      </c>
      <c r="L251" s="109">
        <v>744347</v>
      </c>
      <c r="M251" s="109">
        <f t="shared" si="3"/>
        <v>42.230057869057077</v>
      </c>
      <c r="N251" s="108">
        <v>17626</v>
      </c>
    </row>
    <row r="252" spans="1:14" ht="15.75" thickBot="1" x14ac:dyDescent="0.3">
      <c r="A252" s="44" t="s">
        <v>1061</v>
      </c>
      <c r="B252" s="107" t="s">
        <v>1062</v>
      </c>
      <c r="C252" s="78" t="s">
        <v>803</v>
      </c>
      <c r="D252" s="109">
        <v>25000</v>
      </c>
      <c r="E252" s="109">
        <v>2500</v>
      </c>
      <c r="F252" s="109">
        <v>8100</v>
      </c>
      <c r="G252" s="109">
        <v>35600</v>
      </c>
      <c r="H252" s="109">
        <v>213701</v>
      </c>
      <c r="I252" s="109">
        <v>8954</v>
      </c>
      <c r="J252" s="109">
        <v>222655</v>
      </c>
      <c r="K252" s="109">
        <v>242200</v>
      </c>
      <c r="L252" s="109">
        <v>500455</v>
      </c>
      <c r="M252" s="109">
        <f t="shared" si="3"/>
        <v>28.079167368007631</v>
      </c>
      <c r="N252" s="108">
        <v>17823</v>
      </c>
    </row>
    <row r="253" spans="1:14" ht="15.75" thickBot="1" x14ac:dyDescent="0.3">
      <c r="A253" s="44" t="s">
        <v>1067</v>
      </c>
      <c r="B253" s="107" t="s">
        <v>1068</v>
      </c>
      <c r="C253" s="78" t="s">
        <v>803</v>
      </c>
      <c r="D253" s="109">
        <v>43095</v>
      </c>
      <c r="E253" s="109">
        <v>7721</v>
      </c>
      <c r="F253" s="109">
        <v>32195</v>
      </c>
      <c r="G253" s="109">
        <v>83011</v>
      </c>
      <c r="H253" s="109">
        <v>357413</v>
      </c>
      <c r="I253" s="109">
        <v>35550</v>
      </c>
      <c r="J253" s="109">
        <v>392963</v>
      </c>
      <c r="K253" s="109">
        <v>132169</v>
      </c>
      <c r="L253" s="109">
        <v>608143</v>
      </c>
      <c r="M253" s="109">
        <f t="shared" si="3"/>
        <v>35.630595265994842</v>
      </c>
      <c r="N253" s="108">
        <v>17068</v>
      </c>
    </row>
    <row r="254" spans="1:14" ht="15.75" thickBot="1" x14ac:dyDescent="0.3">
      <c r="A254" s="44" t="s">
        <v>1073</v>
      </c>
      <c r="B254" s="107" t="s">
        <v>1074</v>
      </c>
      <c r="C254" s="78" t="s">
        <v>803</v>
      </c>
      <c r="D254" s="109">
        <v>25847</v>
      </c>
      <c r="E254" s="109">
        <v>6217</v>
      </c>
      <c r="F254" s="109">
        <v>6898</v>
      </c>
      <c r="G254" s="109">
        <v>38962</v>
      </c>
      <c r="H254" s="109">
        <v>271221</v>
      </c>
      <c r="I254" s="109">
        <v>39976</v>
      </c>
      <c r="J254" s="109">
        <v>311197</v>
      </c>
      <c r="K254" s="109">
        <v>89364</v>
      </c>
      <c r="L254" s="109">
        <v>439523</v>
      </c>
      <c r="M254" s="109">
        <f t="shared" si="3"/>
        <v>30.353798342541438</v>
      </c>
      <c r="N254" s="108">
        <v>14480</v>
      </c>
    </row>
    <row r="255" spans="1:14" ht="15.75" thickBot="1" x14ac:dyDescent="0.3">
      <c r="A255" s="44" t="s">
        <v>1077</v>
      </c>
      <c r="B255" s="107" t="s">
        <v>1078</v>
      </c>
      <c r="C255" s="78" t="s">
        <v>803</v>
      </c>
      <c r="D255" s="109">
        <v>36271</v>
      </c>
      <c r="E255" s="109">
        <v>18128</v>
      </c>
      <c r="F255" s="109">
        <v>7450</v>
      </c>
      <c r="G255" s="109">
        <v>61849</v>
      </c>
      <c r="H255" s="109">
        <v>369111</v>
      </c>
      <c r="I255" s="109">
        <v>128515</v>
      </c>
      <c r="J255" s="109">
        <v>497626</v>
      </c>
      <c r="K255" s="109">
        <v>286575</v>
      </c>
      <c r="L255" s="109">
        <v>846050</v>
      </c>
      <c r="M255" s="109">
        <f t="shared" si="3"/>
        <v>63.488668767822304</v>
      </c>
      <c r="N255" s="108">
        <v>13326</v>
      </c>
    </row>
    <row r="256" spans="1:14" ht="15.75" thickBot="1" x14ac:dyDescent="0.3">
      <c r="A256" s="44" t="s">
        <v>1079</v>
      </c>
      <c r="B256" s="107" t="s">
        <v>1080</v>
      </c>
      <c r="C256" s="78" t="s">
        <v>803</v>
      </c>
      <c r="D256" s="109">
        <v>6836</v>
      </c>
      <c r="E256" s="109">
        <v>-1</v>
      </c>
      <c r="F256" s="109">
        <v>4574</v>
      </c>
      <c r="G256" s="109">
        <v>11409</v>
      </c>
      <c r="H256" s="109">
        <v>67594</v>
      </c>
      <c r="I256" s="109">
        <v>3904</v>
      </c>
      <c r="J256" s="109">
        <v>71498</v>
      </c>
      <c r="K256" s="109">
        <v>6048</v>
      </c>
      <c r="L256" s="109">
        <v>88955</v>
      </c>
      <c r="M256" s="109">
        <f t="shared" si="3"/>
        <v>6.5417708486542141</v>
      </c>
      <c r="N256" s="108">
        <v>13598</v>
      </c>
    </row>
    <row r="257" spans="1:14" ht="15.75" thickBot="1" x14ac:dyDescent="0.3">
      <c r="A257" s="44" t="s">
        <v>1097</v>
      </c>
      <c r="B257" s="107" t="s">
        <v>1098</v>
      </c>
      <c r="C257" s="78" t="s">
        <v>803</v>
      </c>
      <c r="D257" s="109">
        <v>52617</v>
      </c>
      <c r="E257" s="109">
        <v>15120</v>
      </c>
      <c r="F257" s="109">
        <v>7000</v>
      </c>
      <c r="G257" s="109">
        <v>74737</v>
      </c>
      <c r="H257" s="109">
        <v>228000</v>
      </c>
      <c r="I257" s="109">
        <v>103000</v>
      </c>
      <c r="J257" s="109">
        <v>331000</v>
      </c>
      <c r="K257" s="109">
        <v>159000</v>
      </c>
      <c r="L257" s="109">
        <v>564737</v>
      </c>
      <c r="M257" s="109">
        <f t="shared" si="3"/>
        <v>21.981044683169859</v>
      </c>
      <c r="N257" s="108">
        <v>25692</v>
      </c>
    </row>
    <row r="258" spans="1:14" ht="15.75" thickBot="1" x14ac:dyDescent="0.3">
      <c r="A258" s="44" t="s">
        <v>1105</v>
      </c>
      <c r="B258" s="107" t="s">
        <v>1106</v>
      </c>
      <c r="C258" s="78" t="s">
        <v>803</v>
      </c>
      <c r="D258" s="109">
        <v>39724</v>
      </c>
      <c r="E258" s="109">
        <v>15174</v>
      </c>
      <c r="F258" s="109">
        <v>62693</v>
      </c>
      <c r="G258" s="109">
        <v>117591</v>
      </c>
      <c r="H258" s="109">
        <v>372073</v>
      </c>
      <c r="I258" s="109">
        <v>14310</v>
      </c>
      <c r="J258" s="109">
        <v>386383</v>
      </c>
      <c r="K258" s="109">
        <v>153662</v>
      </c>
      <c r="L258" s="109">
        <v>657636</v>
      </c>
      <c r="M258" s="109">
        <f t="shared" si="3"/>
        <v>41.207845103076636</v>
      </c>
      <c r="N258" s="108">
        <v>15959</v>
      </c>
    </row>
    <row r="259" spans="1:14" ht="15.75" thickBot="1" x14ac:dyDescent="0.3">
      <c r="A259" s="44" t="s">
        <v>1115</v>
      </c>
      <c r="B259" s="107" t="s">
        <v>1116</v>
      </c>
      <c r="C259" s="78" t="s">
        <v>803</v>
      </c>
      <c r="D259" s="109">
        <v>22317</v>
      </c>
      <c r="E259" s="109">
        <v>7825</v>
      </c>
      <c r="F259" s="109">
        <v>13270</v>
      </c>
      <c r="G259" s="109">
        <v>43412</v>
      </c>
      <c r="H259" s="109">
        <v>455080</v>
      </c>
      <c r="I259" s="109">
        <v>102473</v>
      </c>
      <c r="J259" s="109">
        <v>557553</v>
      </c>
      <c r="K259" s="109">
        <v>161966</v>
      </c>
      <c r="L259" s="109">
        <v>762931</v>
      </c>
      <c r="M259" s="109">
        <f t="shared" si="3"/>
        <v>36.046822584455469</v>
      </c>
      <c r="N259" s="108">
        <v>21165</v>
      </c>
    </row>
    <row r="260" spans="1:14" ht="15.75" thickBot="1" x14ac:dyDescent="0.3">
      <c r="A260" s="44" t="s">
        <v>1117</v>
      </c>
      <c r="B260" s="107" t="s">
        <v>1118</v>
      </c>
      <c r="C260" s="78" t="s">
        <v>803</v>
      </c>
      <c r="D260" s="109">
        <v>9744</v>
      </c>
      <c r="E260" s="109">
        <v>1083</v>
      </c>
      <c r="F260" s="109">
        <v>0</v>
      </c>
      <c r="G260" s="109">
        <v>10827</v>
      </c>
      <c r="H260" s="109">
        <v>198931</v>
      </c>
      <c r="I260" s="109">
        <v>44172</v>
      </c>
      <c r="J260" s="109">
        <v>243103</v>
      </c>
      <c r="K260" s="109">
        <v>105830</v>
      </c>
      <c r="L260" s="109">
        <v>359760</v>
      </c>
      <c r="M260" s="109">
        <f t="shared" ref="M260:M323" si="4">L260/N260</f>
        <v>16.044240288988984</v>
      </c>
      <c r="N260" s="108">
        <v>22423</v>
      </c>
    </row>
    <row r="261" spans="1:14" ht="15.75" thickBot="1" x14ac:dyDescent="0.3">
      <c r="A261" s="44" t="s">
        <v>1121</v>
      </c>
      <c r="B261" s="107" t="s">
        <v>1122</v>
      </c>
      <c r="C261" s="78" t="s">
        <v>803</v>
      </c>
      <c r="D261" s="109">
        <v>17189</v>
      </c>
      <c r="E261" s="109">
        <v>5518</v>
      </c>
      <c r="F261" s="109">
        <v>3942</v>
      </c>
      <c r="G261" s="109">
        <v>26649</v>
      </c>
      <c r="H261" s="109">
        <v>249687</v>
      </c>
      <c r="I261" s="109">
        <v>70380</v>
      </c>
      <c r="J261" s="109">
        <v>320067</v>
      </c>
      <c r="K261" s="109">
        <v>97838</v>
      </c>
      <c r="L261" s="109">
        <v>444554</v>
      </c>
      <c r="M261" s="109">
        <f t="shared" si="4"/>
        <v>31.227451531329024</v>
      </c>
      <c r="N261" s="108">
        <v>14236</v>
      </c>
    </row>
    <row r="262" spans="1:14" ht="15.75" thickBot="1" x14ac:dyDescent="0.3">
      <c r="A262" s="44" t="s">
        <v>1123</v>
      </c>
      <c r="B262" s="107" t="s">
        <v>1124</v>
      </c>
      <c r="C262" s="78" t="s">
        <v>803</v>
      </c>
      <c r="D262" s="109">
        <v>21950</v>
      </c>
      <c r="E262" s="109">
        <v>4450</v>
      </c>
      <c r="F262" s="109">
        <v>1350</v>
      </c>
      <c r="G262" s="109">
        <v>27750</v>
      </c>
      <c r="H262" s="109">
        <v>122000</v>
      </c>
      <c r="I262" s="109">
        <v>9000</v>
      </c>
      <c r="J262" s="109">
        <v>131000</v>
      </c>
      <c r="K262" s="109">
        <v>154372</v>
      </c>
      <c r="L262" s="109">
        <v>313122</v>
      </c>
      <c r="M262" s="109">
        <f t="shared" si="4"/>
        <v>24.235448916408668</v>
      </c>
      <c r="N262" s="108">
        <v>12920</v>
      </c>
    </row>
    <row r="263" spans="1:14" ht="15.75" thickBot="1" x14ac:dyDescent="0.3">
      <c r="A263" s="44" t="s">
        <v>1125</v>
      </c>
      <c r="B263" s="107" t="s">
        <v>1126</v>
      </c>
      <c r="C263" s="78" t="s">
        <v>803</v>
      </c>
      <c r="D263" s="109">
        <v>32901</v>
      </c>
      <c r="E263" s="109">
        <v>10090</v>
      </c>
      <c r="F263" s="109">
        <v>14829</v>
      </c>
      <c r="G263" s="109">
        <v>57820</v>
      </c>
      <c r="H263" s="109">
        <v>168974</v>
      </c>
      <c r="I263" s="109">
        <v>6137</v>
      </c>
      <c r="J263" s="109">
        <v>175111</v>
      </c>
      <c r="K263" s="109">
        <v>76164</v>
      </c>
      <c r="L263" s="109">
        <v>309095</v>
      </c>
      <c r="M263" s="109">
        <f t="shared" si="4"/>
        <v>12.571480863871152</v>
      </c>
      <c r="N263" s="108">
        <v>24587</v>
      </c>
    </row>
    <row r="264" spans="1:14" ht="15.75" thickBot="1" x14ac:dyDescent="0.3">
      <c r="A264" s="44" t="s">
        <v>1131</v>
      </c>
      <c r="B264" s="107" t="s">
        <v>1132</v>
      </c>
      <c r="C264" s="78" t="s">
        <v>803</v>
      </c>
      <c r="D264" s="109">
        <v>22437</v>
      </c>
      <c r="E264" s="109">
        <v>6279</v>
      </c>
      <c r="F264" s="109">
        <v>9656</v>
      </c>
      <c r="G264" s="109">
        <v>38372</v>
      </c>
      <c r="H264" s="109">
        <v>238226</v>
      </c>
      <c r="I264" s="109">
        <v>110866</v>
      </c>
      <c r="J264" s="109">
        <v>349092</v>
      </c>
      <c r="K264" s="109">
        <v>310095</v>
      </c>
      <c r="L264" s="109">
        <v>697559</v>
      </c>
      <c r="M264" s="109">
        <f t="shared" si="4"/>
        <v>52.713594800876599</v>
      </c>
      <c r="N264" s="108">
        <v>13233</v>
      </c>
    </row>
    <row r="265" spans="1:14" ht="15.75" thickBot="1" x14ac:dyDescent="0.3">
      <c r="A265" s="44" t="s">
        <v>1133</v>
      </c>
      <c r="B265" s="107" t="s">
        <v>1134</v>
      </c>
      <c r="C265" s="78" t="s">
        <v>803</v>
      </c>
      <c r="D265" s="109">
        <v>25815</v>
      </c>
      <c r="E265" s="109">
        <v>2175</v>
      </c>
      <c r="F265" s="109">
        <v>5452</v>
      </c>
      <c r="G265" s="109">
        <v>33442</v>
      </c>
      <c r="H265" s="109">
        <v>256528</v>
      </c>
      <c r="I265" s="109">
        <v>78529</v>
      </c>
      <c r="J265" s="109">
        <v>335057</v>
      </c>
      <c r="K265" s="109">
        <v>131707</v>
      </c>
      <c r="L265" s="109">
        <v>500206</v>
      </c>
      <c r="M265" s="109">
        <f t="shared" si="4"/>
        <v>30.459505541346974</v>
      </c>
      <c r="N265" s="108">
        <v>16422</v>
      </c>
    </row>
    <row r="266" spans="1:14" ht="15.75" thickBot="1" x14ac:dyDescent="0.3">
      <c r="A266" s="44" t="s">
        <v>1141</v>
      </c>
      <c r="B266" s="107" t="s">
        <v>1142</v>
      </c>
      <c r="C266" s="78" t="s">
        <v>803</v>
      </c>
      <c r="D266" s="109">
        <v>53544</v>
      </c>
      <c r="E266" s="109">
        <v>18696</v>
      </c>
      <c r="F266" s="109">
        <v>20766</v>
      </c>
      <c r="G266" s="109">
        <v>93006</v>
      </c>
      <c r="H266" s="109">
        <v>511176</v>
      </c>
      <c r="I266" s="109">
        <v>89117</v>
      </c>
      <c r="J266" s="109">
        <v>600293</v>
      </c>
      <c r="K266" s="109">
        <v>307195</v>
      </c>
      <c r="L266" s="109">
        <v>1000494</v>
      </c>
      <c r="M266" s="109">
        <f t="shared" si="4"/>
        <v>52.103635038016876</v>
      </c>
      <c r="N266" s="108">
        <v>19202</v>
      </c>
    </row>
    <row r="267" spans="1:14" ht="15.75" thickBot="1" x14ac:dyDescent="0.3">
      <c r="A267" s="44" t="s">
        <v>1145</v>
      </c>
      <c r="B267" s="107" t="s">
        <v>1146</v>
      </c>
      <c r="C267" s="78" t="s">
        <v>803</v>
      </c>
      <c r="D267" s="109">
        <v>18033</v>
      </c>
      <c r="E267" s="109">
        <v>6420</v>
      </c>
      <c r="F267" s="109">
        <v>6000</v>
      </c>
      <c r="G267" s="109">
        <v>30453</v>
      </c>
      <c r="H267" s="109">
        <v>226129</v>
      </c>
      <c r="I267" s="109">
        <v>0</v>
      </c>
      <c r="J267" s="109">
        <v>226129</v>
      </c>
      <c r="K267" s="109">
        <v>45519</v>
      </c>
      <c r="L267" s="109">
        <v>302101</v>
      </c>
      <c r="M267" s="109">
        <f t="shared" si="4"/>
        <v>13.084762647262647</v>
      </c>
      <c r="N267" s="108">
        <v>23088</v>
      </c>
    </row>
    <row r="268" spans="1:14" ht="15.75" thickBot="1" x14ac:dyDescent="0.3">
      <c r="A268" s="44" t="s">
        <v>1153</v>
      </c>
      <c r="B268" s="107" t="s">
        <v>1154</v>
      </c>
      <c r="C268" s="78" t="s">
        <v>803</v>
      </c>
      <c r="D268" s="109">
        <v>27642</v>
      </c>
      <c r="E268" s="109">
        <v>21774</v>
      </c>
      <c r="F268" s="109">
        <v>8931</v>
      </c>
      <c r="G268" s="109">
        <v>58347</v>
      </c>
      <c r="H268" s="109">
        <v>275256</v>
      </c>
      <c r="I268" s="109">
        <v>78424</v>
      </c>
      <c r="J268" s="109">
        <v>353680</v>
      </c>
      <c r="K268" s="109">
        <v>157389</v>
      </c>
      <c r="L268" s="109">
        <v>569416</v>
      </c>
      <c r="M268" s="109">
        <f t="shared" si="4"/>
        <v>37.163294609058866</v>
      </c>
      <c r="N268" s="108">
        <v>15322</v>
      </c>
    </row>
    <row r="269" spans="1:14" ht="15.75" thickBot="1" x14ac:dyDescent="0.3">
      <c r="A269" s="44" t="s">
        <v>1155</v>
      </c>
      <c r="B269" s="107" t="s">
        <v>1156</v>
      </c>
      <c r="C269" s="78" t="s">
        <v>803</v>
      </c>
      <c r="D269" s="109">
        <v>48497</v>
      </c>
      <c r="E269" s="109">
        <v>6289</v>
      </c>
      <c r="F269" s="109">
        <v>43850</v>
      </c>
      <c r="G269" s="109">
        <v>98636</v>
      </c>
      <c r="H269" s="109">
        <v>342250</v>
      </c>
      <c r="I269" s="109">
        <v>104478</v>
      </c>
      <c r="J269" s="109">
        <v>446728</v>
      </c>
      <c r="K269" s="109">
        <v>402303</v>
      </c>
      <c r="L269" s="109">
        <v>947667</v>
      </c>
      <c r="M269" s="109">
        <f t="shared" si="4"/>
        <v>42.851774813475018</v>
      </c>
      <c r="N269" s="108">
        <v>22115</v>
      </c>
    </row>
    <row r="270" spans="1:14" ht="15.75" thickBot="1" x14ac:dyDescent="0.3">
      <c r="A270" s="44" t="s">
        <v>1169</v>
      </c>
      <c r="B270" s="107" t="s">
        <v>1170</v>
      </c>
      <c r="C270" s="78" t="s">
        <v>803</v>
      </c>
      <c r="D270" s="109">
        <v>35601</v>
      </c>
      <c r="E270" s="109">
        <v>6188</v>
      </c>
      <c r="F270" s="109">
        <v>6336</v>
      </c>
      <c r="G270" s="109">
        <v>48125</v>
      </c>
      <c r="H270" s="109">
        <v>370274</v>
      </c>
      <c r="I270" s="109">
        <v>124848</v>
      </c>
      <c r="J270" s="109">
        <v>495122</v>
      </c>
      <c r="K270" s="109">
        <v>90233</v>
      </c>
      <c r="L270" s="109">
        <v>633480</v>
      </c>
      <c r="M270" s="109">
        <f t="shared" si="4"/>
        <v>28.964382058433543</v>
      </c>
      <c r="N270" s="108">
        <v>21871</v>
      </c>
    </row>
    <row r="271" spans="1:14" ht="15.75" thickBot="1" x14ac:dyDescent="0.3">
      <c r="A271" s="44" t="s">
        <v>1175</v>
      </c>
      <c r="B271" s="107" t="s">
        <v>1176</v>
      </c>
      <c r="C271" s="78" t="s">
        <v>803</v>
      </c>
      <c r="D271" s="109">
        <v>17593</v>
      </c>
      <c r="E271" s="109">
        <v>4744</v>
      </c>
      <c r="F271" s="109">
        <v>1750</v>
      </c>
      <c r="G271" s="109">
        <v>24087</v>
      </c>
      <c r="H271" s="109">
        <v>144323</v>
      </c>
      <c r="I271" s="109">
        <v>123458</v>
      </c>
      <c r="J271" s="109">
        <v>267781</v>
      </c>
      <c r="K271" s="109">
        <v>47991</v>
      </c>
      <c r="L271" s="109">
        <v>339859</v>
      </c>
      <c r="M271" s="109">
        <f t="shared" si="4"/>
        <v>24.989632352941175</v>
      </c>
      <c r="N271" s="108">
        <v>13600</v>
      </c>
    </row>
    <row r="272" spans="1:14" ht="15.75" thickBot="1" x14ac:dyDescent="0.3">
      <c r="A272" s="44" t="s">
        <v>1189</v>
      </c>
      <c r="B272" s="107" t="s">
        <v>1190</v>
      </c>
      <c r="C272" s="78" t="s">
        <v>803</v>
      </c>
      <c r="D272" s="109">
        <v>18842</v>
      </c>
      <c r="E272" s="109">
        <v>5715</v>
      </c>
      <c r="F272" s="109">
        <v>4000</v>
      </c>
      <c r="G272" s="109">
        <v>28557</v>
      </c>
      <c r="H272" s="109">
        <v>170914</v>
      </c>
      <c r="I272" s="109">
        <v>12359</v>
      </c>
      <c r="J272" s="109">
        <v>183273</v>
      </c>
      <c r="K272" s="109">
        <v>92498</v>
      </c>
      <c r="L272" s="109">
        <v>304328</v>
      </c>
      <c r="M272" s="109">
        <f t="shared" si="4"/>
        <v>17.741969334810236</v>
      </c>
      <c r="N272" s="108">
        <v>17153</v>
      </c>
    </row>
    <row r="273" spans="1:14" ht="15.75" thickBot="1" x14ac:dyDescent="0.3">
      <c r="A273" s="44" t="s">
        <v>1207</v>
      </c>
      <c r="B273" s="107" t="s">
        <v>1208</v>
      </c>
      <c r="C273" s="78" t="s">
        <v>803</v>
      </c>
      <c r="D273" s="109">
        <v>905</v>
      </c>
      <c r="E273" s="109">
        <v>12</v>
      </c>
      <c r="F273" s="109">
        <v>0</v>
      </c>
      <c r="G273" s="109">
        <v>917</v>
      </c>
      <c r="H273" s="109">
        <v>88534</v>
      </c>
      <c r="I273" s="109">
        <v>0</v>
      </c>
      <c r="J273" s="109">
        <v>88534</v>
      </c>
      <c r="K273" s="109">
        <v>147746</v>
      </c>
      <c r="L273" s="109">
        <v>237197</v>
      </c>
      <c r="M273" s="109">
        <f t="shared" si="4"/>
        <v>9.3498758327092126</v>
      </c>
      <c r="N273" s="108">
        <v>25369</v>
      </c>
    </row>
    <row r="274" spans="1:14" ht="15.75" thickBot="1" x14ac:dyDescent="0.3">
      <c r="A274" s="44" t="s">
        <v>1223</v>
      </c>
      <c r="B274" s="107" t="s">
        <v>1224</v>
      </c>
      <c r="C274" s="78" t="s">
        <v>803</v>
      </c>
      <c r="D274" s="109">
        <v>60227</v>
      </c>
      <c r="E274" s="109">
        <v>13151</v>
      </c>
      <c r="F274" s="109">
        <v>13276</v>
      </c>
      <c r="G274" s="109">
        <v>86654</v>
      </c>
      <c r="H274" s="109">
        <v>535207</v>
      </c>
      <c r="I274" s="109">
        <v>54970</v>
      </c>
      <c r="J274" s="109">
        <v>590177</v>
      </c>
      <c r="K274" s="109">
        <v>149446</v>
      </c>
      <c r="L274" s="109">
        <v>826277</v>
      </c>
      <c r="M274" s="109">
        <f t="shared" si="4"/>
        <v>37.122697457094077</v>
      </c>
      <c r="N274" s="108">
        <v>22258</v>
      </c>
    </row>
    <row r="275" spans="1:14" ht="15.75" thickBot="1" x14ac:dyDescent="0.3">
      <c r="A275" s="44" t="s">
        <v>1235</v>
      </c>
      <c r="B275" s="107" t="s">
        <v>1236</v>
      </c>
      <c r="C275" s="78" t="s">
        <v>803</v>
      </c>
      <c r="D275" s="109">
        <v>78333</v>
      </c>
      <c r="E275" s="109">
        <v>17619</v>
      </c>
      <c r="F275" s="109">
        <v>18752</v>
      </c>
      <c r="G275" s="109">
        <v>114704</v>
      </c>
      <c r="H275" s="109">
        <v>363100</v>
      </c>
      <c r="I275" s="109">
        <v>95025</v>
      </c>
      <c r="J275" s="109">
        <v>458125</v>
      </c>
      <c r="K275" s="109">
        <v>450317</v>
      </c>
      <c r="L275" s="109">
        <v>1023146</v>
      </c>
      <c r="M275" s="109">
        <f t="shared" si="4"/>
        <v>70.343485733929185</v>
      </c>
      <c r="N275" s="108">
        <v>14545</v>
      </c>
    </row>
    <row r="276" spans="1:14" ht="15.75" thickBot="1" x14ac:dyDescent="0.3">
      <c r="A276" s="44" t="s">
        <v>1241</v>
      </c>
      <c r="B276" s="107" t="s">
        <v>1242</v>
      </c>
      <c r="C276" s="78" t="s">
        <v>803</v>
      </c>
      <c r="D276" s="109">
        <v>25498</v>
      </c>
      <c r="E276" s="109">
        <v>3426</v>
      </c>
      <c r="F276" s="109">
        <v>6621</v>
      </c>
      <c r="G276" s="109">
        <v>35545</v>
      </c>
      <c r="H276" s="109">
        <v>246918</v>
      </c>
      <c r="I276" s="109">
        <v>96006</v>
      </c>
      <c r="J276" s="109">
        <v>342924</v>
      </c>
      <c r="K276" s="109">
        <v>89124</v>
      </c>
      <c r="L276" s="109">
        <v>467593</v>
      </c>
      <c r="M276" s="109">
        <f t="shared" si="4"/>
        <v>34.76011002081475</v>
      </c>
      <c r="N276" s="108">
        <v>13452</v>
      </c>
    </row>
    <row r="277" spans="1:14" ht="15.75" thickBot="1" x14ac:dyDescent="0.3">
      <c r="A277" s="44" t="s">
        <v>1255</v>
      </c>
      <c r="B277" s="107" t="s">
        <v>1256</v>
      </c>
      <c r="C277" s="78" t="s">
        <v>803</v>
      </c>
      <c r="D277" s="109">
        <v>56843</v>
      </c>
      <c r="E277" s="109">
        <v>25136</v>
      </c>
      <c r="F277" s="109">
        <v>33583</v>
      </c>
      <c r="G277" s="109">
        <v>115562</v>
      </c>
      <c r="H277" s="109">
        <v>519034</v>
      </c>
      <c r="I277" s="109">
        <v>215109</v>
      </c>
      <c r="J277" s="109">
        <v>734143</v>
      </c>
      <c r="K277" s="109">
        <v>239498</v>
      </c>
      <c r="L277" s="109">
        <v>1089203</v>
      </c>
      <c r="M277" s="109">
        <f t="shared" si="4"/>
        <v>47.366949336812354</v>
      </c>
      <c r="N277" s="108">
        <v>22995</v>
      </c>
    </row>
    <row r="278" spans="1:14" ht="15.75" thickBot="1" x14ac:dyDescent="0.3">
      <c r="A278" s="44" t="s">
        <v>1265</v>
      </c>
      <c r="B278" s="107" t="s">
        <v>1266</v>
      </c>
      <c r="C278" s="78" t="s">
        <v>803</v>
      </c>
      <c r="D278" s="109">
        <v>45875</v>
      </c>
      <c r="E278" s="109">
        <v>10892</v>
      </c>
      <c r="F278" s="109">
        <v>4255</v>
      </c>
      <c r="G278" s="109">
        <v>61022</v>
      </c>
      <c r="H278" s="109">
        <v>617051</v>
      </c>
      <c r="I278" s="109">
        <v>128848</v>
      </c>
      <c r="J278" s="109">
        <v>745899</v>
      </c>
      <c r="K278" s="109">
        <v>182372</v>
      </c>
      <c r="L278" s="109">
        <v>989293</v>
      </c>
      <c r="M278" s="109">
        <f t="shared" si="4"/>
        <v>66.182298635268936</v>
      </c>
      <c r="N278" s="108">
        <v>14948</v>
      </c>
    </row>
    <row r="279" spans="1:14" ht="15.75" thickBot="1" x14ac:dyDescent="0.3">
      <c r="A279" s="44" t="s">
        <v>1269</v>
      </c>
      <c r="B279" s="107" t="s">
        <v>1270</v>
      </c>
      <c r="C279" s="78" t="s">
        <v>803</v>
      </c>
      <c r="D279" s="109">
        <v>43229</v>
      </c>
      <c r="E279" s="109">
        <v>6021</v>
      </c>
      <c r="F279" s="109">
        <v>19579</v>
      </c>
      <c r="G279" s="109">
        <v>68829</v>
      </c>
      <c r="H279" s="109">
        <v>378406</v>
      </c>
      <c r="I279" s="109">
        <v>98842</v>
      </c>
      <c r="J279" s="109">
        <v>477248</v>
      </c>
      <c r="K279" s="109">
        <v>178187</v>
      </c>
      <c r="L279" s="109">
        <v>724264</v>
      </c>
      <c r="M279" s="109">
        <f t="shared" si="4"/>
        <v>39.377154352199206</v>
      </c>
      <c r="N279" s="108">
        <v>18393</v>
      </c>
    </row>
    <row r="280" spans="1:14" ht="15.75" thickBot="1" x14ac:dyDescent="0.3">
      <c r="A280" s="44" t="s">
        <v>1281</v>
      </c>
      <c r="B280" s="107" t="s">
        <v>1282</v>
      </c>
      <c r="C280" s="78" t="s">
        <v>803</v>
      </c>
      <c r="D280" s="109">
        <v>22299</v>
      </c>
      <c r="E280" s="109">
        <v>2350</v>
      </c>
      <c r="F280" s="109">
        <v>750</v>
      </c>
      <c r="G280" s="109">
        <v>25399</v>
      </c>
      <c r="H280" s="109">
        <v>184775</v>
      </c>
      <c r="I280" s="109">
        <v>78642</v>
      </c>
      <c r="J280" s="109">
        <v>263417</v>
      </c>
      <c r="K280" s="109">
        <v>39016</v>
      </c>
      <c r="L280" s="109">
        <v>327832</v>
      </c>
      <c r="M280" s="109">
        <f t="shared" si="4"/>
        <v>22.791434927697441</v>
      </c>
      <c r="N280" s="108">
        <v>14384</v>
      </c>
    </row>
    <row r="281" spans="1:14" ht="15.75" thickBot="1" x14ac:dyDescent="0.3">
      <c r="A281" s="44" t="s">
        <v>1285</v>
      </c>
      <c r="B281" s="107" t="s">
        <v>1286</v>
      </c>
      <c r="C281" s="78" t="s">
        <v>803</v>
      </c>
      <c r="D281" s="109">
        <v>27393</v>
      </c>
      <c r="E281" s="109">
        <v>10572</v>
      </c>
      <c r="F281" s="109">
        <v>1567</v>
      </c>
      <c r="G281" s="109">
        <v>39532</v>
      </c>
      <c r="H281" s="109">
        <v>228536</v>
      </c>
      <c r="I281" s="109">
        <v>28105</v>
      </c>
      <c r="J281" s="109">
        <v>256641</v>
      </c>
      <c r="K281" s="109">
        <v>133857</v>
      </c>
      <c r="L281" s="109">
        <v>430030</v>
      </c>
      <c r="M281" s="109">
        <f t="shared" si="4"/>
        <v>24.557706584432644</v>
      </c>
      <c r="N281" s="108">
        <v>17511</v>
      </c>
    </row>
    <row r="282" spans="1:14" ht="15.75" thickBot="1" x14ac:dyDescent="0.3">
      <c r="A282" s="44" t="s">
        <v>1287</v>
      </c>
      <c r="B282" s="107" t="s">
        <v>1288</v>
      </c>
      <c r="C282" s="78" t="s">
        <v>803</v>
      </c>
      <c r="D282" s="109">
        <v>46164</v>
      </c>
      <c r="E282" s="109">
        <v>10220</v>
      </c>
      <c r="F282" s="109">
        <v>9516</v>
      </c>
      <c r="G282" s="109">
        <v>65900</v>
      </c>
      <c r="H282" s="109">
        <v>507934</v>
      </c>
      <c r="I282" s="109">
        <v>61708</v>
      </c>
      <c r="J282" s="109">
        <v>569642</v>
      </c>
      <c r="K282" s="109">
        <v>391219</v>
      </c>
      <c r="L282" s="109">
        <v>1026761</v>
      </c>
      <c r="M282" s="109">
        <f t="shared" si="4"/>
        <v>65.249173868835797</v>
      </c>
      <c r="N282" s="108">
        <v>15736</v>
      </c>
    </row>
    <row r="283" spans="1:14" ht="15.75" thickBot="1" x14ac:dyDescent="0.3">
      <c r="A283" s="44" t="s">
        <v>1291</v>
      </c>
      <c r="B283" s="107" t="s">
        <v>1292</v>
      </c>
      <c r="C283" s="78" t="s">
        <v>803</v>
      </c>
      <c r="D283" s="109">
        <v>23147</v>
      </c>
      <c r="E283" s="109">
        <v>3750</v>
      </c>
      <c r="F283" s="109">
        <v>5053</v>
      </c>
      <c r="G283" s="109">
        <v>31950</v>
      </c>
      <c r="H283" s="109">
        <v>95545</v>
      </c>
      <c r="I283" s="109">
        <v>0</v>
      </c>
      <c r="J283" s="109">
        <v>95545</v>
      </c>
      <c r="K283" s="109">
        <v>87505</v>
      </c>
      <c r="L283" s="109">
        <v>215000</v>
      </c>
      <c r="M283" s="109">
        <f t="shared" si="4"/>
        <v>16.415973123616094</v>
      </c>
      <c r="N283" s="108">
        <v>13097</v>
      </c>
    </row>
    <row r="284" spans="1:14" ht="15.75" thickBot="1" x14ac:dyDescent="0.3">
      <c r="A284" s="44" t="s">
        <v>1301</v>
      </c>
      <c r="B284" s="107" t="s">
        <v>1302</v>
      </c>
      <c r="C284" s="78" t="s">
        <v>803</v>
      </c>
      <c r="D284" s="109">
        <v>36856</v>
      </c>
      <c r="E284" s="109">
        <v>9634</v>
      </c>
      <c r="F284" s="109">
        <v>14336</v>
      </c>
      <c r="G284" s="109">
        <v>60826</v>
      </c>
      <c r="H284" s="109">
        <v>556191</v>
      </c>
      <c r="I284" s="109">
        <v>202505</v>
      </c>
      <c r="J284" s="109">
        <v>758696</v>
      </c>
      <c r="K284" s="109">
        <v>388939</v>
      </c>
      <c r="L284" s="109">
        <v>1208461</v>
      </c>
      <c r="M284" s="109">
        <f t="shared" si="4"/>
        <v>52.870499190619938</v>
      </c>
      <c r="N284" s="108">
        <v>22857</v>
      </c>
    </row>
    <row r="285" spans="1:14" ht="15.75" thickBot="1" x14ac:dyDescent="0.3">
      <c r="A285" s="44" t="s">
        <v>1315</v>
      </c>
      <c r="B285" s="107" t="s">
        <v>1316</v>
      </c>
      <c r="C285" s="78" t="s">
        <v>803</v>
      </c>
      <c r="D285" s="109">
        <v>88653</v>
      </c>
      <c r="E285" s="109">
        <v>22259</v>
      </c>
      <c r="F285" s="109">
        <v>13048</v>
      </c>
      <c r="G285" s="109">
        <v>123960</v>
      </c>
      <c r="H285" s="109">
        <v>563767</v>
      </c>
      <c r="I285" s="109">
        <v>150293</v>
      </c>
      <c r="J285" s="109">
        <v>714060</v>
      </c>
      <c r="K285" s="109">
        <v>510071</v>
      </c>
      <c r="L285" s="109">
        <v>1348091</v>
      </c>
      <c r="M285" s="109">
        <f t="shared" si="4"/>
        <v>52.483492953359807</v>
      </c>
      <c r="N285" s="108">
        <v>25686</v>
      </c>
    </row>
    <row r="286" spans="1:14" ht="15.75" thickBot="1" x14ac:dyDescent="0.3">
      <c r="A286" s="44" t="s">
        <v>1331</v>
      </c>
      <c r="B286" s="107" t="s">
        <v>1332</v>
      </c>
      <c r="C286" s="78" t="s">
        <v>803</v>
      </c>
      <c r="D286" s="109">
        <v>39000</v>
      </c>
      <c r="E286" s="109">
        <v>0</v>
      </c>
      <c r="F286" s="109">
        <v>1900</v>
      </c>
      <c r="G286" s="109">
        <v>40900</v>
      </c>
      <c r="H286" s="109">
        <v>154063</v>
      </c>
      <c r="I286" s="109">
        <v>7200</v>
      </c>
      <c r="J286" s="109">
        <v>161263</v>
      </c>
      <c r="K286" s="109">
        <v>86122</v>
      </c>
      <c r="L286" s="109">
        <v>288285</v>
      </c>
      <c r="M286" s="109">
        <f t="shared" si="4"/>
        <v>22.950800095533793</v>
      </c>
      <c r="N286" s="108">
        <v>12561</v>
      </c>
    </row>
    <row r="287" spans="1:14" ht="15.75" thickBot="1" x14ac:dyDescent="0.3">
      <c r="A287" s="44" t="s">
        <v>1341</v>
      </c>
      <c r="B287" s="107" t="s">
        <v>1342</v>
      </c>
      <c r="C287" s="78" t="s">
        <v>803</v>
      </c>
      <c r="D287" s="109">
        <v>43263</v>
      </c>
      <c r="E287" s="109">
        <v>8388</v>
      </c>
      <c r="F287" s="109">
        <v>11572</v>
      </c>
      <c r="G287" s="109">
        <v>63223</v>
      </c>
      <c r="H287" s="109">
        <v>357590</v>
      </c>
      <c r="I287" s="109">
        <v>100569</v>
      </c>
      <c r="J287" s="109">
        <v>458159</v>
      </c>
      <c r="K287" s="109">
        <v>112697</v>
      </c>
      <c r="L287" s="109">
        <v>634079</v>
      </c>
      <c r="M287" s="109">
        <f t="shared" si="4"/>
        <v>26.240647243833802</v>
      </c>
      <c r="N287" s="108">
        <v>24164</v>
      </c>
    </row>
    <row r="288" spans="1:14" ht="15.75" thickBot="1" x14ac:dyDescent="0.3">
      <c r="A288" s="44" t="s">
        <v>1343</v>
      </c>
      <c r="B288" s="107" t="s">
        <v>1344</v>
      </c>
      <c r="C288" s="78" t="s">
        <v>803</v>
      </c>
      <c r="D288" s="109">
        <v>49093</v>
      </c>
      <c r="E288" s="109">
        <v>13711</v>
      </c>
      <c r="F288" s="109">
        <v>19687</v>
      </c>
      <c r="G288" s="109">
        <v>82491</v>
      </c>
      <c r="H288" s="109">
        <v>273440</v>
      </c>
      <c r="I288" s="109">
        <v>60151</v>
      </c>
      <c r="J288" s="109">
        <v>333591</v>
      </c>
      <c r="K288" s="109">
        <v>186342</v>
      </c>
      <c r="L288" s="109">
        <v>602424</v>
      </c>
      <c r="M288" s="109">
        <f t="shared" si="4"/>
        <v>42.334785664089949</v>
      </c>
      <c r="N288" s="108">
        <v>14230</v>
      </c>
    </row>
    <row r="289" spans="1:14" ht="15.75" thickBot="1" x14ac:dyDescent="0.3">
      <c r="A289" s="44" t="s">
        <v>1347</v>
      </c>
      <c r="B289" s="107" t="s">
        <v>1348</v>
      </c>
      <c r="C289" s="78" t="s">
        <v>803</v>
      </c>
      <c r="D289" s="109">
        <v>72768</v>
      </c>
      <c r="E289" s="109">
        <v>19590</v>
      </c>
      <c r="F289" s="109">
        <v>19482</v>
      </c>
      <c r="G289" s="109">
        <v>111840</v>
      </c>
      <c r="H289" s="109">
        <v>637143</v>
      </c>
      <c r="I289" s="109">
        <v>95018</v>
      </c>
      <c r="J289" s="109">
        <v>732161</v>
      </c>
      <c r="K289" s="109">
        <v>356714</v>
      </c>
      <c r="L289" s="109">
        <v>1200715</v>
      </c>
      <c r="M289" s="109">
        <f t="shared" si="4"/>
        <v>58.497271752898762</v>
      </c>
      <c r="N289" s="108">
        <v>20526</v>
      </c>
    </row>
    <row r="290" spans="1:14" ht="15.75" thickBot="1" x14ac:dyDescent="0.3">
      <c r="A290" s="44" t="s">
        <v>1355</v>
      </c>
      <c r="B290" s="107" t="s">
        <v>1356</v>
      </c>
      <c r="C290" s="78" t="s">
        <v>803</v>
      </c>
      <c r="D290" s="109">
        <v>41551</v>
      </c>
      <c r="E290" s="109">
        <v>7176</v>
      </c>
      <c r="F290" s="109">
        <v>8073</v>
      </c>
      <c r="G290" s="109">
        <v>56800</v>
      </c>
      <c r="H290" s="109">
        <v>475730</v>
      </c>
      <c r="I290" s="109">
        <v>90071</v>
      </c>
      <c r="J290" s="109">
        <v>565801</v>
      </c>
      <c r="K290" s="109">
        <v>257534</v>
      </c>
      <c r="L290" s="109">
        <v>880135</v>
      </c>
      <c r="M290" s="109">
        <f t="shared" si="4"/>
        <v>64.815892186464396</v>
      </c>
      <c r="N290" s="108">
        <v>13579</v>
      </c>
    </row>
    <row r="291" spans="1:14" ht="15.75" thickBot="1" x14ac:dyDescent="0.3">
      <c r="A291" s="44" t="s">
        <v>1365</v>
      </c>
      <c r="B291" s="107" t="s">
        <v>1366</v>
      </c>
      <c r="C291" s="78" t="s">
        <v>803</v>
      </c>
      <c r="D291" s="109">
        <v>53042</v>
      </c>
      <c r="E291" s="109">
        <v>14199</v>
      </c>
      <c r="F291" s="109">
        <v>22603</v>
      </c>
      <c r="G291" s="109">
        <v>89844</v>
      </c>
      <c r="H291" s="109">
        <v>544329</v>
      </c>
      <c r="I291" s="109">
        <v>179532</v>
      </c>
      <c r="J291" s="109">
        <v>723861</v>
      </c>
      <c r="K291" s="109">
        <v>364394</v>
      </c>
      <c r="L291" s="109">
        <v>1178099</v>
      </c>
      <c r="M291" s="109">
        <f t="shared" si="4"/>
        <v>70.506852594410205</v>
      </c>
      <c r="N291" s="108">
        <v>16709</v>
      </c>
    </row>
    <row r="292" spans="1:14" ht="15.75" thickBot="1" x14ac:dyDescent="0.3">
      <c r="A292" s="44" t="s">
        <v>1381</v>
      </c>
      <c r="B292" s="107" t="s">
        <v>1382</v>
      </c>
      <c r="C292" s="78" t="s">
        <v>803</v>
      </c>
      <c r="D292" s="109">
        <v>42506</v>
      </c>
      <c r="E292" s="109">
        <v>15718</v>
      </c>
      <c r="F292" s="109">
        <v>10183</v>
      </c>
      <c r="G292" s="109">
        <v>68407</v>
      </c>
      <c r="H292" s="109">
        <v>294761</v>
      </c>
      <c r="I292" s="109">
        <v>30668</v>
      </c>
      <c r="J292" s="109">
        <v>325429</v>
      </c>
      <c r="K292" s="109">
        <v>200449</v>
      </c>
      <c r="L292" s="109">
        <v>594285</v>
      </c>
      <c r="M292" s="109">
        <f t="shared" si="4"/>
        <v>30.275867339141065</v>
      </c>
      <c r="N292" s="108">
        <v>19629</v>
      </c>
    </row>
    <row r="293" spans="1:14" ht="15.75" thickBot="1" x14ac:dyDescent="0.3">
      <c r="A293" s="44" t="s">
        <v>1383</v>
      </c>
      <c r="B293" s="107" t="s">
        <v>1384</v>
      </c>
      <c r="C293" s="78" t="s">
        <v>803</v>
      </c>
      <c r="D293" s="109">
        <v>30339</v>
      </c>
      <c r="E293" s="109">
        <v>16534</v>
      </c>
      <c r="F293" s="109">
        <v>8474</v>
      </c>
      <c r="G293" s="109">
        <v>55347</v>
      </c>
      <c r="H293" s="109">
        <v>220646</v>
      </c>
      <c r="I293" s="109">
        <v>30879</v>
      </c>
      <c r="J293" s="109">
        <v>251525</v>
      </c>
      <c r="K293" s="109">
        <v>137728</v>
      </c>
      <c r="L293" s="109">
        <v>444600</v>
      </c>
      <c r="M293" s="109">
        <f t="shared" si="4"/>
        <v>31.958021851638872</v>
      </c>
      <c r="N293" s="108">
        <v>13912</v>
      </c>
    </row>
    <row r="294" spans="1:14" ht="15.75" thickBot="1" x14ac:dyDescent="0.3">
      <c r="A294" s="44" t="s">
        <v>1387</v>
      </c>
      <c r="B294" s="107" t="s">
        <v>1388</v>
      </c>
      <c r="C294" s="78" t="s">
        <v>803</v>
      </c>
      <c r="D294" s="109">
        <v>33959</v>
      </c>
      <c r="E294" s="109">
        <v>5028</v>
      </c>
      <c r="F294" s="109">
        <v>10561</v>
      </c>
      <c r="G294" s="109">
        <v>49548</v>
      </c>
      <c r="H294" s="109">
        <v>451865</v>
      </c>
      <c r="I294" s="109">
        <v>46800</v>
      </c>
      <c r="J294" s="109">
        <v>498665</v>
      </c>
      <c r="K294" s="109">
        <v>224834</v>
      </c>
      <c r="L294" s="109">
        <v>773047</v>
      </c>
      <c r="M294" s="109">
        <f t="shared" si="4"/>
        <v>51.959067078908454</v>
      </c>
      <c r="N294" s="108">
        <v>14878</v>
      </c>
    </row>
    <row r="295" spans="1:14" ht="15.75" thickBot="1" x14ac:dyDescent="0.3">
      <c r="A295" s="44" t="s">
        <v>1421</v>
      </c>
      <c r="B295" s="107" t="s">
        <v>1422</v>
      </c>
      <c r="C295" s="78" t="s">
        <v>803</v>
      </c>
      <c r="D295" s="109">
        <v>36057</v>
      </c>
      <c r="E295" s="109">
        <v>2541</v>
      </c>
      <c r="F295" s="109">
        <v>4400</v>
      </c>
      <c r="G295" s="109">
        <v>42998</v>
      </c>
      <c r="H295" s="109">
        <v>117307</v>
      </c>
      <c r="I295" s="109">
        <v>22045</v>
      </c>
      <c r="J295" s="109">
        <v>139352</v>
      </c>
      <c r="K295" s="109">
        <v>100426</v>
      </c>
      <c r="L295" s="109">
        <v>282776</v>
      </c>
      <c r="M295" s="109">
        <f t="shared" si="4"/>
        <v>22.647445138555181</v>
      </c>
      <c r="N295" s="108">
        <v>12486</v>
      </c>
    </row>
    <row r="296" spans="1:14" ht="15.75" thickBot="1" x14ac:dyDescent="0.3">
      <c r="A296" s="44" t="s">
        <v>1447</v>
      </c>
      <c r="B296" s="107" t="s">
        <v>1448</v>
      </c>
      <c r="C296" s="78" t="s">
        <v>803</v>
      </c>
      <c r="D296" s="109">
        <v>90032</v>
      </c>
      <c r="E296" s="109">
        <v>27201</v>
      </c>
      <c r="F296" s="109">
        <v>52778</v>
      </c>
      <c r="G296" s="109">
        <v>170011</v>
      </c>
      <c r="H296" s="109">
        <v>763102</v>
      </c>
      <c r="I296" s="109">
        <v>136902</v>
      </c>
      <c r="J296" s="109">
        <v>900004</v>
      </c>
      <c r="K296" s="109">
        <v>315932</v>
      </c>
      <c r="L296" s="109">
        <v>1385947</v>
      </c>
      <c r="M296" s="109">
        <f t="shared" si="4"/>
        <v>82.728287470900739</v>
      </c>
      <c r="N296" s="108">
        <v>16753</v>
      </c>
    </row>
    <row r="297" spans="1:14" ht="15.75" thickBot="1" x14ac:dyDescent="0.3">
      <c r="A297" s="44" t="s">
        <v>1490</v>
      </c>
      <c r="B297" s="107" t="s">
        <v>1491</v>
      </c>
      <c r="C297" s="78" t="s">
        <v>803</v>
      </c>
      <c r="D297" s="109">
        <v>77254</v>
      </c>
      <c r="E297" s="109">
        <v>5987</v>
      </c>
      <c r="F297" s="109">
        <v>63527</v>
      </c>
      <c r="G297" s="109">
        <v>146768</v>
      </c>
      <c r="H297" s="109">
        <v>694725</v>
      </c>
      <c r="I297" s="109">
        <v>220837</v>
      </c>
      <c r="J297" s="109">
        <v>915562</v>
      </c>
      <c r="K297" s="109">
        <v>536981</v>
      </c>
      <c r="L297" s="109">
        <v>1599311</v>
      </c>
      <c r="M297" s="109">
        <f t="shared" si="4"/>
        <v>87.585487404162109</v>
      </c>
      <c r="N297" s="108">
        <v>18260</v>
      </c>
    </row>
    <row r="298" spans="1:14" ht="15.75" thickBot="1" x14ac:dyDescent="0.3">
      <c r="A298" s="44" t="s">
        <v>1492</v>
      </c>
      <c r="B298" s="107" t="s">
        <v>1493</v>
      </c>
      <c r="C298" s="78" t="s">
        <v>803</v>
      </c>
      <c r="D298" s="109">
        <v>49369</v>
      </c>
      <c r="E298" s="109">
        <v>10552</v>
      </c>
      <c r="F298" s="109">
        <v>7500</v>
      </c>
      <c r="G298" s="109">
        <v>67421</v>
      </c>
      <c r="H298" s="109">
        <v>359020</v>
      </c>
      <c r="I298" s="109">
        <v>82987</v>
      </c>
      <c r="J298" s="109">
        <v>442007</v>
      </c>
      <c r="K298" s="109">
        <v>105030</v>
      </c>
      <c r="L298" s="109">
        <v>614458</v>
      </c>
      <c r="M298" s="109">
        <f t="shared" si="4"/>
        <v>44.078766140602582</v>
      </c>
      <c r="N298" s="108">
        <v>13940</v>
      </c>
    </row>
    <row r="299" spans="1:14" ht="15.75" thickBot="1" x14ac:dyDescent="0.3">
      <c r="A299" s="44" t="s">
        <v>1498</v>
      </c>
      <c r="B299" s="107" t="s">
        <v>1499</v>
      </c>
      <c r="C299" s="78" t="s">
        <v>803</v>
      </c>
      <c r="D299" s="109">
        <v>46166</v>
      </c>
      <c r="E299" s="109">
        <v>6417</v>
      </c>
      <c r="F299" s="109">
        <v>4748</v>
      </c>
      <c r="G299" s="109">
        <v>57331</v>
      </c>
      <c r="H299" s="109">
        <v>286882</v>
      </c>
      <c r="I299" s="109">
        <v>103054</v>
      </c>
      <c r="J299" s="109">
        <v>389936</v>
      </c>
      <c r="K299" s="109">
        <v>151289</v>
      </c>
      <c r="L299" s="109">
        <v>598556</v>
      </c>
      <c r="M299" s="109">
        <f t="shared" si="4"/>
        <v>33.369905781345821</v>
      </c>
      <c r="N299" s="108">
        <v>17937</v>
      </c>
    </row>
    <row r="300" spans="1:14" ht="15.75" thickBot="1" x14ac:dyDescent="0.3">
      <c r="A300" s="44" t="s">
        <v>1516</v>
      </c>
      <c r="B300" s="107" t="s">
        <v>1517</v>
      </c>
      <c r="C300" s="78" t="s">
        <v>803</v>
      </c>
      <c r="D300" s="109">
        <v>34659</v>
      </c>
      <c r="E300" s="109">
        <v>22601</v>
      </c>
      <c r="F300" s="109">
        <v>14947</v>
      </c>
      <c r="G300" s="109">
        <v>72207</v>
      </c>
      <c r="H300" s="109">
        <v>406293</v>
      </c>
      <c r="I300" s="109">
        <v>82007</v>
      </c>
      <c r="J300" s="109">
        <v>488300</v>
      </c>
      <c r="K300" s="109">
        <v>180270</v>
      </c>
      <c r="L300" s="109">
        <v>740777</v>
      </c>
      <c r="M300" s="109">
        <f t="shared" si="4"/>
        <v>40.850170949597441</v>
      </c>
      <c r="N300" s="108">
        <v>18134</v>
      </c>
    </row>
    <row r="301" spans="1:14" ht="15.75" thickBot="1" x14ac:dyDescent="0.3">
      <c r="A301" s="44" t="s">
        <v>1528</v>
      </c>
      <c r="B301" s="107" t="s">
        <v>1529</v>
      </c>
      <c r="C301" s="78" t="s">
        <v>803</v>
      </c>
      <c r="D301" s="109">
        <v>3506</v>
      </c>
      <c r="E301" s="109">
        <v>30</v>
      </c>
      <c r="F301" s="109">
        <v>1800</v>
      </c>
      <c r="G301" s="109">
        <v>5336</v>
      </c>
      <c r="H301" s="109">
        <v>83536</v>
      </c>
      <c r="I301" s="109">
        <v>48679</v>
      </c>
      <c r="J301" s="109">
        <v>132215</v>
      </c>
      <c r="K301" s="109">
        <v>15910</v>
      </c>
      <c r="L301" s="109">
        <v>153461</v>
      </c>
      <c r="M301" s="109">
        <f t="shared" si="4"/>
        <v>9.9026263147706004</v>
      </c>
      <c r="N301" s="108">
        <v>15497</v>
      </c>
    </row>
    <row r="302" spans="1:14" ht="15.75" thickBot="1" x14ac:dyDescent="0.3">
      <c r="A302" s="44" t="s">
        <v>1532</v>
      </c>
      <c r="B302" s="107" t="s">
        <v>1533</v>
      </c>
      <c r="C302" s="78" t="s">
        <v>803</v>
      </c>
      <c r="D302" s="109">
        <v>42963</v>
      </c>
      <c r="E302" s="109">
        <v>3743</v>
      </c>
      <c r="F302" s="109">
        <v>7201</v>
      </c>
      <c r="G302" s="109">
        <v>53907</v>
      </c>
      <c r="H302" s="109">
        <v>255922</v>
      </c>
      <c r="I302" s="109">
        <v>66114</v>
      </c>
      <c r="J302" s="109">
        <v>322036</v>
      </c>
      <c r="K302" s="109">
        <v>182930</v>
      </c>
      <c r="L302" s="109">
        <v>558873</v>
      </c>
      <c r="M302" s="109">
        <f t="shared" si="4"/>
        <v>39.210902967796251</v>
      </c>
      <c r="N302" s="108">
        <v>14253</v>
      </c>
    </row>
    <row r="303" spans="1:14" ht="15.75" thickBot="1" x14ac:dyDescent="0.3">
      <c r="A303" s="44" t="s">
        <v>1552</v>
      </c>
      <c r="B303" s="107" t="s">
        <v>1553</v>
      </c>
      <c r="C303" s="78" t="s">
        <v>803</v>
      </c>
      <c r="D303" s="109">
        <v>18594</v>
      </c>
      <c r="E303" s="109">
        <v>13293</v>
      </c>
      <c r="F303" s="109">
        <v>2147</v>
      </c>
      <c r="G303" s="109">
        <v>34034</v>
      </c>
      <c r="H303" s="109">
        <v>221450</v>
      </c>
      <c r="I303" s="109">
        <v>35315</v>
      </c>
      <c r="J303" s="109">
        <v>256765</v>
      </c>
      <c r="K303" s="109">
        <v>87066</v>
      </c>
      <c r="L303" s="109">
        <v>377865</v>
      </c>
      <c r="M303" s="109">
        <f t="shared" si="4"/>
        <v>30.876368687694068</v>
      </c>
      <c r="N303" s="108">
        <v>12238</v>
      </c>
    </row>
    <row r="304" spans="1:14" ht="15.75" thickBot="1" x14ac:dyDescent="0.3">
      <c r="A304" s="44" t="s">
        <v>1572</v>
      </c>
      <c r="B304" s="107" t="s">
        <v>1573</v>
      </c>
      <c r="C304" s="78" t="s">
        <v>803</v>
      </c>
      <c r="D304" s="109">
        <v>24094</v>
      </c>
      <c r="E304" s="109">
        <v>6213</v>
      </c>
      <c r="F304" s="109">
        <v>4666</v>
      </c>
      <c r="G304" s="109">
        <v>34973</v>
      </c>
      <c r="H304" s="109">
        <v>228249</v>
      </c>
      <c r="I304" s="109">
        <v>56181</v>
      </c>
      <c r="J304" s="109">
        <v>284430</v>
      </c>
      <c r="K304" s="109">
        <v>213854</v>
      </c>
      <c r="L304" s="109">
        <v>533257</v>
      </c>
      <c r="M304" s="109">
        <f t="shared" si="4"/>
        <v>30.310748593190475</v>
      </c>
      <c r="N304" s="108">
        <v>17593</v>
      </c>
    </row>
    <row r="305" spans="1:14" ht="15.75" thickBot="1" x14ac:dyDescent="0.3">
      <c r="A305" s="44" t="s">
        <v>1598</v>
      </c>
      <c r="B305" s="107" t="s">
        <v>1599</v>
      </c>
      <c r="C305" s="78" t="s">
        <v>803</v>
      </c>
      <c r="D305" s="109">
        <v>61142</v>
      </c>
      <c r="E305" s="109">
        <v>21524</v>
      </c>
      <c r="F305" s="109">
        <v>19122</v>
      </c>
      <c r="G305" s="109">
        <v>101788</v>
      </c>
      <c r="H305" s="109">
        <v>361456</v>
      </c>
      <c r="I305" s="109">
        <v>100216</v>
      </c>
      <c r="J305" s="109">
        <v>461672</v>
      </c>
      <c r="K305" s="109">
        <v>284489</v>
      </c>
      <c r="L305" s="109">
        <v>847949</v>
      </c>
      <c r="M305" s="109">
        <f t="shared" si="4"/>
        <v>62.820343754630315</v>
      </c>
      <c r="N305" s="108">
        <v>13498</v>
      </c>
    </row>
    <row r="306" spans="1:14" ht="15.75" thickBot="1" x14ac:dyDescent="0.3">
      <c r="A306" s="44" t="s">
        <v>820</v>
      </c>
      <c r="B306" s="107" t="s">
        <v>821</v>
      </c>
      <c r="C306" s="78" t="s">
        <v>822</v>
      </c>
      <c r="D306" s="109">
        <v>25974</v>
      </c>
      <c r="E306" s="109">
        <v>11900</v>
      </c>
      <c r="F306" s="109">
        <v>28927</v>
      </c>
      <c r="G306" s="109">
        <v>66801</v>
      </c>
      <c r="H306" s="109">
        <v>356518</v>
      </c>
      <c r="I306" s="109">
        <v>37449</v>
      </c>
      <c r="J306" s="109">
        <v>393967</v>
      </c>
      <c r="K306" s="109">
        <v>168629</v>
      </c>
      <c r="L306" s="109">
        <v>629397</v>
      </c>
      <c r="M306" s="109">
        <f t="shared" si="4"/>
        <v>22.311130804679191</v>
      </c>
      <c r="N306" s="108">
        <v>28210</v>
      </c>
    </row>
    <row r="307" spans="1:14" ht="15.75" thickBot="1" x14ac:dyDescent="0.3">
      <c r="A307" s="44" t="s">
        <v>823</v>
      </c>
      <c r="B307" s="107" t="s">
        <v>824</v>
      </c>
      <c r="C307" s="78" t="s">
        <v>822</v>
      </c>
      <c r="D307" s="109">
        <v>42454</v>
      </c>
      <c r="E307" s="109">
        <v>5925</v>
      </c>
      <c r="F307" s="109">
        <v>15583</v>
      </c>
      <c r="G307" s="109">
        <v>63962</v>
      </c>
      <c r="H307" s="109">
        <v>164218</v>
      </c>
      <c r="I307" s="109">
        <v>15502</v>
      </c>
      <c r="J307" s="109">
        <v>179720</v>
      </c>
      <c r="K307" s="109">
        <v>133743</v>
      </c>
      <c r="L307" s="109">
        <v>377425</v>
      </c>
      <c r="M307" s="109">
        <f t="shared" si="4"/>
        <v>13.344588622140508</v>
      </c>
      <c r="N307" s="108">
        <v>28283</v>
      </c>
    </row>
    <row r="308" spans="1:14" ht="15.75" thickBot="1" x14ac:dyDescent="0.3">
      <c r="A308" s="44" t="s">
        <v>831</v>
      </c>
      <c r="B308" s="107" t="s">
        <v>832</v>
      </c>
      <c r="C308" s="78" t="s">
        <v>822</v>
      </c>
      <c r="D308" s="109">
        <v>48938.52</v>
      </c>
      <c r="E308" s="109">
        <v>3297.82</v>
      </c>
      <c r="F308" s="109">
        <v>10596.48</v>
      </c>
      <c r="G308" s="109">
        <v>62832.82</v>
      </c>
      <c r="H308" s="109">
        <v>553452.57999999996</v>
      </c>
      <c r="I308" s="109">
        <v>125645.69</v>
      </c>
      <c r="J308" s="109">
        <v>679098.27</v>
      </c>
      <c r="K308" s="109">
        <v>452273.37</v>
      </c>
      <c r="L308" s="109">
        <v>1194204.46</v>
      </c>
      <c r="M308" s="109">
        <f t="shared" si="4"/>
        <v>40.347471450773696</v>
      </c>
      <c r="N308" s="108">
        <v>29598</v>
      </c>
    </row>
    <row r="309" spans="1:14" ht="15.75" thickBot="1" x14ac:dyDescent="0.3">
      <c r="A309" s="44" t="s">
        <v>855</v>
      </c>
      <c r="B309" s="107" t="s">
        <v>856</v>
      </c>
      <c r="C309" s="78" t="s">
        <v>822</v>
      </c>
      <c r="D309" s="109">
        <v>230405</v>
      </c>
      <c r="E309" s="109">
        <v>118366</v>
      </c>
      <c r="F309" s="109">
        <v>219782</v>
      </c>
      <c r="G309" s="109">
        <v>568553</v>
      </c>
      <c r="H309" s="109">
        <v>1539022</v>
      </c>
      <c r="I309" s="109">
        <v>672665</v>
      </c>
      <c r="J309" s="109">
        <v>2211687</v>
      </c>
      <c r="K309" s="109">
        <v>694591</v>
      </c>
      <c r="L309" s="109">
        <v>3474831</v>
      </c>
      <c r="M309" s="109">
        <f t="shared" si="4"/>
        <v>98.297906647807636</v>
      </c>
      <c r="N309" s="108">
        <v>35350</v>
      </c>
    </row>
    <row r="310" spans="1:14" ht="15.75" thickBot="1" x14ac:dyDescent="0.3">
      <c r="A310" s="44" t="s">
        <v>867</v>
      </c>
      <c r="B310" s="107" t="s">
        <v>868</v>
      </c>
      <c r="C310" s="78" t="s">
        <v>822</v>
      </c>
      <c r="D310" s="109">
        <v>88207</v>
      </c>
      <c r="E310" s="109">
        <v>24087</v>
      </c>
      <c r="F310" s="109">
        <v>32813</v>
      </c>
      <c r="G310" s="109">
        <v>145107</v>
      </c>
      <c r="H310" s="109">
        <v>631876</v>
      </c>
      <c r="I310" s="109">
        <v>210921</v>
      </c>
      <c r="J310" s="109">
        <v>842797</v>
      </c>
      <c r="K310" s="109">
        <v>402800</v>
      </c>
      <c r="L310" s="109">
        <v>1390704</v>
      </c>
      <c r="M310" s="109">
        <f t="shared" si="4"/>
        <v>32.829819881494771</v>
      </c>
      <c r="N310" s="108">
        <v>42361</v>
      </c>
    </row>
    <row r="311" spans="1:14" ht="15.75" thickBot="1" x14ac:dyDescent="0.3">
      <c r="A311" s="44" t="s">
        <v>891</v>
      </c>
      <c r="B311" s="107" t="s">
        <v>892</v>
      </c>
      <c r="C311" s="78" t="s">
        <v>822</v>
      </c>
      <c r="D311" s="109">
        <v>441565</v>
      </c>
      <c r="E311" s="109">
        <v>173973</v>
      </c>
      <c r="F311" s="109">
        <v>151466</v>
      </c>
      <c r="G311" s="109">
        <v>767004</v>
      </c>
      <c r="H311" s="109">
        <v>2894944</v>
      </c>
      <c r="I311" s="109">
        <v>3343279</v>
      </c>
      <c r="J311" s="109">
        <v>6238223</v>
      </c>
      <c r="K311" s="109">
        <v>1332678</v>
      </c>
      <c r="L311" s="109">
        <v>8337905</v>
      </c>
      <c r="M311" s="109">
        <f t="shared" si="4"/>
        <v>203.01692232773314</v>
      </c>
      <c r="N311" s="108">
        <v>41070</v>
      </c>
    </row>
    <row r="312" spans="1:14" ht="15.75" thickBot="1" x14ac:dyDescent="0.3">
      <c r="A312" s="44" t="s">
        <v>897</v>
      </c>
      <c r="B312" s="107" t="s">
        <v>898</v>
      </c>
      <c r="C312" s="78" t="s">
        <v>822</v>
      </c>
      <c r="D312" s="109">
        <v>106427</v>
      </c>
      <c r="E312" s="109">
        <v>17998</v>
      </c>
      <c r="F312" s="109">
        <v>43799</v>
      </c>
      <c r="G312" s="109">
        <v>168224</v>
      </c>
      <c r="H312" s="109">
        <v>1113618</v>
      </c>
      <c r="I312" s="109">
        <v>270823</v>
      </c>
      <c r="J312" s="109">
        <v>1384441</v>
      </c>
      <c r="K312" s="109">
        <v>502260</v>
      </c>
      <c r="L312" s="109">
        <v>2054925</v>
      </c>
      <c r="M312" s="109">
        <f t="shared" si="4"/>
        <v>43.810361368724017</v>
      </c>
      <c r="N312" s="108">
        <v>46905</v>
      </c>
    </row>
    <row r="313" spans="1:14" ht="15.75" thickBot="1" x14ac:dyDescent="0.3">
      <c r="A313" s="44" t="s">
        <v>907</v>
      </c>
      <c r="B313" s="107" t="s">
        <v>908</v>
      </c>
      <c r="C313" s="78" t="s">
        <v>822</v>
      </c>
      <c r="D313" s="109">
        <v>87018</v>
      </c>
      <c r="E313" s="109">
        <v>24858</v>
      </c>
      <c r="F313" s="109">
        <v>55237</v>
      </c>
      <c r="G313" s="109">
        <v>167113</v>
      </c>
      <c r="H313" s="109">
        <v>1065291</v>
      </c>
      <c r="I313" s="109">
        <v>79503</v>
      </c>
      <c r="J313" s="109">
        <v>1144794</v>
      </c>
      <c r="K313" s="109">
        <v>496819</v>
      </c>
      <c r="L313" s="109">
        <v>1808726</v>
      </c>
      <c r="M313" s="109">
        <f t="shared" si="4"/>
        <v>41.816386923752717</v>
      </c>
      <c r="N313" s="108">
        <v>43254</v>
      </c>
    </row>
    <row r="314" spans="1:14" ht="15.75" thickBot="1" x14ac:dyDescent="0.3">
      <c r="A314" s="44" t="s">
        <v>917</v>
      </c>
      <c r="B314" s="107" t="s">
        <v>918</v>
      </c>
      <c r="C314" s="78" t="s">
        <v>822</v>
      </c>
      <c r="D314" s="109">
        <v>56062</v>
      </c>
      <c r="E314" s="109">
        <v>11777</v>
      </c>
      <c r="F314" s="109">
        <v>13507</v>
      </c>
      <c r="G314" s="109">
        <v>81346</v>
      </c>
      <c r="H314" s="109">
        <v>551683</v>
      </c>
      <c r="I314" s="109">
        <v>143002</v>
      </c>
      <c r="J314" s="109">
        <v>694685</v>
      </c>
      <c r="K314" s="109">
        <v>170784</v>
      </c>
      <c r="L314" s="109">
        <v>946815</v>
      </c>
      <c r="M314" s="109">
        <f t="shared" si="4"/>
        <v>26.984780688004104</v>
      </c>
      <c r="N314" s="108">
        <v>35087</v>
      </c>
    </row>
    <row r="315" spans="1:14" ht="15.75" thickBot="1" x14ac:dyDescent="0.3">
      <c r="A315" s="44" t="s">
        <v>933</v>
      </c>
      <c r="B315" s="107" t="s">
        <v>934</v>
      </c>
      <c r="C315" s="78" t="s">
        <v>822</v>
      </c>
      <c r="D315" s="109">
        <v>69747</v>
      </c>
      <c r="E315" s="109">
        <v>26893</v>
      </c>
      <c r="F315" s="109">
        <v>44579</v>
      </c>
      <c r="G315" s="109">
        <v>141219</v>
      </c>
      <c r="H315" s="109">
        <v>499851</v>
      </c>
      <c r="I315" s="109">
        <v>108831</v>
      </c>
      <c r="J315" s="109">
        <v>608682</v>
      </c>
      <c r="K315" s="109">
        <v>375274</v>
      </c>
      <c r="L315" s="109">
        <v>1125175</v>
      </c>
      <c r="M315" s="109">
        <f t="shared" si="4"/>
        <v>29.608310088942687</v>
      </c>
      <c r="N315" s="108">
        <v>38002</v>
      </c>
    </row>
    <row r="316" spans="1:14" ht="15.75" thickBot="1" x14ac:dyDescent="0.3">
      <c r="A316" s="44" t="s">
        <v>953</v>
      </c>
      <c r="B316" s="107" t="s">
        <v>954</v>
      </c>
      <c r="C316" s="78" t="s">
        <v>822</v>
      </c>
      <c r="D316" s="109">
        <v>77924</v>
      </c>
      <c r="E316" s="109">
        <v>18472</v>
      </c>
      <c r="F316" s="109">
        <v>31332</v>
      </c>
      <c r="G316" s="109">
        <v>127728</v>
      </c>
      <c r="H316" s="109">
        <v>531716</v>
      </c>
      <c r="I316" s="109">
        <v>173168</v>
      </c>
      <c r="J316" s="109">
        <v>704884</v>
      </c>
      <c r="K316" s="109">
        <v>536212</v>
      </c>
      <c r="L316" s="109">
        <v>1368824</v>
      </c>
      <c r="M316" s="109">
        <f t="shared" si="4"/>
        <v>31.553537262857009</v>
      </c>
      <c r="N316" s="108">
        <v>43381</v>
      </c>
    </row>
    <row r="317" spans="1:14" ht="15.75" thickBot="1" x14ac:dyDescent="0.3">
      <c r="A317" s="44" t="s">
        <v>957</v>
      </c>
      <c r="B317" s="107" t="s">
        <v>958</v>
      </c>
      <c r="C317" s="78" t="s">
        <v>822</v>
      </c>
      <c r="D317" s="109">
        <v>154000</v>
      </c>
      <c r="E317" s="109">
        <v>40000</v>
      </c>
      <c r="F317" s="109">
        <v>60000</v>
      </c>
      <c r="G317" s="109">
        <v>254000</v>
      </c>
      <c r="H317" s="109">
        <v>910097</v>
      </c>
      <c r="I317" s="109">
        <v>214672</v>
      </c>
      <c r="J317" s="109">
        <v>1124769</v>
      </c>
      <c r="K317" s="109">
        <v>374488</v>
      </c>
      <c r="L317" s="109">
        <v>1753257</v>
      </c>
      <c r="M317" s="109">
        <f t="shared" si="4"/>
        <v>49.300030931023819</v>
      </c>
      <c r="N317" s="108">
        <v>35563</v>
      </c>
    </row>
    <row r="318" spans="1:14" ht="15.75" thickBot="1" x14ac:dyDescent="0.3">
      <c r="A318" s="44" t="s">
        <v>971</v>
      </c>
      <c r="B318" s="107" t="s">
        <v>972</v>
      </c>
      <c r="C318" s="78" t="s">
        <v>822</v>
      </c>
      <c r="D318" s="109">
        <v>143413</v>
      </c>
      <c r="E318" s="109">
        <v>0</v>
      </c>
      <c r="F318" s="109">
        <v>68582</v>
      </c>
      <c r="G318" s="109">
        <v>211995</v>
      </c>
      <c r="H318" s="109">
        <v>728222</v>
      </c>
      <c r="I318" s="109">
        <v>240807</v>
      </c>
      <c r="J318" s="109">
        <v>969029</v>
      </c>
      <c r="K318" s="109">
        <v>289409</v>
      </c>
      <c r="L318" s="109">
        <v>1470433</v>
      </c>
      <c r="M318" s="109">
        <f t="shared" si="4"/>
        <v>36.590678345692531</v>
      </c>
      <c r="N318" s="108">
        <v>40186</v>
      </c>
    </row>
    <row r="319" spans="1:14" ht="15.75" thickBot="1" x14ac:dyDescent="0.3">
      <c r="A319" s="44" t="s">
        <v>973</v>
      </c>
      <c r="B319" s="107" t="s">
        <v>974</v>
      </c>
      <c r="C319" s="78" t="s">
        <v>822</v>
      </c>
      <c r="D319" s="109">
        <v>49699</v>
      </c>
      <c r="E319" s="109">
        <v>11150</v>
      </c>
      <c r="F319" s="109">
        <v>18442</v>
      </c>
      <c r="G319" s="109">
        <v>79291</v>
      </c>
      <c r="H319" s="109">
        <v>274373</v>
      </c>
      <c r="I319" s="109">
        <v>11258</v>
      </c>
      <c r="J319" s="109">
        <v>285631</v>
      </c>
      <c r="K319" s="109">
        <v>179191</v>
      </c>
      <c r="L319" s="109">
        <v>544113</v>
      </c>
      <c r="M319" s="109">
        <f t="shared" si="4"/>
        <v>19.251777942893536</v>
      </c>
      <c r="N319" s="108">
        <v>28263</v>
      </c>
    </row>
    <row r="320" spans="1:14" ht="15.75" thickBot="1" x14ac:dyDescent="0.3">
      <c r="A320" s="44" t="s">
        <v>983</v>
      </c>
      <c r="B320" s="107" t="s">
        <v>984</v>
      </c>
      <c r="C320" s="78" t="s">
        <v>822</v>
      </c>
      <c r="D320" s="109">
        <v>110840</v>
      </c>
      <c r="E320" s="109">
        <v>33009</v>
      </c>
      <c r="F320" s="109">
        <v>67650</v>
      </c>
      <c r="G320" s="109">
        <v>211499</v>
      </c>
      <c r="H320" s="109">
        <v>858174</v>
      </c>
      <c r="I320" s="109">
        <v>272800</v>
      </c>
      <c r="J320" s="109">
        <v>1130974</v>
      </c>
      <c r="K320" s="109">
        <v>292645</v>
      </c>
      <c r="L320" s="109">
        <v>1635118</v>
      </c>
      <c r="M320" s="109">
        <f t="shared" si="4"/>
        <v>61.957409723011629</v>
      </c>
      <c r="N320" s="108">
        <v>26391</v>
      </c>
    </row>
    <row r="321" spans="1:14" ht="15.75" thickBot="1" x14ac:dyDescent="0.3">
      <c r="A321" s="44" t="s">
        <v>1001</v>
      </c>
      <c r="B321" s="107" t="s">
        <v>1002</v>
      </c>
      <c r="C321" s="78" t="s">
        <v>822</v>
      </c>
      <c r="D321" s="109">
        <v>55588</v>
      </c>
      <c r="E321" s="109">
        <v>7354</v>
      </c>
      <c r="F321" s="109">
        <v>27288</v>
      </c>
      <c r="G321" s="109">
        <v>90230</v>
      </c>
      <c r="H321" s="109">
        <v>636685</v>
      </c>
      <c r="I321" s="109">
        <v>186889</v>
      </c>
      <c r="J321" s="109">
        <v>823574</v>
      </c>
      <c r="K321" s="109">
        <v>754004</v>
      </c>
      <c r="L321" s="109">
        <v>1667808</v>
      </c>
      <c r="M321" s="109">
        <f t="shared" si="4"/>
        <v>50.84935516326717</v>
      </c>
      <c r="N321" s="108">
        <v>32799</v>
      </c>
    </row>
    <row r="322" spans="1:14" ht="15.75" thickBot="1" x14ac:dyDescent="0.3">
      <c r="A322" s="44" t="s">
        <v>1011</v>
      </c>
      <c r="B322" s="107" t="s">
        <v>1012</v>
      </c>
      <c r="C322" s="78" t="s">
        <v>822</v>
      </c>
      <c r="D322" s="109">
        <v>85757</v>
      </c>
      <c r="E322" s="109">
        <v>16886</v>
      </c>
      <c r="F322" s="109">
        <v>7401</v>
      </c>
      <c r="G322" s="109">
        <v>110044</v>
      </c>
      <c r="H322" s="109">
        <v>461778</v>
      </c>
      <c r="I322" s="109">
        <v>382629</v>
      </c>
      <c r="J322" s="109">
        <v>844407</v>
      </c>
      <c r="K322" s="109">
        <v>187960</v>
      </c>
      <c r="L322" s="109">
        <v>1142411</v>
      </c>
      <c r="M322" s="109">
        <f t="shared" si="4"/>
        <v>43.656794558239071</v>
      </c>
      <c r="N322" s="108">
        <v>26168</v>
      </c>
    </row>
    <row r="323" spans="1:14" ht="15.75" thickBot="1" x14ac:dyDescent="0.3">
      <c r="A323" s="44" t="s">
        <v>1023</v>
      </c>
      <c r="B323" s="107" t="s">
        <v>1024</v>
      </c>
      <c r="C323" s="78" t="s">
        <v>822</v>
      </c>
      <c r="D323" s="109">
        <v>147508</v>
      </c>
      <c r="E323" s="109">
        <v>38000</v>
      </c>
      <c r="F323" s="109">
        <v>118000</v>
      </c>
      <c r="G323" s="109">
        <v>303508</v>
      </c>
      <c r="H323" s="109">
        <v>789722</v>
      </c>
      <c r="I323" s="109">
        <v>279254</v>
      </c>
      <c r="J323" s="109">
        <v>1068976</v>
      </c>
      <c r="K323" s="109">
        <v>684791</v>
      </c>
      <c r="L323" s="109">
        <v>2057275</v>
      </c>
      <c r="M323" s="109">
        <f t="shared" si="4"/>
        <v>42.349060293542479</v>
      </c>
      <c r="N323" s="108">
        <v>48579</v>
      </c>
    </row>
    <row r="324" spans="1:14" ht="15.75" thickBot="1" x14ac:dyDescent="0.3">
      <c r="A324" s="44" t="s">
        <v>1025</v>
      </c>
      <c r="B324" s="107" t="s">
        <v>1026</v>
      </c>
      <c r="C324" s="78" t="s">
        <v>822</v>
      </c>
      <c r="D324" s="109">
        <v>52715</v>
      </c>
      <c r="E324" s="109">
        <v>8761</v>
      </c>
      <c r="F324" s="109">
        <v>8011</v>
      </c>
      <c r="G324" s="109">
        <v>69487</v>
      </c>
      <c r="H324" s="109">
        <v>407915</v>
      </c>
      <c r="I324" s="109">
        <v>275142</v>
      </c>
      <c r="J324" s="109">
        <v>683057</v>
      </c>
      <c r="K324" s="109">
        <v>115049</v>
      </c>
      <c r="L324" s="109">
        <v>867593</v>
      </c>
      <c r="M324" s="109">
        <f t="shared" ref="M324:M387" si="5">L324/N324</f>
        <v>26.742895012637938</v>
      </c>
      <c r="N324" s="108">
        <v>32442</v>
      </c>
    </row>
    <row r="325" spans="1:14" ht="15.75" thickBot="1" x14ac:dyDescent="0.3">
      <c r="A325" s="44" t="s">
        <v>1085</v>
      </c>
      <c r="B325" s="107" t="s">
        <v>1086</v>
      </c>
      <c r="C325" s="78" t="s">
        <v>822</v>
      </c>
      <c r="D325" s="109">
        <v>31148</v>
      </c>
      <c r="E325" s="109">
        <v>9427</v>
      </c>
      <c r="F325" s="109">
        <v>15959</v>
      </c>
      <c r="G325" s="109">
        <v>56534</v>
      </c>
      <c r="H325" s="109">
        <v>213406</v>
      </c>
      <c r="I325" s="109">
        <v>83319</v>
      </c>
      <c r="J325" s="109">
        <v>296725</v>
      </c>
      <c r="K325" s="109">
        <v>134143</v>
      </c>
      <c r="L325" s="109">
        <v>487402</v>
      </c>
      <c r="M325" s="109">
        <f t="shared" si="5"/>
        <v>17.600823342481583</v>
      </c>
      <c r="N325" s="108">
        <v>27692</v>
      </c>
    </row>
    <row r="326" spans="1:14" ht="15.75" thickBot="1" x14ac:dyDescent="0.3">
      <c r="A326" s="44" t="s">
        <v>1093</v>
      </c>
      <c r="B326" s="107" t="s">
        <v>1094</v>
      </c>
      <c r="C326" s="78" t="s">
        <v>822</v>
      </c>
      <c r="D326" s="109">
        <v>96301</v>
      </c>
      <c r="E326" s="109">
        <v>34362</v>
      </c>
      <c r="F326" s="109">
        <v>59678</v>
      </c>
      <c r="G326" s="109">
        <v>190341</v>
      </c>
      <c r="H326" s="109">
        <v>578237</v>
      </c>
      <c r="I326" s="109">
        <v>135931</v>
      </c>
      <c r="J326" s="109">
        <v>714168</v>
      </c>
      <c r="K326" s="109">
        <v>150774</v>
      </c>
      <c r="L326" s="109">
        <v>1055283</v>
      </c>
      <c r="M326" s="109">
        <f t="shared" si="5"/>
        <v>22.459997871661169</v>
      </c>
      <c r="N326" s="108">
        <v>46985</v>
      </c>
    </row>
    <row r="327" spans="1:14" ht="15.75" thickBot="1" x14ac:dyDescent="0.3">
      <c r="A327" s="44" t="s">
        <v>1113</v>
      </c>
      <c r="B327" s="107" t="s">
        <v>1114</v>
      </c>
      <c r="C327" s="78" t="s">
        <v>822</v>
      </c>
      <c r="D327" s="109">
        <v>79200</v>
      </c>
      <c r="E327" s="109">
        <v>3434</v>
      </c>
      <c r="F327" s="109">
        <v>25012</v>
      </c>
      <c r="G327" s="109">
        <v>107646</v>
      </c>
      <c r="H327" s="109">
        <v>901222</v>
      </c>
      <c r="I327" s="109">
        <v>440741</v>
      </c>
      <c r="J327" s="109">
        <v>1341963</v>
      </c>
      <c r="K327" s="109">
        <v>394593</v>
      </c>
      <c r="L327" s="109">
        <v>1844202</v>
      </c>
      <c r="M327" s="109">
        <f t="shared" si="5"/>
        <v>45.092718470340849</v>
      </c>
      <c r="N327" s="108">
        <v>40898</v>
      </c>
    </row>
    <row r="328" spans="1:14" ht="15.75" thickBot="1" x14ac:dyDescent="0.3">
      <c r="A328" s="44" t="s">
        <v>1171</v>
      </c>
      <c r="B328" s="107" t="s">
        <v>1172</v>
      </c>
      <c r="C328" s="78" t="s">
        <v>822</v>
      </c>
      <c r="D328" s="109">
        <v>134533</v>
      </c>
      <c r="E328" s="109">
        <v>14336</v>
      </c>
      <c r="F328" s="109">
        <v>20020</v>
      </c>
      <c r="G328" s="109">
        <v>168889</v>
      </c>
      <c r="H328" s="109">
        <v>324321</v>
      </c>
      <c r="I328" s="109">
        <v>92838</v>
      </c>
      <c r="J328" s="109">
        <v>417159</v>
      </c>
      <c r="K328" s="109">
        <v>636081</v>
      </c>
      <c r="L328" s="109">
        <v>1222129</v>
      </c>
      <c r="M328" s="109">
        <f t="shared" si="5"/>
        <v>29.247331642176807</v>
      </c>
      <c r="N328" s="108">
        <v>41786</v>
      </c>
    </row>
    <row r="329" spans="1:14" ht="15.75" thickBot="1" x14ac:dyDescent="0.3">
      <c r="A329" s="44" t="s">
        <v>1215</v>
      </c>
      <c r="B329" s="107" t="s">
        <v>1216</v>
      </c>
      <c r="C329" s="78" t="s">
        <v>822</v>
      </c>
      <c r="D329" s="109">
        <v>80293</v>
      </c>
      <c r="E329" s="109">
        <v>11389</v>
      </c>
      <c r="F329" s="109">
        <v>32139</v>
      </c>
      <c r="G329" s="109">
        <v>123821</v>
      </c>
      <c r="H329" s="109">
        <v>439314</v>
      </c>
      <c r="I329" s="109">
        <v>113219</v>
      </c>
      <c r="J329" s="109">
        <v>552533</v>
      </c>
      <c r="K329" s="109">
        <v>241074</v>
      </c>
      <c r="L329" s="109">
        <v>917428</v>
      </c>
      <c r="M329" s="109">
        <f t="shared" si="5"/>
        <v>22.501974442618529</v>
      </c>
      <c r="N329" s="108">
        <v>40771</v>
      </c>
    </row>
    <row r="330" spans="1:14" ht="15.75" thickBot="1" x14ac:dyDescent="0.3">
      <c r="A330" s="44" t="s">
        <v>1221</v>
      </c>
      <c r="B330" s="107" t="s">
        <v>1222</v>
      </c>
      <c r="C330" s="78" t="s">
        <v>822</v>
      </c>
      <c r="D330" s="109">
        <v>33291.69</v>
      </c>
      <c r="E330" s="109">
        <v>4925</v>
      </c>
      <c r="F330" s="109">
        <v>8000</v>
      </c>
      <c r="G330" s="109">
        <v>46216.69</v>
      </c>
      <c r="H330" s="109">
        <v>128068</v>
      </c>
      <c r="I330" s="109">
        <v>33807.79</v>
      </c>
      <c r="J330" s="109">
        <v>161875.79</v>
      </c>
      <c r="K330" s="109">
        <v>47991</v>
      </c>
      <c r="L330" s="109">
        <v>256083.48</v>
      </c>
      <c r="M330" s="109">
        <f t="shared" si="5"/>
        <v>6.7135979446308731</v>
      </c>
      <c r="N330" s="108">
        <v>38144</v>
      </c>
    </row>
    <row r="331" spans="1:14" ht="15.75" thickBot="1" x14ac:dyDescent="0.3">
      <c r="A331" s="44" t="s">
        <v>1231</v>
      </c>
      <c r="B331" s="107" t="s">
        <v>1232</v>
      </c>
      <c r="C331" s="78" t="s">
        <v>822</v>
      </c>
      <c r="D331" s="109">
        <v>92218</v>
      </c>
      <c r="E331" s="109">
        <v>28345</v>
      </c>
      <c r="F331" s="109">
        <v>71362</v>
      </c>
      <c r="G331" s="109">
        <v>191925</v>
      </c>
      <c r="H331" s="109">
        <v>968960</v>
      </c>
      <c r="I331" s="109">
        <v>349582</v>
      </c>
      <c r="J331" s="109">
        <v>1318542</v>
      </c>
      <c r="K331" s="109">
        <v>505830</v>
      </c>
      <c r="L331" s="109">
        <v>2016297</v>
      </c>
      <c r="M331" s="109">
        <f t="shared" si="5"/>
        <v>56.733173888576253</v>
      </c>
      <c r="N331" s="108">
        <v>35540</v>
      </c>
    </row>
    <row r="332" spans="1:14" ht="15.75" thickBot="1" x14ac:dyDescent="0.3">
      <c r="A332" s="44" t="s">
        <v>1247</v>
      </c>
      <c r="B332" s="107" t="s">
        <v>1248</v>
      </c>
      <c r="C332" s="78" t="s">
        <v>822</v>
      </c>
      <c r="D332" s="109">
        <v>55713</v>
      </c>
      <c r="E332" s="109">
        <v>4242</v>
      </c>
      <c r="F332" s="109">
        <v>24065</v>
      </c>
      <c r="G332" s="109">
        <v>84020</v>
      </c>
      <c r="H332" s="109">
        <v>361679</v>
      </c>
      <c r="I332" s="109">
        <v>101395</v>
      </c>
      <c r="J332" s="109">
        <v>463074</v>
      </c>
      <c r="K332" s="109">
        <v>36120</v>
      </c>
      <c r="L332" s="109">
        <v>583214</v>
      </c>
      <c r="M332" s="109">
        <f t="shared" si="5"/>
        <v>19.640802855795783</v>
      </c>
      <c r="N332" s="108">
        <v>29694</v>
      </c>
    </row>
    <row r="333" spans="1:14" ht="15.75" thickBot="1" x14ac:dyDescent="0.3">
      <c r="A333" s="44" t="s">
        <v>1267</v>
      </c>
      <c r="B333" s="107" t="s">
        <v>1268</v>
      </c>
      <c r="C333" s="78" t="s">
        <v>822</v>
      </c>
      <c r="D333" s="109">
        <v>70292</v>
      </c>
      <c r="E333" s="109">
        <v>25874</v>
      </c>
      <c r="F333" s="109">
        <v>30352</v>
      </c>
      <c r="G333" s="109">
        <v>126518</v>
      </c>
      <c r="H333" s="109">
        <v>529700</v>
      </c>
      <c r="I333" s="109">
        <v>134078</v>
      </c>
      <c r="J333" s="109">
        <v>663778</v>
      </c>
      <c r="K333" s="109">
        <v>273028</v>
      </c>
      <c r="L333" s="109">
        <v>1063324</v>
      </c>
      <c r="M333" s="109">
        <f t="shared" si="5"/>
        <v>37.119458214061297</v>
      </c>
      <c r="N333" s="108">
        <v>28646</v>
      </c>
    </row>
    <row r="334" spans="1:14" ht="15.75" thickBot="1" x14ac:dyDescent="0.3">
      <c r="A334" s="44" t="s">
        <v>1323</v>
      </c>
      <c r="B334" s="107" t="s">
        <v>1324</v>
      </c>
      <c r="C334" s="78" t="s">
        <v>822</v>
      </c>
      <c r="D334" s="109">
        <v>116253</v>
      </c>
      <c r="E334" s="109">
        <v>74889</v>
      </c>
      <c r="F334" s="109">
        <v>102584</v>
      </c>
      <c r="G334" s="109">
        <v>293726</v>
      </c>
      <c r="H334" s="109">
        <v>1302368</v>
      </c>
      <c r="I334" s="109">
        <v>469157</v>
      </c>
      <c r="J334" s="109">
        <v>1771525</v>
      </c>
      <c r="K334" s="109">
        <v>688520</v>
      </c>
      <c r="L334" s="109">
        <v>2753771</v>
      </c>
      <c r="M334" s="109">
        <f t="shared" si="5"/>
        <v>79.895871413235852</v>
      </c>
      <c r="N334" s="108">
        <v>34467</v>
      </c>
    </row>
    <row r="335" spans="1:14" ht="15.75" thickBot="1" x14ac:dyDescent="0.3">
      <c r="A335" s="44" t="s">
        <v>1329</v>
      </c>
      <c r="B335" s="107" t="s">
        <v>1330</v>
      </c>
      <c r="C335" s="78" t="s">
        <v>822</v>
      </c>
      <c r="D335" s="109">
        <v>45893</v>
      </c>
      <c r="E335" s="109">
        <v>7608</v>
      </c>
      <c r="F335" s="109">
        <v>6897</v>
      </c>
      <c r="G335" s="109">
        <v>60398</v>
      </c>
      <c r="H335" s="109">
        <v>337887.62</v>
      </c>
      <c r="I335" s="109">
        <v>236749</v>
      </c>
      <c r="J335" s="109">
        <v>574636.62</v>
      </c>
      <c r="K335" s="109">
        <v>177442</v>
      </c>
      <c r="L335" s="109">
        <v>812476.62</v>
      </c>
      <c r="M335" s="109">
        <f t="shared" si="5"/>
        <v>27.711607490023535</v>
      </c>
      <c r="N335" s="108">
        <v>29319</v>
      </c>
    </row>
    <row r="336" spans="1:14" ht="15.75" thickBot="1" x14ac:dyDescent="0.3">
      <c r="A336" s="44" t="s">
        <v>1335</v>
      </c>
      <c r="B336" s="107" t="s">
        <v>1336</v>
      </c>
      <c r="C336" s="78" t="s">
        <v>822</v>
      </c>
      <c r="D336" s="109">
        <v>111403</v>
      </c>
      <c r="E336" s="109">
        <v>55956</v>
      </c>
      <c r="F336" s="109">
        <v>95297</v>
      </c>
      <c r="G336" s="109">
        <v>262656</v>
      </c>
      <c r="H336" s="109">
        <v>1196797</v>
      </c>
      <c r="I336" s="109">
        <v>301496</v>
      </c>
      <c r="J336" s="109">
        <v>1498293</v>
      </c>
      <c r="K336" s="109">
        <v>458843</v>
      </c>
      <c r="L336" s="109">
        <v>2219792</v>
      </c>
      <c r="M336" s="109">
        <f t="shared" si="5"/>
        <v>62.716618635926991</v>
      </c>
      <c r="N336" s="108">
        <v>35394</v>
      </c>
    </row>
    <row r="337" spans="1:14" ht="15.75" thickBot="1" x14ac:dyDescent="0.3">
      <c r="A337" s="44" t="s">
        <v>1363</v>
      </c>
      <c r="B337" s="107" t="s">
        <v>1364</v>
      </c>
      <c r="C337" s="78" t="s">
        <v>822</v>
      </c>
      <c r="D337" s="109">
        <v>63361</v>
      </c>
      <c r="E337" s="109">
        <v>14662</v>
      </c>
      <c r="F337" s="109">
        <v>18767</v>
      </c>
      <c r="G337" s="109">
        <v>96790</v>
      </c>
      <c r="H337" s="109">
        <v>911863</v>
      </c>
      <c r="I337" s="109">
        <v>393015</v>
      </c>
      <c r="J337" s="109">
        <v>1304878</v>
      </c>
      <c r="K337" s="109">
        <v>497214</v>
      </c>
      <c r="L337" s="109">
        <v>1898882</v>
      </c>
      <c r="M337" s="109">
        <f t="shared" si="5"/>
        <v>52.108394390933292</v>
      </c>
      <c r="N337" s="108">
        <v>36441</v>
      </c>
    </row>
    <row r="338" spans="1:14" ht="15.75" thickBot="1" x14ac:dyDescent="0.3">
      <c r="A338" s="44" t="s">
        <v>1373</v>
      </c>
      <c r="B338" s="107" t="s">
        <v>1374</v>
      </c>
      <c r="C338" s="78" t="s">
        <v>822</v>
      </c>
      <c r="D338" s="109">
        <v>300831</v>
      </c>
      <c r="E338" s="109">
        <v>137925</v>
      </c>
      <c r="F338" s="109">
        <v>61972</v>
      </c>
      <c r="G338" s="109">
        <v>500728</v>
      </c>
      <c r="H338" s="109">
        <v>1698340</v>
      </c>
      <c r="I338" s="109">
        <v>559941</v>
      </c>
      <c r="J338" s="109">
        <v>2258281</v>
      </c>
      <c r="K338" s="109">
        <v>1769133</v>
      </c>
      <c r="L338" s="109">
        <v>4528142</v>
      </c>
      <c r="M338" s="109">
        <f t="shared" si="5"/>
        <v>123.53071802706242</v>
      </c>
      <c r="N338" s="108">
        <v>36656</v>
      </c>
    </row>
    <row r="339" spans="1:14" ht="15.75" thickBot="1" x14ac:dyDescent="0.3">
      <c r="A339" s="44" t="s">
        <v>1401</v>
      </c>
      <c r="B339" s="107" t="s">
        <v>1402</v>
      </c>
      <c r="C339" s="78" t="s">
        <v>822</v>
      </c>
      <c r="D339" s="109">
        <v>127598</v>
      </c>
      <c r="E339" s="109">
        <v>34802</v>
      </c>
      <c r="F339" s="109">
        <v>51302</v>
      </c>
      <c r="G339" s="109">
        <v>213702</v>
      </c>
      <c r="H339" s="109">
        <v>858995</v>
      </c>
      <c r="I339" s="109">
        <v>314392</v>
      </c>
      <c r="J339" s="109">
        <v>1173387</v>
      </c>
      <c r="K339" s="109">
        <v>456889</v>
      </c>
      <c r="L339" s="109">
        <v>1843978</v>
      </c>
      <c r="M339" s="109">
        <f t="shared" si="5"/>
        <v>38.1286547289194</v>
      </c>
      <c r="N339" s="108">
        <v>48362</v>
      </c>
    </row>
    <row r="340" spans="1:14" ht="15.75" thickBot="1" x14ac:dyDescent="0.3">
      <c r="A340" s="44" t="s">
        <v>1425</v>
      </c>
      <c r="B340" s="107" t="s">
        <v>1426</v>
      </c>
      <c r="C340" s="78" t="s">
        <v>822</v>
      </c>
      <c r="D340" s="109">
        <v>123461</v>
      </c>
      <c r="E340" s="109">
        <v>75747</v>
      </c>
      <c r="F340" s="109">
        <v>98399</v>
      </c>
      <c r="G340" s="109">
        <v>297607</v>
      </c>
      <c r="H340" s="109">
        <v>921653</v>
      </c>
      <c r="I340" s="109">
        <v>346302</v>
      </c>
      <c r="J340" s="109">
        <v>1267955</v>
      </c>
      <c r="K340" s="109">
        <v>401716</v>
      </c>
      <c r="L340" s="109">
        <v>1967278</v>
      </c>
      <c r="M340" s="109">
        <f t="shared" si="5"/>
        <v>58.136410650432936</v>
      </c>
      <c r="N340" s="108">
        <v>33839</v>
      </c>
    </row>
    <row r="341" spans="1:14" ht="15.75" thickBot="1" x14ac:dyDescent="0.3">
      <c r="A341" s="44" t="s">
        <v>1427</v>
      </c>
      <c r="B341" s="107" t="s">
        <v>1428</v>
      </c>
      <c r="C341" s="78" t="s">
        <v>822</v>
      </c>
      <c r="D341" s="109">
        <v>53120</v>
      </c>
      <c r="E341" s="109">
        <v>7664</v>
      </c>
      <c r="F341" s="109">
        <v>10183</v>
      </c>
      <c r="G341" s="109">
        <v>70967</v>
      </c>
      <c r="H341" s="109">
        <v>236967</v>
      </c>
      <c r="I341" s="109">
        <v>107880</v>
      </c>
      <c r="J341" s="109">
        <v>344847</v>
      </c>
      <c r="K341" s="109">
        <v>210254</v>
      </c>
      <c r="L341" s="109">
        <v>626068</v>
      </c>
      <c r="M341" s="109">
        <f t="shared" si="5"/>
        <v>15.703521621350456</v>
      </c>
      <c r="N341" s="108">
        <v>39868</v>
      </c>
    </row>
    <row r="342" spans="1:14" ht="15.75" thickBot="1" x14ac:dyDescent="0.3">
      <c r="A342" s="44" t="s">
        <v>1431</v>
      </c>
      <c r="B342" s="107" t="s">
        <v>1432</v>
      </c>
      <c r="C342" s="78" t="s">
        <v>822</v>
      </c>
      <c r="D342" s="109">
        <v>60027</v>
      </c>
      <c r="E342" s="109">
        <v>15537</v>
      </c>
      <c r="F342" s="109">
        <v>7731</v>
      </c>
      <c r="G342" s="109">
        <v>83295</v>
      </c>
      <c r="H342" s="109">
        <v>679574</v>
      </c>
      <c r="I342" s="109">
        <v>253609</v>
      </c>
      <c r="J342" s="109">
        <v>933183</v>
      </c>
      <c r="K342" s="109">
        <v>276333</v>
      </c>
      <c r="L342" s="109">
        <v>1292811</v>
      </c>
      <c r="M342" s="109">
        <f t="shared" si="5"/>
        <v>27.332734307279225</v>
      </c>
      <c r="N342" s="108">
        <v>47299</v>
      </c>
    </row>
    <row r="343" spans="1:14" ht="15.75" thickBot="1" x14ac:dyDescent="0.3">
      <c r="A343" s="44" t="s">
        <v>1449</v>
      </c>
      <c r="B343" s="107" t="s">
        <v>1450</v>
      </c>
      <c r="C343" s="78" t="s">
        <v>822</v>
      </c>
      <c r="D343" s="109">
        <v>97754</v>
      </c>
      <c r="E343" s="109">
        <v>40191</v>
      </c>
      <c r="F343" s="109">
        <v>74030</v>
      </c>
      <c r="G343" s="109">
        <v>211975</v>
      </c>
      <c r="H343" s="109">
        <v>1027522</v>
      </c>
      <c r="I343" s="109">
        <v>155856</v>
      </c>
      <c r="J343" s="109">
        <v>1183378</v>
      </c>
      <c r="K343" s="109">
        <v>438379</v>
      </c>
      <c r="L343" s="109">
        <v>1833732</v>
      </c>
      <c r="M343" s="109">
        <f t="shared" si="5"/>
        <v>69.522747952684256</v>
      </c>
      <c r="N343" s="108">
        <v>26376</v>
      </c>
    </row>
    <row r="344" spans="1:14" ht="15.75" thickBot="1" x14ac:dyDescent="0.3">
      <c r="A344" s="44" t="s">
        <v>1474</v>
      </c>
      <c r="B344" s="107" t="s">
        <v>1475</v>
      </c>
      <c r="C344" s="78" t="s">
        <v>822</v>
      </c>
      <c r="D344" s="109">
        <v>63714</v>
      </c>
      <c r="E344" s="109">
        <v>9901</v>
      </c>
      <c r="F344" s="109">
        <v>20346</v>
      </c>
      <c r="G344" s="109">
        <v>93961</v>
      </c>
      <c r="H344" s="109">
        <v>551754</v>
      </c>
      <c r="I344" s="109">
        <v>116019</v>
      </c>
      <c r="J344" s="109">
        <v>667773</v>
      </c>
      <c r="K344" s="109">
        <v>105878</v>
      </c>
      <c r="L344" s="109">
        <v>867612</v>
      </c>
      <c r="M344" s="109">
        <f t="shared" si="5"/>
        <v>31.074928366762176</v>
      </c>
      <c r="N344" s="108">
        <v>27920</v>
      </c>
    </row>
    <row r="345" spans="1:14" ht="15.75" thickBot="1" x14ac:dyDescent="0.3">
      <c r="A345" s="44" t="s">
        <v>1484</v>
      </c>
      <c r="B345" s="107" t="s">
        <v>1485</v>
      </c>
      <c r="C345" s="78" t="s">
        <v>822</v>
      </c>
      <c r="D345" s="109">
        <v>45255</v>
      </c>
      <c r="E345" s="109">
        <v>16805</v>
      </c>
      <c r="F345" s="109">
        <v>10315</v>
      </c>
      <c r="G345" s="109">
        <v>72375</v>
      </c>
      <c r="H345" s="109">
        <v>219495</v>
      </c>
      <c r="I345" s="109">
        <v>40085</v>
      </c>
      <c r="J345" s="109">
        <v>259580</v>
      </c>
      <c r="K345" s="109">
        <v>270567</v>
      </c>
      <c r="L345" s="109">
        <v>602522</v>
      </c>
      <c r="M345" s="109">
        <f t="shared" si="5"/>
        <v>20.052650847006358</v>
      </c>
      <c r="N345" s="108">
        <v>30047</v>
      </c>
    </row>
    <row r="346" spans="1:14" ht="15.75" thickBot="1" x14ac:dyDescent="0.3">
      <c r="A346" s="44" t="s">
        <v>1502</v>
      </c>
      <c r="B346" s="107" t="s">
        <v>1503</v>
      </c>
      <c r="C346" s="78" t="s">
        <v>822</v>
      </c>
      <c r="D346" s="109">
        <v>73362</v>
      </c>
      <c r="E346" s="109">
        <v>6975</v>
      </c>
      <c r="F346" s="109">
        <v>2850</v>
      </c>
      <c r="G346" s="109">
        <v>83187</v>
      </c>
      <c r="H346" s="109">
        <v>551699</v>
      </c>
      <c r="I346" s="109">
        <v>130499</v>
      </c>
      <c r="J346" s="109">
        <v>682198</v>
      </c>
      <c r="K346" s="109">
        <v>309350</v>
      </c>
      <c r="L346" s="109">
        <v>1074735</v>
      </c>
      <c r="M346" s="109">
        <f t="shared" si="5"/>
        <v>24.975831377379098</v>
      </c>
      <c r="N346" s="108">
        <v>43031</v>
      </c>
    </row>
    <row r="347" spans="1:14" ht="15.75" thickBot="1" x14ac:dyDescent="0.3">
      <c r="A347" s="44" t="s">
        <v>1546</v>
      </c>
      <c r="B347" s="107" t="s">
        <v>1547</v>
      </c>
      <c r="C347" s="78" t="s">
        <v>822</v>
      </c>
      <c r="D347" s="109">
        <v>131812</v>
      </c>
      <c r="E347" s="109">
        <v>46496</v>
      </c>
      <c r="F347" s="109">
        <v>29022</v>
      </c>
      <c r="G347" s="109">
        <v>207330</v>
      </c>
      <c r="H347" s="109">
        <v>1021033</v>
      </c>
      <c r="I347" s="109">
        <v>352983</v>
      </c>
      <c r="J347" s="109">
        <v>1374016</v>
      </c>
      <c r="K347" s="109">
        <v>466751</v>
      </c>
      <c r="L347" s="109">
        <v>2048097</v>
      </c>
      <c r="M347" s="109">
        <f t="shared" si="5"/>
        <v>46.268993561504573</v>
      </c>
      <c r="N347" s="108">
        <v>44265</v>
      </c>
    </row>
    <row r="348" spans="1:14" ht="15.75" thickBot="1" x14ac:dyDescent="0.3">
      <c r="A348" s="44" t="s">
        <v>1586</v>
      </c>
      <c r="B348" s="107" t="s">
        <v>1587</v>
      </c>
      <c r="C348" s="78" t="s">
        <v>822</v>
      </c>
      <c r="D348" s="109">
        <v>100680</v>
      </c>
      <c r="E348" s="109">
        <v>34625</v>
      </c>
      <c r="F348" s="109">
        <v>32922</v>
      </c>
      <c r="G348" s="109">
        <v>168227</v>
      </c>
      <c r="H348" s="109">
        <v>594494</v>
      </c>
      <c r="I348" s="109">
        <v>120533</v>
      </c>
      <c r="J348" s="109">
        <v>715027</v>
      </c>
      <c r="K348" s="109">
        <v>200201</v>
      </c>
      <c r="L348" s="109">
        <v>1083455</v>
      </c>
      <c r="M348" s="109">
        <f t="shared" si="5"/>
        <v>36.092308204803622</v>
      </c>
      <c r="N348" s="108">
        <v>30019</v>
      </c>
    </row>
    <row r="349" spans="1:14" ht="15.75" thickBot="1" x14ac:dyDescent="0.3">
      <c r="A349" s="44" t="s">
        <v>835</v>
      </c>
      <c r="B349" s="107" t="s">
        <v>836</v>
      </c>
      <c r="C349" s="78" t="s">
        <v>837</v>
      </c>
      <c r="D349" s="109">
        <v>869582</v>
      </c>
      <c r="E349" s="109">
        <v>616806</v>
      </c>
      <c r="F349" s="109">
        <v>260876</v>
      </c>
      <c r="G349" s="109">
        <v>1747264</v>
      </c>
      <c r="H349" s="109">
        <v>7013662</v>
      </c>
      <c r="I349" s="109">
        <v>2409114</v>
      </c>
      <c r="J349" s="109">
        <v>9422776</v>
      </c>
      <c r="K349" s="109">
        <v>4564485</v>
      </c>
      <c r="L349" s="109">
        <v>15734525</v>
      </c>
      <c r="M349" s="109">
        <f t="shared" si="5"/>
        <v>96.182682315544966</v>
      </c>
      <c r="N349" s="108">
        <v>163590</v>
      </c>
    </row>
    <row r="350" spans="1:14" ht="15.75" thickBot="1" x14ac:dyDescent="0.3">
      <c r="A350" s="44" t="s">
        <v>861</v>
      </c>
      <c r="B350" s="107" t="s">
        <v>862</v>
      </c>
      <c r="C350" s="78" t="s">
        <v>837</v>
      </c>
      <c r="D350" s="109">
        <v>394203</v>
      </c>
      <c r="E350" s="109">
        <v>59488</v>
      </c>
      <c r="F350" s="109">
        <v>118442</v>
      </c>
      <c r="G350" s="109">
        <v>572133</v>
      </c>
      <c r="H350" s="109">
        <v>2366825</v>
      </c>
      <c r="I350" s="109">
        <v>924935</v>
      </c>
      <c r="J350" s="109">
        <v>3291760</v>
      </c>
      <c r="K350" s="109">
        <v>998005</v>
      </c>
      <c r="L350" s="109">
        <v>4861898</v>
      </c>
      <c r="M350" s="109">
        <f t="shared" si="5"/>
        <v>45.150936562624793</v>
      </c>
      <c r="N350" s="108">
        <v>107681</v>
      </c>
    </row>
    <row r="351" spans="1:14" ht="15.75" thickBot="1" x14ac:dyDescent="0.3">
      <c r="A351" s="44" t="s">
        <v>923</v>
      </c>
      <c r="B351" s="107" t="s">
        <v>924</v>
      </c>
      <c r="C351" s="78" t="s">
        <v>837</v>
      </c>
      <c r="D351" s="109">
        <v>355265</v>
      </c>
      <c r="E351" s="109">
        <v>139801</v>
      </c>
      <c r="F351" s="109">
        <v>324684</v>
      </c>
      <c r="G351" s="109">
        <v>819750</v>
      </c>
      <c r="H351" s="109">
        <v>2634590</v>
      </c>
      <c r="I351" s="109">
        <v>467412</v>
      </c>
      <c r="J351" s="109">
        <v>3102002</v>
      </c>
      <c r="K351" s="109">
        <v>2689069</v>
      </c>
      <c r="L351" s="109">
        <v>6610821</v>
      </c>
      <c r="M351" s="109">
        <f t="shared" si="5"/>
        <v>73.312643474210688</v>
      </c>
      <c r="N351" s="108">
        <v>90173</v>
      </c>
    </row>
    <row r="352" spans="1:14" ht="15.75" thickBot="1" x14ac:dyDescent="0.3">
      <c r="A352" s="44" t="s">
        <v>925</v>
      </c>
      <c r="B352" s="107" t="s">
        <v>926</v>
      </c>
      <c r="C352" s="78" t="s">
        <v>837</v>
      </c>
      <c r="D352" s="109">
        <v>681447</v>
      </c>
      <c r="E352" s="109">
        <v>333946</v>
      </c>
      <c r="F352" s="109">
        <v>676349</v>
      </c>
      <c r="G352" s="109">
        <v>1691742</v>
      </c>
      <c r="H352" s="109">
        <v>5663482</v>
      </c>
      <c r="I352" s="109">
        <v>1737638</v>
      </c>
      <c r="J352" s="109">
        <v>7401120</v>
      </c>
      <c r="K352" s="109">
        <v>2355883</v>
      </c>
      <c r="L352" s="109">
        <v>11448745</v>
      </c>
      <c r="M352" s="109">
        <f t="shared" si="5"/>
        <v>47.93097601513864</v>
      </c>
      <c r="N352" s="108">
        <v>238859</v>
      </c>
    </row>
    <row r="353" spans="1:14" ht="15.75" thickBot="1" x14ac:dyDescent="0.3">
      <c r="A353" s="44" t="s">
        <v>955</v>
      </c>
      <c r="B353" s="107" t="s">
        <v>956</v>
      </c>
      <c r="C353" s="78" t="s">
        <v>837</v>
      </c>
      <c r="D353" s="109">
        <v>133495</v>
      </c>
      <c r="E353" s="109">
        <v>25942</v>
      </c>
      <c r="F353" s="109">
        <v>53318</v>
      </c>
      <c r="G353" s="109">
        <v>212755</v>
      </c>
      <c r="H353" s="109">
        <v>1160215</v>
      </c>
      <c r="I353" s="109">
        <v>255596</v>
      </c>
      <c r="J353" s="109">
        <v>1415811</v>
      </c>
      <c r="K353" s="109">
        <v>602013</v>
      </c>
      <c r="L353" s="109">
        <v>2230579</v>
      </c>
      <c r="M353" s="109">
        <f t="shared" si="5"/>
        <v>43.194790859798609</v>
      </c>
      <c r="N353" s="108">
        <v>51640</v>
      </c>
    </row>
    <row r="354" spans="1:14" ht="15.75" thickBot="1" x14ac:dyDescent="0.3">
      <c r="A354" s="44" t="s">
        <v>961</v>
      </c>
      <c r="B354" s="107" t="s">
        <v>962</v>
      </c>
      <c r="C354" s="78" t="s">
        <v>837</v>
      </c>
      <c r="D354" s="109">
        <v>404441</v>
      </c>
      <c r="E354" s="109">
        <v>283000</v>
      </c>
      <c r="F354" s="109">
        <v>182115</v>
      </c>
      <c r="G354" s="109">
        <v>869556</v>
      </c>
      <c r="H354" s="109">
        <v>2673712</v>
      </c>
      <c r="I354" s="109">
        <v>533549</v>
      </c>
      <c r="J354" s="109">
        <v>3207261</v>
      </c>
      <c r="K354" s="109">
        <v>1988452</v>
      </c>
      <c r="L354" s="109">
        <v>6065269</v>
      </c>
      <c r="M354" s="109">
        <f t="shared" si="5"/>
        <v>35.713135845212648</v>
      </c>
      <c r="N354" s="108">
        <v>169833</v>
      </c>
    </row>
    <row r="355" spans="1:14" ht="15.75" thickBot="1" x14ac:dyDescent="0.3">
      <c r="A355" s="44" t="s">
        <v>995</v>
      </c>
      <c r="B355" s="107" t="s">
        <v>996</v>
      </c>
      <c r="C355" s="78" t="s">
        <v>837</v>
      </c>
      <c r="D355" s="109">
        <v>125042</v>
      </c>
      <c r="E355" s="109">
        <v>23817</v>
      </c>
      <c r="F355" s="109">
        <v>16482</v>
      </c>
      <c r="G355" s="109">
        <v>165341</v>
      </c>
      <c r="H355" s="109">
        <v>804767</v>
      </c>
      <c r="I355" s="109">
        <v>181215</v>
      </c>
      <c r="J355" s="109">
        <v>985982</v>
      </c>
      <c r="K355" s="109">
        <v>521739</v>
      </c>
      <c r="L355" s="109">
        <v>1673062</v>
      </c>
      <c r="M355" s="109">
        <f t="shared" si="5"/>
        <v>28.958735763492228</v>
      </c>
      <c r="N355" s="108">
        <v>57774</v>
      </c>
    </row>
    <row r="356" spans="1:14" ht="15.75" thickBot="1" x14ac:dyDescent="0.3">
      <c r="A356" s="44" t="s">
        <v>997</v>
      </c>
      <c r="B356" s="107" t="s">
        <v>998</v>
      </c>
      <c r="C356" s="78" t="s">
        <v>837</v>
      </c>
      <c r="D356" s="109">
        <v>235000</v>
      </c>
      <c r="E356" s="109">
        <v>103205</v>
      </c>
      <c r="F356" s="109">
        <v>161795</v>
      </c>
      <c r="G356" s="109">
        <v>500000</v>
      </c>
      <c r="H356" s="109">
        <v>2471325</v>
      </c>
      <c r="I356" s="109">
        <v>1308325</v>
      </c>
      <c r="J356" s="109">
        <v>3779650</v>
      </c>
      <c r="K356" s="109">
        <v>2289935</v>
      </c>
      <c r="L356" s="109">
        <v>6569585</v>
      </c>
      <c r="M356" s="109">
        <f t="shared" si="5"/>
        <v>66.932085621427774</v>
      </c>
      <c r="N356" s="108">
        <v>98153</v>
      </c>
    </row>
    <row r="357" spans="1:14" ht="15.75" thickBot="1" x14ac:dyDescent="0.3">
      <c r="A357" s="44" t="s">
        <v>1005</v>
      </c>
      <c r="B357" s="107" t="s">
        <v>1006</v>
      </c>
      <c r="C357" s="78" t="s">
        <v>837</v>
      </c>
      <c r="D357" s="109">
        <v>571321</v>
      </c>
      <c r="E357" s="109">
        <v>594639</v>
      </c>
      <c r="F357" s="109">
        <v>418876</v>
      </c>
      <c r="G357" s="109">
        <v>1584836</v>
      </c>
      <c r="H357" s="109">
        <v>13131325</v>
      </c>
      <c r="I357" s="109">
        <v>7353021</v>
      </c>
      <c r="J357" s="109">
        <v>20484346</v>
      </c>
      <c r="K357" s="109">
        <v>9656677</v>
      </c>
      <c r="L357" s="109">
        <v>31725859</v>
      </c>
      <c r="M357" s="109">
        <f t="shared" si="5"/>
        <v>44.44785836472736</v>
      </c>
      <c r="N357" s="108">
        <v>713777</v>
      </c>
    </row>
    <row r="358" spans="1:14" ht="15.75" thickBot="1" x14ac:dyDescent="0.3">
      <c r="A358" s="44" t="s">
        <v>1051</v>
      </c>
      <c r="B358" s="107" t="s">
        <v>1052</v>
      </c>
      <c r="C358" s="78" t="s">
        <v>837</v>
      </c>
      <c r="D358" s="109">
        <v>301604</v>
      </c>
      <c r="E358" s="109">
        <v>162884</v>
      </c>
      <c r="F358" s="109">
        <v>153370</v>
      </c>
      <c r="G358" s="109">
        <v>617858</v>
      </c>
      <c r="H358" s="109">
        <v>3038734</v>
      </c>
      <c r="I358" s="109">
        <v>1011586</v>
      </c>
      <c r="J358" s="109">
        <v>4050320</v>
      </c>
      <c r="K358" s="109">
        <v>1808028</v>
      </c>
      <c r="L358" s="109">
        <v>6476206</v>
      </c>
      <c r="M358" s="109">
        <f t="shared" si="5"/>
        <v>71.868408203125</v>
      </c>
      <c r="N358" s="108">
        <v>90112</v>
      </c>
    </row>
    <row r="359" spans="1:14" ht="15.75" thickBot="1" x14ac:dyDescent="0.3">
      <c r="A359" s="44" t="s">
        <v>1063</v>
      </c>
      <c r="B359" s="107" t="s">
        <v>1064</v>
      </c>
      <c r="C359" s="78" t="s">
        <v>837</v>
      </c>
      <c r="D359" s="109">
        <v>149732</v>
      </c>
      <c r="E359" s="109">
        <v>27299</v>
      </c>
      <c r="F359" s="109">
        <v>109511</v>
      </c>
      <c r="G359" s="109">
        <v>286542</v>
      </c>
      <c r="H359" s="109">
        <v>1547750</v>
      </c>
      <c r="I359" s="109">
        <v>562615</v>
      </c>
      <c r="J359" s="109">
        <v>2110365</v>
      </c>
      <c r="K359" s="109">
        <v>956430</v>
      </c>
      <c r="L359" s="109">
        <v>3353337</v>
      </c>
      <c r="M359" s="109">
        <f t="shared" si="5"/>
        <v>32.73656207899721</v>
      </c>
      <c r="N359" s="108">
        <v>102434</v>
      </c>
    </row>
    <row r="360" spans="1:14" ht="15.75" thickBot="1" x14ac:dyDescent="0.3">
      <c r="A360" s="44" t="s">
        <v>1089</v>
      </c>
      <c r="B360" s="107" t="s">
        <v>1090</v>
      </c>
      <c r="C360" s="78" t="s">
        <v>837</v>
      </c>
      <c r="D360" s="109">
        <v>841410</v>
      </c>
      <c r="E360" s="109">
        <v>852080</v>
      </c>
      <c r="F360" s="109">
        <v>14100</v>
      </c>
      <c r="G360" s="109">
        <v>1707590</v>
      </c>
      <c r="H360" s="109">
        <v>3404411</v>
      </c>
      <c r="I360" s="109">
        <v>2087518</v>
      </c>
      <c r="J360" s="109">
        <v>5491929</v>
      </c>
      <c r="K360" s="109">
        <v>1343465</v>
      </c>
      <c r="L360" s="109">
        <v>8542984</v>
      </c>
      <c r="M360" s="109">
        <f t="shared" si="5"/>
        <v>25.688008732075041</v>
      </c>
      <c r="N360" s="108">
        <v>332567</v>
      </c>
    </row>
    <row r="361" spans="1:14" ht="15.75" thickBot="1" x14ac:dyDescent="0.3">
      <c r="A361" s="44" t="s">
        <v>1103</v>
      </c>
      <c r="B361" s="107" t="s">
        <v>1104</v>
      </c>
      <c r="C361" s="78" t="s">
        <v>837</v>
      </c>
      <c r="D361" s="109">
        <v>192491</v>
      </c>
      <c r="E361" s="109">
        <v>68683</v>
      </c>
      <c r="F361" s="109">
        <v>137364</v>
      </c>
      <c r="G361" s="109">
        <v>398538</v>
      </c>
      <c r="H361" s="109">
        <v>1723614</v>
      </c>
      <c r="I361" s="109">
        <v>1218709</v>
      </c>
      <c r="J361" s="109">
        <v>2942323</v>
      </c>
      <c r="K361" s="109">
        <v>709151</v>
      </c>
      <c r="L361" s="109">
        <v>4050012</v>
      </c>
      <c r="M361" s="109">
        <f t="shared" si="5"/>
        <v>52.79846689350385</v>
      </c>
      <c r="N361" s="108">
        <v>76707</v>
      </c>
    </row>
    <row r="362" spans="1:14" ht="15.75" thickBot="1" x14ac:dyDescent="0.3">
      <c r="A362" s="44" t="s">
        <v>1107</v>
      </c>
      <c r="B362" s="107" t="s">
        <v>1108</v>
      </c>
      <c r="C362" s="78" t="s">
        <v>837</v>
      </c>
      <c r="D362" s="109">
        <v>597771</v>
      </c>
      <c r="E362" s="109">
        <v>194890</v>
      </c>
      <c r="F362" s="109">
        <v>690336</v>
      </c>
      <c r="G362" s="109">
        <v>1482997</v>
      </c>
      <c r="H362" s="109">
        <v>4846458</v>
      </c>
      <c r="I362" s="109">
        <v>1671212</v>
      </c>
      <c r="J362" s="109">
        <v>6517670</v>
      </c>
      <c r="K362" s="109">
        <v>3350968</v>
      </c>
      <c r="L362" s="109">
        <v>11351635</v>
      </c>
      <c r="M362" s="109">
        <f t="shared" si="5"/>
        <v>60.368192937672838</v>
      </c>
      <c r="N362" s="108">
        <v>188040</v>
      </c>
    </row>
    <row r="363" spans="1:14" ht="15.75" thickBot="1" x14ac:dyDescent="0.3">
      <c r="A363" s="44" t="s">
        <v>1111</v>
      </c>
      <c r="B363" s="107" t="s">
        <v>1112</v>
      </c>
      <c r="C363" s="78" t="s">
        <v>837</v>
      </c>
      <c r="D363" s="109">
        <v>308195</v>
      </c>
      <c r="E363" s="109">
        <v>105565</v>
      </c>
      <c r="F363" s="109">
        <v>202691</v>
      </c>
      <c r="G363" s="109">
        <v>616451</v>
      </c>
      <c r="H363" s="109">
        <v>2269128</v>
      </c>
      <c r="I363" s="109">
        <v>711361</v>
      </c>
      <c r="J363" s="109">
        <v>2980489</v>
      </c>
      <c r="K363" s="109">
        <v>2211761</v>
      </c>
      <c r="L363" s="109">
        <v>5808701</v>
      </c>
      <c r="M363" s="109">
        <f t="shared" si="5"/>
        <v>113.5998474566327</v>
      </c>
      <c r="N363" s="108">
        <v>51133</v>
      </c>
    </row>
    <row r="364" spans="1:14" ht="15.75" thickBot="1" x14ac:dyDescent="0.3">
      <c r="A364" s="44" t="s">
        <v>1137</v>
      </c>
      <c r="B364" s="107" t="s">
        <v>1138</v>
      </c>
      <c r="C364" s="78" t="s">
        <v>837</v>
      </c>
      <c r="D364" s="109">
        <v>234949</v>
      </c>
      <c r="E364" s="109">
        <v>76609</v>
      </c>
      <c r="F364" s="109">
        <v>384263</v>
      </c>
      <c r="G364" s="109">
        <v>695821</v>
      </c>
      <c r="H364" s="109">
        <v>2302057</v>
      </c>
      <c r="I364" s="109">
        <v>938177</v>
      </c>
      <c r="J364" s="109">
        <v>3240234</v>
      </c>
      <c r="K364" s="109">
        <v>1103761</v>
      </c>
      <c r="L364" s="109">
        <v>5039816</v>
      </c>
      <c r="M364" s="109">
        <f t="shared" si="5"/>
        <v>49.20590101832596</v>
      </c>
      <c r="N364" s="108">
        <v>102423</v>
      </c>
    </row>
    <row r="365" spans="1:14" ht="15.75" thickBot="1" x14ac:dyDescent="0.3">
      <c r="A365" s="44" t="s">
        <v>1159</v>
      </c>
      <c r="B365" s="107" t="s">
        <v>1160</v>
      </c>
      <c r="C365" s="78" t="s">
        <v>837</v>
      </c>
      <c r="D365" s="109">
        <v>147693</v>
      </c>
      <c r="E365" s="109">
        <v>78189</v>
      </c>
      <c r="F365" s="109">
        <v>121858</v>
      </c>
      <c r="G365" s="109">
        <v>347740</v>
      </c>
      <c r="H365" s="109">
        <v>1004542</v>
      </c>
      <c r="I365" s="109">
        <v>304816</v>
      </c>
      <c r="J365" s="109">
        <v>1309358</v>
      </c>
      <c r="K365" s="109">
        <v>527009</v>
      </c>
      <c r="L365" s="109">
        <v>2184107</v>
      </c>
      <c r="M365" s="109">
        <f t="shared" si="5"/>
        <v>41.579070608616192</v>
      </c>
      <c r="N365" s="108">
        <v>52529</v>
      </c>
    </row>
    <row r="366" spans="1:14" ht="15.75" thickBot="1" x14ac:dyDescent="0.3">
      <c r="A366" s="44" t="s">
        <v>1179</v>
      </c>
      <c r="B366" s="107" t="s">
        <v>1180</v>
      </c>
      <c r="C366" s="78" t="s">
        <v>837</v>
      </c>
      <c r="D366" s="109">
        <v>361174</v>
      </c>
      <c r="E366" s="109">
        <v>215880</v>
      </c>
      <c r="F366" s="109">
        <v>476876</v>
      </c>
      <c r="G366" s="109">
        <v>1053930</v>
      </c>
      <c r="H366" s="109">
        <v>3646759</v>
      </c>
      <c r="I366" s="109">
        <v>1197862</v>
      </c>
      <c r="J366" s="109">
        <v>4844621</v>
      </c>
      <c r="K366" s="109">
        <v>1611853</v>
      </c>
      <c r="L366" s="109">
        <v>7510404</v>
      </c>
      <c r="M366" s="109">
        <f t="shared" si="5"/>
        <v>46.867380560131792</v>
      </c>
      <c r="N366" s="108">
        <v>160248</v>
      </c>
    </row>
    <row r="367" spans="1:14" ht="15.75" thickBot="1" x14ac:dyDescent="0.3">
      <c r="A367" s="44" t="s">
        <v>1187</v>
      </c>
      <c r="B367" s="107" t="s">
        <v>1188</v>
      </c>
      <c r="C367" s="78" t="s">
        <v>837</v>
      </c>
      <c r="D367" s="109">
        <v>574882</v>
      </c>
      <c r="E367" s="109">
        <v>457104</v>
      </c>
      <c r="F367" s="109">
        <v>150166</v>
      </c>
      <c r="G367" s="109">
        <v>1182152</v>
      </c>
      <c r="H367" s="109">
        <v>5398235</v>
      </c>
      <c r="I367" s="109">
        <v>2571454</v>
      </c>
      <c r="J367" s="109">
        <v>7969689</v>
      </c>
      <c r="K367" s="109">
        <v>2458781</v>
      </c>
      <c r="L367" s="109">
        <v>11610622</v>
      </c>
      <c r="M367" s="109">
        <f t="shared" si="5"/>
        <v>99.709064365150923</v>
      </c>
      <c r="N367" s="108">
        <v>116445</v>
      </c>
    </row>
    <row r="368" spans="1:14" ht="15.75" thickBot="1" x14ac:dyDescent="0.3">
      <c r="A368" s="44" t="s">
        <v>1191</v>
      </c>
      <c r="B368" s="107" t="s">
        <v>1192</v>
      </c>
      <c r="C368" s="78" t="s">
        <v>837</v>
      </c>
      <c r="D368" s="109">
        <v>1360193</v>
      </c>
      <c r="E368" s="109">
        <v>980029</v>
      </c>
      <c r="F368" s="109">
        <v>1510561</v>
      </c>
      <c r="G368" s="109">
        <v>3850783</v>
      </c>
      <c r="H368" s="109">
        <v>11058964</v>
      </c>
      <c r="I368" s="109">
        <v>2871016</v>
      </c>
      <c r="J368" s="109">
        <v>13929980</v>
      </c>
      <c r="K368" s="109">
        <v>4942193</v>
      </c>
      <c r="L368" s="109">
        <v>22722956</v>
      </c>
      <c r="M368" s="109">
        <f t="shared" si="5"/>
        <v>57.430511044836479</v>
      </c>
      <c r="N368" s="108">
        <v>395660</v>
      </c>
    </row>
    <row r="369" spans="1:14" ht="15.75" thickBot="1" x14ac:dyDescent="0.3">
      <c r="A369" s="44" t="s">
        <v>1201</v>
      </c>
      <c r="B369" s="107" t="s">
        <v>1202</v>
      </c>
      <c r="C369" s="78" t="s">
        <v>837</v>
      </c>
      <c r="D369" s="109">
        <v>107010</v>
      </c>
      <c r="E369" s="109">
        <v>24037</v>
      </c>
      <c r="F369" s="109">
        <v>25382</v>
      </c>
      <c r="G369" s="109">
        <v>156429</v>
      </c>
      <c r="H369" s="109">
        <v>882399</v>
      </c>
      <c r="I369" s="109">
        <v>361255</v>
      </c>
      <c r="J369" s="109">
        <v>1243654</v>
      </c>
      <c r="K369" s="109">
        <v>483216</v>
      </c>
      <c r="L369" s="109">
        <v>1883299</v>
      </c>
      <c r="M369" s="109">
        <f t="shared" si="5"/>
        <v>31.385178148851782</v>
      </c>
      <c r="N369" s="108">
        <v>60006</v>
      </c>
    </row>
    <row r="370" spans="1:14" ht="15.75" thickBot="1" x14ac:dyDescent="0.3">
      <c r="A370" s="44" t="s">
        <v>1227</v>
      </c>
      <c r="B370" s="107" t="s">
        <v>1228</v>
      </c>
      <c r="C370" s="78" t="s">
        <v>837</v>
      </c>
      <c r="D370" s="109">
        <v>277336</v>
      </c>
      <c r="E370" s="109">
        <v>39000</v>
      </c>
      <c r="F370" s="109">
        <v>48593</v>
      </c>
      <c r="G370" s="109">
        <v>364929</v>
      </c>
      <c r="H370" s="109">
        <v>1728933</v>
      </c>
      <c r="I370" s="109">
        <v>703887</v>
      </c>
      <c r="J370" s="109">
        <v>2432820</v>
      </c>
      <c r="K370" s="109">
        <v>543377</v>
      </c>
      <c r="L370" s="109">
        <v>3341126</v>
      </c>
      <c r="M370" s="109">
        <f t="shared" si="5"/>
        <v>34.465205999463599</v>
      </c>
      <c r="N370" s="108">
        <v>96942</v>
      </c>
    </row>
    <row r="371" spans="1:14" ht="15.75" thickBot="1" x14ac:dyDescent="0.3">
      <c r="A371" s="44" t="s">
        <v>1293</v>
      </c>
      <c r="B371" s="107" t="s">
        <v>1294</v>
      </c>
      <c r="C371" s="78" t="s">
        <v>837</v>
      </c>
      <c r="D371" s="109">
        <v>391566</v>
      </c>
      <c r="E371" s="109">
        <v>182148</v>
      </c>
      <c r="F371" s="109">
        <v>225168</v>
      </c>
      <c r="G371" s="109">
        <v>798882</v>
      </c>
      <c r="H371" s="109">
        <v>4167314</v>
      </c>
      <c r="I371" s="109">
        <v>1559600</v>
      </c>
      <c r="J371" s="109">
        <v>5726914</v>
      </c>
      <c r="K371" s="109">
        <v>1428962</v>
      </c>
      <c r="L371" s="109">
        <v>7954758</v>
      </c>
      <c r="M371" s="109">
        <f t="shared" si="5"/>
        <v>53.047634290287085</v>
      </c>
      <c r="N371" s="108">
        <v>149955</v>
      </c>
    </row>
    <row r="372" spans="1:14" ht="15.75" thickBot="1" x14ac:dyDescent="0.3">
      <c r="A372" s="44" t="s">
        <v>1307</v>
      </c>
      <c r="B372" s="107" t="s">
        <v>1308</v>
      </c>
      <c r="C372" s="78" t="s">
        <v>837</v>
      </c>
      <c r="D372" s="109">
        <v>232970</v>
      </c>
      <c r="E372" s="109">
        <v>0</v>
      </c>
      <c r="F372" s="109">
        <v>178437</v>
      </c>
      <c r="G372" s="109">
        <v>411407</v>
      </c>
      <c r="H372" s="109">
        <v>1517664</v>
      </c>
      <c r="I372" s="109">
        <v>532899</v>
      </c>
      <c r="J372" s="109">
        <v>2050563</v>
      </c>
      <c r="K372" s="109">
        <v>932937</v>
      </c>
      <c r="L372" s="109">
        <v>3394907</v>
      </c>
      <c r="M372" s="109">
        <f t="shared" si="5"/>
        <v>32.072204587537314</v>
      </c>
      <c r="N372" s="108">
        <v>105852</v>
      </c>
    </row>
    <row r="373" spans="1:14" ht="15.75" thickBot="1" x14ac:dyDescent="0.3">
      <c r="A373" s="44" t="s">
        <v>1327</v>
      </c>
      <c r="B373" s="107" t="s">
        <v>1328</v>
      </c>
      <c r="C373" s="78" t="s">
        <v>837</v>
      </c>
      <c r="D373" s="109">
        <v>180623</v>
      </c>
      <c r="E373" s="109">
        <v>132915</v>
      </c>
      <c r="F373" s="109">
        <v>55261</v>
      </c>
      <c r="G373" s="109">
        <v>368799</v>
      </c>
      <c r="H373" s="109">
        <v>1496934</v>
      </c>
      <c r="I373" s="109">
        <v>352041</v>
      </c>
      <c r="J373" s="109">
        <v>1848975</v>
      </c>
      <c r="K373" s="109">
        <v>676280</v>
      </c>
      <c r="L373" s="109">
        <v>2894054</v>
      </c>
      <c r="M373" s="109">
        <f t="shared" si="5"/>
        <v>52.263770000361177</v>
      </c>
      <c r="N373" s="108">
        <v>55374</v>
      </c>
    </row>
    <row r="374" spans="1:14" ht="15.75" thickBot="1" x14ac:dyDescent="0.3">
      <c r="A374" s="44" t="s">
        <v>1375</v>
      </c>
      <c r="B374" s="107" t="s">
        <v>1376</v>
      </c>
      <c r="C374" s="78" t="s">
        <v>837</v>
      </c>
      <c r="D374" s="109">
        <v>29576</v>
      </c>
      <c r="E374" s="109">
        <v>25380</v>
      </c>
      <c r="F374" s="109">
        <v>17125</v>
      </c>
      <c r="G374" s="109">
        <v>72081</v>
      </c>
      <c r="H374" s="109">
        <v>434737</v>
      </c>
      <c r="I374" s="109">
        <v>73111</v>
      </c>
      <c r="J374" s="109">
        <v>507848</v>
      </c>
      <c r="K374" s="109">
        <v>526124</v>
      </c>
      <c r="L374" s="109">
        <v>1106053</v>
      </c>
      <c r="M374" s="109">
        <f t="shared" si="5"/>
        <v>18.584440897252794</v>
      </c>
      <c r="N374" s="108">
        <v>59515</v>
      </c>
    </row>
    <row r="375" spans="1:14" ht="15.75" thickBot="1" x14ac:dyDescent="0.3">
      <c r="A375" s="44" t="s">
        <v>1379</v>
      </c>
      <c r="B375" s="107" t="s">
        <v>1380</v>
      </c>
      <c r="C375" s="78" t="s">
        <v>837</v>
      </c>
      <c r="D375" s="109">
        <v>266902</v>
      </c>
      <c r="E375" s="109">
        <v>81761</v>
      </c>
      <c r="F375" s="109">
        <v>228683</v>
      </c>
      <c r="G375" s="109">
        <v>577346</v>
      </c>
      <c r="H375" s="109">
        <v>1334389</v>
      </c>
      <c r="I375" s="109">
        <v>463205</v>
      </c>
      <c r="J375" s="109">
        <v>1797594</v>
      </c>
      <c r="K375" s="109">
        <v>772260</v>
      </c>
      <c r="L375" s="109">
        <v>3147200</v>
      </c>
      <c r="M375" s="109">
        <f t="shared" si="5"/>
        <v>60.325857772666282</v>
      </c>
      <c r="N375" s="108">
        <v>52170</v>
      </c>
    </row>
    <row r="376" spans="1:14" ht="15.75" thickBot="1" x14ac:dyDescent="0.3">
      <c r="A376" s="44" t="s">
        <v>1389</v>
      </c>
      <c r="B376" s="107" t="s">
        <v>1390</v>
      </c>
      <c r="C376" s="78" t="s">
        <v>837</v>
      </c>
      <c r="D376" s="109">
        <v>196002</v>
      </c>
      <c r="E376" s="109">
        <v>31253</v>
      </c>
      <c r="F376" s="109">
        <v>101789</v>
      </c>
      <c r="G376" s="109">
        <v>329044</v>
      </c>
      <c r="H376" s="109">
        <v>1757375</v>
      </c>
      <c r="I376" s="109">
        <v>647739</v>
      </c>
      <c r="J376" s="109">
        <v>2405114</v>
      </c>
      <c r="K376" s="109">
        <v>2709631</v>
      </c>
      <c r="L376" s="109">
        <v>5443789</v>
      </c>
      <c r="M376" s="109">
        <f t="shared" si="5"/>
        <v>43.658585291522975</v>
      </c>
      <c r="N376" s="108">
        <v>124690</v>
      </c>
    </row>
    <row r="377" spans="1:14" ht="15.75" thickBot="1" x14ac:dyDescent="0.3">
      <c r="A377" s="44" t="s">
        <v>1423</v>
      </c>
      <c r="B377" s="107" t="s">
        <v>1424</v>
      </c>
      <c r="C377" s="78" t="s">
        <v>837</v>
      </c>
      <c r="D377" s="109">
        <v>329647</v>
      </c>
      <c r="E377" s="109">
        <v>141968</v>
      </c>
      <c r="F377" s="109">
        <v>223290</v>
      </c>
      <c r="G377" s="109">
        <v>694905</v>
      </c>
      <c r="H377" s="109">
        <v>2552863</v>
      </c>
      <c r="I377" s="109">
        <v>573625</v>
      </c>
      <c r="J377" s="109">
        <v>3126488</v>
      </c>
      <c r="K377" s="109">
        <v>738984</v>
      </c>
      <c r="L377" s="109">
        <v>4560377</v>
      </c>
      <c r="M377" s="109">
        <f t="shared" si="5"/>
        <v>45.383659252624767</v>
      </c>
      <c r="N377" s="108">
        <v>100485</v>
      </c>
    </row>
    <row r="378" spans="1:14" ht="15.75" thickBot="1" x14ac:dyDescent="0.3">
      <c r="A378" s="44" t="s">
        <v>1433</v>
      </c>
      <c r="B378" s="107" t="s">
        <v>1434</v>
      </c>
      <c r="C378" s="78" t="s">
        <v>837</v>
      </c>
      <c r="D378" s="109">
        <v>144379</v>
      </c>
      <c r="E378" s="109">
        <v>61725</v>
      </c>
      <c r="F378" s="109">
        <v>93165</v>
      </c>
      <c r="G378" s="109">
        <v>299269</v>
      </c>
      <c r="H378" s="109">
        <v>997444</v>
      </c>
      <c r="I378" s="109">
        <v>233320</v>
      </c>
      <c r="J378" s="109">
        <v>1230764</v>
      </c>
      <c r="K378" s="109">
        <v>465538</v>
      </c>
      <c r="L378" s="109">
        <v>1995571</v>
      </c>
      <c r="M378" s="109">
        <f t="shared" si="5"/>
        <v>34.865661471800962</v>
      </c>
      <c r="N378" s="108">
        <v>57236</v>
      </c>
    </row>
    <row r="379" spans="1:14" ht="15.75" thickBot="1" x14ac:dyDescent="0.3">
      <c r="A379" s="44" t="s">
        <v>1439</v>
      </c>
      <c r="B379" s="107" t="s">
        <v>1440</v>
      </c>
      <c r="C379" s="78" t="s">
        <v>837</v>
      </c>
      <c r="D379" s="109">
        <v>268555</v>
      </c>
      <c r="E379" s="109">
        <v>91314</v>
      </c>
      <c r="F379" s="109">
        <v>149042</v>
      </c>
      <c r="G379" s="109">
        <v>508911</v>
      </c>
      <c r="H379" s="109">
        <v>2521271</v>
      </c>
      <c r="I379" s="109">
        <v>724178</v>
      </c>
      <c r="J379" s="109">
        <v>3245449</v>
      </c>
      <c r="K379" s="109">
        <v>1134595</v>
      </c>
      <c r="L379" s="109">
        <v>4888955</v>
      </c>
      <c r="M379" s="109">
        <f t="shared" si="5"/>
        <v>30.496500573880933</v>
      </c>
      <c r="N379" s="108">
        <v>160312</v>
      </c>
    </row>
    <row r="380" spans="1:14" ht="15.75" thickBot="1" x14ac:dyDescent="0.3">
      <c r="A380" s="44" t="s">
        <v>1441</v>
      </c>
      <c r="B380" s="107" t="s">
        <v>1442</v>
      </c>
      <c r="C380" s="78" t="s">
        <v>837</v>
      </c>
      <c r="D380" s="109">
        <v>96635</v>
      </c>
      <c r="E380" s="109">
        <v>18081</v>
      </c>
      <c r="F380" s="109">
        <v>6119</v>
      </c>
      <c r="G380" s="109">
        <v>120835</v>
      </c>
      <c r="H380" s="109">
        <v>613329</v>
      </c>
      <c r="I380" s="109">
        <v>386831</v>
      </c>
      <c r="J380" s="109">
        <v>1000160</v>
      </c>
      <c r="K380" s="109">
        <v>330787</v>
      </c>
      <c r="L380" s="109">
        <v>1451782</v>
      </c>
      <c r="M380" s="109">
        <f t="shared" si="5"/>
        <v>24.311847944402579</v>
      </c>
      <c r="N380" s="108">
        <v>59715</v>
      </c>
    </row>
    <row r="381" spans="1:14" ht="15.75" thickBot="1" x14ac:dyDescent="0.3">
      <c r="A381" s="44" t="s">
        <v>1470</v>
      </c>
      <c r="B381" s="107" t="s">
        <v>1471</v>
      </c>
      <c r="C381" s="78" t="s">
        <v>837</v>
      </c>
      <c r="D381" s="109">
        <v>119135</v>
      </c>
      <c r="E381" s="109">
        <v>12621</v>
      </c>
      <c r="F381" s="109">
        <v>21664</v>
      </c>
      <c r="G381" s="109">
        <v>153420</v>
      </c>
      <c r="H381" s="109">
        <v>628129</v>
      </c>
      <c r="I381" s="109">
        <v>100813</v>
      </c>
      <c r="J381" s="109">
        <v>728942</v>
      </c>
      <c r="K381" s="109">
        <v>185498</v>
      </c>
      <c r="L381" s="109">
        <v>1067860</v>
      </c>
      <c r="M381" s="109">
        <f t="shared" si="5"/>
        <v>14.46886347623435</v>
      </c>
      <c r="N381" s="108">
        <v>73804</v>
      </c>
    </row>
    <row r="382" spans="1:14" ht="15.75" thickBot="1" x14ac:dyDescent="0.3">
      <c r="A382" s="44" t="s">
        <v>1482</v>
      </c>
      <c r="B382" s="107" t="s">
        <v>1483</v>
      </c>
      <c r="C382" s="78" t="s">
        <v>837</v>
      </c>
      <c r="D382" s="109">
        <v>239800</v>
      </c>
      <c r="E382" s="109">
        <v>109000</v>
      </c>
      <c r="F382" s="109">
        <v>103000</v>
      </c>
      <c r="G382" s="109">
        <v>451800</v>
      </c>
      <c r="H382" s="109">
        <v>2037725</v>
      </c>
      <c r="I382" s="109">
        <v>1550705</v>
      </c>
      <c r="J382" s="109">
        <v>3588430</v>
      </c>
      <c r="K382" s="109">
        <v>1585603</v>
      </c>
      <c r="L382" s="109">
        <v>5625833</v>
      </c>
      <c r="M382" s="109">
        <f t="shared" si="5"/>
        <v>74.205727174400508</v>
      </c>
      <c r="N382" s="108">
        <v>75814</v>
      </c>
    </row>
    <row r="383" spans="1:14" ht="15.75" thickBot="1" x14ac:dyDescent="0.3">
      <c r="A383" s="44" t="s">
        <v>1496</v>
      </c>
      <c r="B383" s="107" t="s">
        <v>1497</v>
      </c>
      <c r="C383" s="78" t="s">
        <v>837</v>
      </c>
      <c r="D383" s="109">
        <v>172617</v>
      </c>
      <c r="E383" s="109">
        <v>47874</v>
      </c>
      <c r="F383" s="109">
        <v>26249</v>
      </c>
      <c r="G383" s="109">
        <v>246740</v>
      </c>
      <c r="H383" s="109">
        <v>1419258</v>
      </c>
      <c r="I383" s="109">
        <v>788960</v>
      </c>
      <c r="J383" s="109">
        <v>2208218</v>
      </c>
      <c r="K383" s="109">
        <v>264266</v>
      </c>
      <c r="L383" s="109">
        <v>2719224</v>
      </c>
      <c r="M383" s="109">
        <f t="shared" si="5"/>
        <v>20.965651238637154</v>
      </c>
      <c r="N383" s="108">
        <v>129699</v>
      </c>
    </row>
    <row r="384" spans="1:14" ht="15.75" thickBot="1" x14ac:dyDescent="0.3">
      <c r="A384" s="44" t="s">
        <v>1512</v>
      </c>
      <c r="B384" s="107" t="s">
        <v>1513</v>
      </c>
      <c r="C384" s="78" t="s">
        <v>837</v>
      </c>
      <c r="D384" s="109">
        <v>53994</v>
      </c>
      <c r="E384" s="109">
        <v>14452</v>
      </c>
      <c r="F384" s="109">
        <v>26293</v>
      </c>
      <c r="G384" s="109">
        <v>94739</v>
      </c>
      <c r="H384" s="109">
        <v>445623</v>
      </c>
      <c r="I384" s="109">
        <v>109765</v>
      </c>
      <c r="J384" s="109">
        <v>555388</v>
      </c>
      <c r="K384" s="109">
        <v>361487</v>
      </c>
      <c r="L384" s="109">
        <v>1011614</v>
      </c>
      <c r="M384" s="109">
        <f t="shared" si="5"/>
        <v>16.024045239264385</v>
      </c>
      <c r="N384" s="108">
        <v>63131</v>
      </c>
    </row>
    <row r="385" spans="1:14" ht="15.75" thickBot="1" x14ac:dyDescent="0.3">
      <c r="A385" s="44" t="s">
        <v>1538</v>
      </c>
      <c r="B385" s="107" t="s">
        <v>1539</v>
      </c>
      <c r="C385" s="78" t="s">
        <v>837</v>
      </c>
      <c r="D385" s="109">
        <v>276132</v>
      </c>
      <c r="E385" s="109">
        <v>81190</v>
      </c>
      <c r="F385" s="109">
        <v>215516</v>
      </c>
      <c r="G385" s="109">
        <v>572838</v>
      </c>
      <c r="H385" s="109">
        <v>2253432</v>
      </c>
      <c r="I385" s="109">
        <v>973642</v>
      </c>
      <c r="J385" s="109">
        <v>3227074</v>
      </c>
      <c r="K385" s="109">
        <v>1210528</v>
      </c>
      <c r="L385" s="109">
        <v>5010440</v>
      </c>
      <c r="M385" s="109">
        <f t="shared" si="5"/>
        <v>51.444001807055734</v>
      </c>
      <c r="N385" s="108">
        <v>97396</v>
      </c>
    </row>
    <row r="386" spans="1:14" ht="15.75" thickBot="1" x14ac:dyDescent="0.3">
      <c r="A386" s="44" t="s">
        <v>1540</v>
      </c>
      <c r="B386" s="107" t="s">
        <v>1541</v>
      </c>
      <c r="C386" s="78" t="s">
        <v>837</v>
      </c>
      <c r="D386" s="109">
        <v>79248</v>
      </c>
      <c r="E386" s="109">
        <v>4456</v>
      </c>
      <c r="F386" s="109">
        <v>17740</v>
      </c>
      <c r="G386" s="109">
        <v>101444</v>
      </c>
      <c r="H386" s="109">
        <v>344257</v>
      </c>
      <c r="I386" s="109">
        <v>110730</v>
      </c>
      <c r="J386" s="109">
        <v>454987</v>
      </c>
      <c r="K386" s="109">
        <v>304742</v>
      </c>
      <c r="L386" s="109">
        <v>861173</v>
      </c>
      <c r="M386" s="109">
        <f t="shared" si="5"/>
        <v>11.841335973379534</v>
      </c>
      <c r="N386" s="108">
        <v>72726</v>
      </c>
    </row>
    <row r="387" spans="1:14" ht="15.75" thickBot="1" x14ac:dyDescent="0.3">
      <c r="A387" s="44" t="s">
        <v>1542</v>
      </c>
      <c r="B387" s="107" t="s">
        <v>1543</v>
      </c>
      <c r="C387" s="78" t="s">
        <v>837</v>
      </c>
      <c r="D387" s="109">
        <v>277500</v>
      </c>
      <c r="E387" s="109">
        <v>121500</v>
      </c>
      <c r="F387" s="109">
        <v>196000</v>
      </c>
      <c r="G387" s="109">
        <v>595000</v>
      </c>
      <c r="H387" s="109">
        <v>1576116</v>
      </c>
      <c r="I387" s="109">
        <v>514969</v>
      </c>
      <c r="J387" s="109">
        <v>2091085</v>
      </c>
      <c r="K387" s="109">
        <v>1424159</v>
      </c>
      <c r="L387" s="109">
        <v>4110244</v>
      </c>
      <c r="M387" s="109">
        <f t="shared" si="5"/>
        <v>50.756285502593229</v>
      </c>
      <c r="N387" s="108">
        <v>80980</v>
      </c>
    </row>
    <row r="388" spans="1:14" ht="15.75" thickBot="1" x14ac:dyDescent="0.3">
      <c r="A388" s="44" t="s">
        <v>1564</v>
      </c>
      <c r="B388" s="107" t="s">
        <v>1565</v>
      </c>
      <c r="C388" s="78" t="s">
        <v>837</v>
      </c>
      <c r="D388" s="109">
        <v>201855</v>
      </c>
      <c r="E388" s="109">
        <v>52940</v>
      </c>
      <c r="F388" s="109">
        <v>42428</v>
      </c>
      <c r="G388" s="109">
        <v>297223</v>
      </c>
      <c r="H388" s="109">
        <v>1463185</v>
      </c>
      <c r="I388" s="109">
        <v>1224525</v>
      </c>
      <c r="J388" s="109">
        <v>2687710</v>
      </c>
      <c r="K388" s="109">
        <v>959009</v>
      </c>
      <c r="L388" s="109">
        <v>3943942</v>
      </c>
      <c r="M388" s="109">
        <f t="shared" ref="M388:M393" si="6">L388/N388</f>
        <v>29.42010801456108</v>
      </c>
      <c r="N388" s="108">
        <v>134056</v>
      </c>
    </row>
    <row r="389" spans="1:14" ht="15.75" thickBot="1" x14ac:dyDescent="0.3">
      <c r="A389" s="44" t="s">
        <v>1566</v>
      </c>
      <c r="B389" s="107" t="s">
        <v>1567</v>
      </c>
      <c r="C389" s="78" t="s">
        <v>837</v>
      </c>
      <c r="D389" s="109">
        <v>99754</v>
      </c>
      <c r="E389" s="109">
        <v>12700</v>
      </c>
      <c r="F389" s="109">
        <v>74320</v>
      </c>
      <c r="G389" s="109">
        <v>186774</v>
      </c>
      <c r="H389" s="109">
        <v>1061694</v>
      </c>
      <c r="I389" s="109">
        <v>409389</v>
      </c>
      <c r="J389" s="109">
        <v>1471083</v>
      </c>
      <c r="K389" s="109">
        <v>334220</v>
      </c>
      <c r="L389" s="109">
        <v>1992077</v>
      </c>
      <c r="M389" s="109">
        <f t="shared" si="6"/>
        <v>27.668888981485338</v>
      </c>
      <c r="N389" s="108">
        <v>71997</v>
      </c>
    </row>
    <row r="390" spans="1:14" ht="15.75" thickBot="1" x14ac:dyDescent="0.3">
      <c r="A390" s="44" t="s">
        <v>1574</v>
      </c>
      <c r="B390" s="107" t="s">
        <v>1575</v>
      </c>
      <c r="C390" s="78" t="s">
        <v>837</v>
      </c>
      <c r="D390" s="109">
        <v>485368</v>
      </c>
      <c r="E390" s="109">
        <v>232796</v>
      </c>
      <c r="F390" s="109">
        <v>528686</v>
      </c>
      <c r="G390" s="109">
        <v>1246850</v>
      </c>
      <c r="H390" s="109">
        <v>1857248</v>
      </c>
      <c r="I390" s="109">
        <v>425134</v>
      </c>
      <c r="J390" s="109">
        <v>2282382</v>
      </c>
      <c r="K390" s="109">
        <v>1311017</v>
      </c>
      <c r="L390" s="109">
        <v>4840249</v>
      </c>
      <c r="M390" s="109">
        <f t="shared" si="6"/>
        <v>67.455215664413629</v>
      </c>
      <c r="N390" s="108">
        <v>71755</v>
      </c>
    </row>
    <row r="391" spans="1:14" ht="15.75" thickBot="1" x14ac:dyDescent="0.3">
      <c r="A391" s="44" t="s">
        <v>1594</v>
      </c>
      <c r="B391" s="107" t="s">
        <v>1595</v>
      </c>
      <c r="C391" s="78" t="s">
        <v>837</v>
      </c>
      <c r="D391" s="109">
        <v>608290</v>
      </c>
      <c r="E391" s="109">
        <v>141273</v>
      </c>
      <c r="F391" s="109">
        <v>237963</v>
      </c>
      <c r="G391" s="109">
        <v>987526</v>
      </c>
      <c r="H391" s="109">
        <v>2398917</v>
      </c>
      <c r="I391" s="109">
        <v>1020198</v>
      </c>
      <c r="J391" s="109">
        <v>3419115</v>
      </c>
      <c r="K391" s="109">
        <v>1543663</v>
      </c>
      <c r="L391" s="109">
        <v>5950304</v>
      </c>
      <c r="M391" s="109">
        <f t="shared" si="6"/>
        <v>66.277236324753005</v>
      </c>
      <c r="N391" s="108">
        <v>89779</v>
      </c>
    </row>
    <row r="392" spans="1:14" ht="15.75" thickBot="1" x14ac:dyDescent="0.3">
      <c r="A392" s="44" t="s">
        <v>1596</v>
      </c>
      <c r="B392" s="107" t="s">
        <v>1597</v>
      </c>
      <c r="C392" s="78" t="s">
        <v>837</v>
      </c>
      <c r="D392" s="109">
        <v>159187</v>
      </c>
      <c r="E392" s="109">
        <v>27500</v>
      </c>
      <c r="F392" s="109">
        <v>78000</v>
      </c>
      <c r="G392" s="109">
        <v>264687</v>
      </c>
      <c r="H392" s="109">
        <v>1393525</v>
      </c>
      <c r="I392" s="109">
        <v>449616</v>
      </c>
      <c r="J392" s="109">
        <v>1843141</v>
      </c>
      <c r="K392" s="109">
        <v>772217</v>
      </c>
      <c r="L392" s="109">
        <v>2880045</v>
      </c>
      <c r="M392" s="109">
        <f t="shared" si="6"/>
        <v>34.247924941137299</v>
      </c>
      <c r="N392" s="108">
        <v>84094</v>
      </c>
    </row>
    <row r="393" spans="1:14" ht="15.75" thickBot="1" x14ac:dyDescent="0.3">
      <c r="A393" s="44" t="s">
        <v>1602</v>
      </c>
      <c r="B393" s="107" t="s">
        <v>1603</v>
      </c>
      <c r="C393" s="78" t="s">
        <v>837</v>
      </c>
      <c r="D393" s="109">
        <v>177465</v>
      </c>
      <c r="E393" s="109">
        <v>92855</v>
      </c>
      <c r="F393" s="109">
        <v>125932</v>
      </c>
      <c r="G393" s="109">
        <v>396252</v>
      </c>
      <c r="H393" s="109">
        <v>1997448</v>
      </c>
      <c r="I393" s="109">
        <v>624569</v>
      </c>
      <c r="J393" s="109">
        <v>2622017</v>
      </c>
      <c r="K393" s="109">
        <v>984285</v>
      </c>
      <c r="L393" s="109">
        <v>4002554</v>
      </c>
      <c r="M393" s="109">
        <f t="shared" si="6"/>
        <v>48.238653072046667</v>
      </c>
      <c r="N393" s="108">
        <v>82974</v>
      </c>
    </row>
    <row r="394" spans="1:14" ht="18.75" thickBot="1" x14ac:dyDescent="0.3">
      <c r="B394" s="169" t="s">
        <v>3450</v>
      </c>
      <c r="C394" s="182">
        <f>SUBTOTAL(103,Table7[Library Class])</f>
        <v>390</v>
      </c>
    </row>
    <row r="395" spans="1:14" ht="16.5" thickBot="1" x14ac:dyDescent="0.3">
      <c r="C395" s="180" t="s">
        <v>3464</v>
      </c>
      <c r="D395" s="183">
        <f>SUBTOTAL(109,Table7[Print Materials Expenditure])</f>
        <v>25024172.829999998</v>
      </c>
      <c r="E395" s="183">
        <f>SUBTOTAL(109,Table7[Other Materials Expenditure])</f>
        <v>10144678.82</v>
      </c>
      <c r="F395" s="183">
        <f>SUBTOTAL(109,Table7[Electronic Materials Expenditure])</f>
        <v>12980751.48</v>
      </c>
      <c r="G395" s="183">
        <f>SUBTOTAL(109,Table7[Total Collection Expenditures])</f>
        <v>48149603.130000003</v>
      </c>
      <c r="H395" s="183">
        <f>SUBTOTAL(109,Table7[Salaries and Wages])</f>
        <v>197281923.13999999</v>
      </c>
      <c r="I395" s="183">
        <f>SUBTOTAL(109,Table7[Employee Benefits])</f>
        <v>67545729.269999996</v>
      </c>
      <c r="J395" s="183">
        <f>SUBTOTAL(109,Table7[Total Staff Expenditures])</f>
        <v>264827652.41000003</v>
      </c>
      <c r="K395" s="183">
        <f>SUBTOTAL(109,Table7[Other Operating Expenditures])</f>
        <v>114107857.97</v>
      </c>
      <c r="L395" s="183">
        <f>SUBTOTAL(109,Table7[Total Operating Expenditures])</f>
        <v>427085113.50999999</v>
      </c>
      <c r="M395" s="183"/>
      <c r="N395" s="184">
        <f>SUBTOTAL(109,Table7[Total Population Served])</f>
        <v>9838063</v>
      </c>
    </row>
    <row r="396" spans="1:14" ht="16.5" thickBot="1" x14ac:dyDescent="0.3">
      <c r="C396" s="180" t="s">
        <v>3465</v>
      </c>
      <c r="D396" s="183">
        <f>SUBTOTAL(101,Table7[Print Materials Expenditure])</f>
        <v>64164.545717948713</v>
      </c>
      <c r="E396" s="183">
        <f>SUBTOTAL(101,Table7[Other Materials Expenditure])</f>
        <v>26011.996974358975</v>
      </c>
      <c r="F396" s="183">
        <f>SUBTOTAL(101,Table7[Electronic Materials Expenditure])</f>
        <v>33283.978153846154</v>
      </c>
      <c r="G396" s="183">
        <f>SUBTOTAL(101,Table7[Total Collection Expenditures])</f>
        <v>123460.52084615386</v>
      </c>
      <c r="H396" s="183">
        <f>SUBTOTAL(101,Table7[Salaries and Wages])</f>
        <v>505851.08497435896</v>
      </c>
      <c r="I396" s="183">
        <f>SUBTOTAL(101,Table7[Employee Benefits])</f>
        <v>173194.1776153846</v>
      </c>
      <c r="J396" s="183">
        <f>SUBTOTAL(101,Table7[Total Staff Expenditures])</f>
        <v>679045.26258974371</v>
      </c>
      <c r="K396" s="183">
        <f>SUBTOTAL(101,Table7[Other Operating Expenditures])</f>
        <v>292584.25120512821</v>
      </c>
      <c r="L396" s="183">
        <f>SUBTOTAL(101,Table7[Total Operating Expenditures])</f>
        <v>1095090.0346410256</v>
      </c>
      <c r="M396" s="183">
        <f>SUBTOTAL(101,Table7[Total Operating Expenditures Per Capita])</f>
        <v>37.550297019576369</v>
      </c>
      <c r="N396" s="184">
        <f>SUBTOTAL(101,Table7[Total Population Served])</f>
        <v>25225.802564102563</v>
      </c>
    </row>
  </sheetData>
  <sortState xmlns:xlrd2="http://schemas.microsoft.com/office/spreadsheetml/2017/richdata2" ref="A4:N393">
    <sortCondition ref="C4:C393"/>
    <sortCondition ref="B4:B393"/>
  </sortState>
  <hyperlinks>
    <hyperlink ref="G1" location="'Table of Contents'!A1" display="Return to Table of Contents" xr:uid="{8DADF921-3049-48EA-8669-5044D6ACA4B3}"/>
  </hyperlinks>
  <pageMargins left="0.7" right="0.7" top="0.75" bottom="0.75" header="0.3" footer="0.3"/>
  <pageSetup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7EC6A-1290-4AC0-BC06-64EB3B5301BB}">
  <sheetPr>
    <tabColor theme="3" tint="0.59999389629810485"/>
  </sheetPr>
  <dimension ref="A1:N396"/>
  <sheetViews>
    <sheetView workbookViewId="0">
      <pane ySplit="3" topLeftCell="A4" activePane="bottomLeft" state="frozen"/>
      <selection pane="bottomLeft" activeCell="B3" sqref="B3"/>
    </sheetView>
  </sheetViews>
  <sheetFormatPr defaultRowHeight="15" x14ac:dyDescent="0.25"/>
  <cols>
    <col min="1" max="1" width="15.28515625" customWidth="1"/>
    <col min="2" max="2" width="49" bestFit="1" customWidth="1"/>
    <col min="3" max="3" width="25.85546875" bestFit="1" customWidth="1"/>
    <col min="4" max="4" width="24.42578125" customWidth="1"/>
    <col min="5" max="5" width="22.140625" customWidth="1"/>
    <col min="6" max="6" width="21.28515625" customWidth="1"/>
    <col min="7" max="7" width="23.85546875" customWidth="1"/>
    <col min="8" max="8" width="22" customWidth="1"/>
    <col min="9" max="9" width="25.140625" customWidth="1"/>
    <col min="10" max="10" width="41.28515625" customWidth="1"/>
    <col min="11" max="11" width="40.28515625" customWidth="1"/>
    <col min="12" max="12" width="23.140625" customWidth="1"/>
    <col min="13" max="13" width="27.5703125" customWidth="1"/>
    <col min="14" max="14" width="27.140625" customWidth="1"/>
  </cols>
  <sheetData>
    <row r="1" spans="1:14" ht="18.75" x14ac:dyDescent="0.3">
      <c r="B1" s="56" t="s">
        <v>3449</v>
      </c>
      <c r="D1" s="54" t="s">
        <v>3462</v>
      </c>
      <c r="G1" s="55" t="s">
        <v>13</v>
      </c>
    </row>
    <row r="3" spans="1:14" s="39" customFormat="1" ht="15.75" thickBot="1" x14ac:dyDescent="0.3">
      <c r="A3" s="57" t="s">
        <v>784</v>
      </c>
      <c r="B3" s="57" t="s">
        <v>785</v>
      </c>
      <c r="C3" s="123" t="s">
        <v>786</v>
      </c>
      <c r="D3" s="123" t="s">
        <v>2958</v>
      </c>
      <c r="E3" s="123" t="s">
        <v>2959</v>
      </c>
      <c r="F3" s="123" t="s">
        <v>2960</v>
      </c>
      <c r="G3" s="123" t="s">
        <v>2961</v>
      </c>
      <c r="H3" s="123" t="s">
        <v>2962</v>
      </c>
      <c r="I3" s="123" t="s">
        <v>1604</v>
      </c>
      <c r="J3" s="123" t="s">
        <v>2963</v>
      </c>
      <c r="K3" s="123" t="s">
        <v>2964</v>
      </c>
      <c r="L3" s="123" t="s">
        <v>2965</v>
      </c>
      <c r="M3" s="123" t="s">
        <v>2966</v>
      </c>
      <c r="N3" s="123" t="s">
        <v>2967</v>
      </c>
    </row>
    <row r="4" spans="1:14" ht="15.75" thickBot="1" x14ac:dyDescent="0.3">
      <c r="A4" s="44" t="s">
        <v>815</v>
      </c>
      <c r="B4" s="107" t="s">
        <v>816</v>
      </c>
      <c r="C4" s="118" t="s">
        <v>817</v>
      </c>
      <c r="D4" s="119">
        <v>0</v>
      </c>
      <c r="E4" s="119">
        <v>0</v>
      </c>
      <c r="F4" s="119">
        <v>0</v>
      </c>
      <c r="G4" s="119">
        <v>0</v>
      </c>
      <c r="H4" s="119">
        <v>0</v>
      </c>
      <c r="I4" s="120">
        <v>1285</v>
      </c>
      <c r="J4" s="119">
        <v>0</v>
      </c>
      <c r="K4" s="119">
        <v>0</v>
      </c>
      <c r="L4" s="119">
        <v>0</v>
      </c>
      <c r="M4" s="119">
        <v>0</v>
      </c>
      <c r="N4" s="119">
        <v>0</v>
      </c>
    </row>
    <row r="5" spans="1:14" ht="15.75" thickBot="1" x14ac:dyDescent="0.3">
      <c r="A5" s="44" t="s">
        <v>840</v>
      </c>
      <c r="B5" s="107" t="s">
        <v>841</v>
      </c>
      <c r="C5" s="118" t="s">
        <v>817</v>
      </c>
      <c r="D5" s="119">
        <v>0</v>
      </c>
      <c r="E5" s="119">
        <v>2250</v>
      </c>
      <c r="F5" s="119">
        <v>500</v>
      </c>
      <c r="G5" s="119">
        <v>0</v>
      </c>
      <c r="H5" s="119">
        <v>2750</v>
      </c>
      <c r="I5" s="120">
        <v>3248</v>
      </c>
      <c r="J5" s="119">
        <v>1000</v>
      </c>
      <c r="K5" s="119">
        <v>500</v>
      </c>
      <c r="L5" s="119">
        <v>24000</v>
      </c>
      <c r="M5" s="119">
        <v>0</v>
      </c>
      <c r="N5" s="119">
        <v>25500</v>
      </c>
    </row>
    <row r="6" spans="1:14" ht="15.75" thickBot="1" x14ac:dyDescent="0.3">
      <c r="A6" s="44" t="s">
        <v>863</v>
      </c>
      <c r="B6" s="107" t="s">
        <v>864</v>
      </c>
      <c r="C6" s="118" t="s">
        <v>817</v>
      </c>
      <c r="D6" s="119">
        <v>0</v>
      </c>
      <c r="E6" s="119">
        <v>0</v>
      </c>
      <c r="F6" s="119">
        <v>0</v>
      </c>
      <c r="G6" s="119">
        <v>0</v>
      </c>
      <c r="H6" s="119">
        <v>0</v>
      </c>
      <c r="I6" s="120">
        <v>657</v>
      </c>
      <c r="J6" s="121">
        <v>0</v>
      </c>
      <c r="K6" s="121">
        <v>0</v>
      </c>
      <c r="L6" s="119">
        <v>4594</v>
      </c>
      <c r="M6" s="121">
        <v>0</v>
      </c>
      <c r="N6" s="119">
        <v>4594</v>
      </c>
    </row>
    <row r="7" spans="1:14" ht="15.75" thickBot="1" x14ac:dyDescent="0.3">
      <c r="A7" s="44" t="s">
        <v>865</v>
      </c>
      <c r="B7" s="107" t="s">
        <v>866</v>
      </c>
      <c r="C7" s="118" t="s">
        <v>817</v>
      </c>
      <c r="D7" s="119">
        <v>0</v>
      </c>
      <c r="E7" s="119">
        <v>0</v>
      </c>
      <c r="F7" s="119">
        <v>0</v>
      </c>
      <c r="G7" s="119">
        <v>0</v>
      </c>
      <c r="H7" s="119">
        <v>0</v>
      </c>
      <c r="I7" s="120">
        <v>3769</v>
      </c>
      <c r="J7" s="119">
        <v>650</v>
      </c>
      <c r="K7" s="119">
        <v>2260</v>
      </c>
      <c r="L7" s="119">
        <v>0</v>
      </c>
      <c r="M7" s="119">
        <v>0</v>
      </c>
      <c r="N7" s="119">
        <v>2910</v>
      </c>
    </row>
    <row r="8" spans="1:14" ht="15.75" thickBot="1" x14ac:dyDescent="0.3">
      <c r="A8" s="44" t="s">
        <v>869</v>
      </c>
      <c r="B8" s="107" t="s">
        <v>870</v>
      </c>
      <c r="C8" s="118" t="s">
        <v>817</v>
      </c>
      <c r="D8" s="119">
        <v>0</v>
      </c>
      <c r="E8" s="119">
        <v>0</v>
      </c>
      <c r="F8" s="119">
        <v>0</v>
      </c>
      <c r="G8" s="119">
        <v>0</v>
      </c>
      <c r="H8" s="119">
        <v>0</v>
      </c>
      <c r="I8" s="120">
        <v>3150</v>
      </c>
      <c r="J8" s="119">
        <v>0</v>
      </c>
      <c r="K8" s="119">
        <v>0</v>
      </c>
      <c r="L8" s="119">
        <v>0</v>
      </c>
      <c r="M8" s="119">
        <v>0</v>
      </c>
      <c r="N8" s="119">
        <v>0</v>
      </c>
    </row>
    <row r="9" spans="1:14" ht="15.75" thickBot="1" x14ac:dyDescent="0.3">
      <c r="A9" s="44" t="s">
        <v>873</v>
      </c>
      <c r="B9" s="107" t="s">
        <v>874</v>
      </c>
      <c r="C9" s="118" t="s">
        <v>817</v>
      </c>
      <c r="D9" s="119">
        <v>0</v>
      </c>
      <c r="E9" s="119">
        <v>0</v>
      </c>
      <c r="F9" s="119">
        <v>0</v>
      </c>
      <c r="G9" s="119">
        <v>0</v>
      </c>
      <c r="H9" s="119">
        <v>0</v>
      </c>
      <c r="I9" s="120">
        <v>3811</v>
      </c>
      <c r="J9" s="121">
        <v>0</v>
      </c>
      <c r="K9" s="121">
        <v>0</v>
      </c>
      <c r="L9" s="119">
        <v>11916</v>
      </c>
      <c r="M9" s="121">
        <v>0</v>
      </c>
      <c r="N9" s="119">
        <v>11916</v>
      </c>
    </row>
    <row r="10" spans="1:14" ht="15.75" thickBot="1" x14ac:dyDescent="0.3">
      <c r="A10" s="44" t="s">
        <v>875</v>
      </c>
      <c r="B10" s="107" t="s">
        <v>876</v>
      </c>
      <c r="C10" s="118" t="s">
        <v>817</v>
      </c>
      <c r="D10" s="119">
        <v>0</v>
      </c>
      <c r="E10" s="119">
        <v>0</v>
      </c>
      <c r="F10" s="119">
        <v>0</v>
      </c>
      <c r="G10" s="119">
        <v>0</v>
      </c>
      <c r="H10" s="119">
        <v>0</v>
      </c>
      <c r="I10" s="120">
        <v>3623</v>
      </c>
      <c r="J10" s="119">
        <v>0</v>
      </c>
      <c r="K10" s="119">
        <v>0</v>
      </c>
      <c r="L10" s="119">
        <v>0</v>
      </c>
      <c r="M10" s="119">
        <v>0</v>
      </c>
      <c r="N10" s="119">
        <v>0</v>
      </c>
    </row>
    <row r="11" spans="1:14" ht="15.75" thickBot="1" x14ac:dyDescent="0.3">
      <c r="A11" s="44" t="s">
        <v>883</v>
      </c>
      <c r="B11" s="107" t="s">
        <v>884</v>
      </c>
      <c r="C11" s="118" t="s">
        <v>817</v>
      </c>
      <c r="D11" s="119">
        <v>0</v>
      </c>
      <c r="E11" s="119">
        <v>0</v>
      </c>
      <c r="F11" s="119">
        <v>0</v>
      </c>
      <c r="G11" s="119">
        <v>0</v>
      </c>
      <c r="H11" s="119">
        <v>0</v>
      </c>
      <c r="I11" s="120">
        <v>2937</v>
      </c>
      <c r="J11" s="119">
        <v>2704</v>
      </c>
      <c r="K11" s="119">
        <v>678</v>
      </c>
      <c r="L11" s="119">
        <v>0</v>
      </c>
      <c r="M11" s="119">
        <v>0</v>
      </c>
      <c r="N11" s="119">
        <v>3382</v>
      </c>
    </row>
    <row r="12" spans="1:14" ht="15.75" thickBot="1" x14ac:dyDescent="0.3">
      <c r="A12" s="44" t="s">
        <v>915</v>
      </c>
      <c r="B12" s="107" t="s">
        <v>916</v>
      </c>
      <c r="C12" s="118" t="s">
        <v>817</v>
      </c>
      <c r="D12" s="119">
        <v>0</v>
      </c>
      <c r="E12" s="119">
        <v>0</v>
      </c>
      <c r="F12" s="119">
        <v>0</v>
      </c>
      <c r="G12" s="119">
        <v>0</v>
      </c>
      <c r="H12" s="119">
        <v>0</v>
      </c>
      <c r="I12" s="120">
        <v>2611</v>
      </c>
      <c r="J12" s="119">
        <v>0</v>
      </c>
      <c r="K12" s="119">
        <v>0</v>
      </c>
      <c r="L12" s="119">
        <v>0</v>
      </c>
      <c r="M12" s="119">
        <v>0</v>
      </c>
      <c r="N12" s="119">
        <v>0</v>
      </c>
    </row>
    <row r="13" spans="1:14" ht="15.75" thickBot="1" x14ac:dyDescent="0.3">
      <c r="A13" s="44" t="s">
        <v>929</v>
      </c>
      <c r="B13" s="107" t="s">
        <v>930</v>
      </c>
      <c r="C13" s="118" t="s">
        <v>817</v>
      </c>
      <c r="D13" s="119">
        <v>0</v>
      </c>
      <c r="E13" s="119">
        <v>0</v>
      </c>
      <c r="F13" s="119">
        <v>0</v>
      </c>
      <c r="G13" s="119">
        <v>0</v>
      </c>
      <c r="H13" s="119">
        <v>0</v>
      </c>
      <c r="I13" s="120">
        <v>722</v>
      </c>
      <c r="J13" s="119">
        <v>0</v>
      </c>
      <c r="K13" s="119">
        <v>1538</v>
      </c>
      <c r="L13" s="119">
        <v>0</v>
      </c>
      <c r="M13" s="119">
        <v>0</v>
      </c>
      <c r="N13" s="119">
        <v>1538</v>
      </c>
    </row>
    <row r="14" spans="1:14" ht="15.75" thickBot="1" x14ac:dyDescent="0.3">
      <c r="A14" s="44" t="s">
        <v>939</v>
      </c>
      <c r="B14" s="107" t="s">
        <v>940</v>
      </c>
      <c r="C14" s="118" t="s">
        <v>817</v>
      </c>
      <c r="D14" s="119">
        <v>0</v>
      </c>
      <c r="E14" s="119">
        <v>0</v>
      </c>
      <c r="F14" s="119">
        <v>0</v>
      </c>
      <c r="G14" s="119">
        <v>0</v>
      </c>
      <c r="H14" s="119">
        <v>0</v>
      </c>
      <c r="I14" s="120">
        <v>3995</v>
      </c>
      <c r="J14" s="119">
        <v>0</v>
      </c>
      <c r="K14" s="119">
        <v>0</v>
      </c>
      <c r="L14" s="119">
        <v>0</v>
      </c>
      <c r="M14" s="119">
        <v>0</v>
      </c>
      <c r="N14" s="119">
        <v>0</v>
      </c>
    </row>
    <row r="15" spans="1:14" ht="15.75" thickBot="1" x14ac:dyDescent="0.3">
      <c r="A15" s="44" t="s">
        <v>947</v>
      </c>
      <c r="B15" s="107" t="s">
        <v>948</v>
      </c>
      <c r="C15" s="118" t="s">
        <v>817</v>
      </c>
      <c r="D15" s="119">
        <v>0</v>
      </c>
      <c r="E15" s="119">
        <v>0</v>
      </c>
      <c r="F15" s="119">
        <v>0</v>
      </c>
      <c r="G15" s="119">
        <v>2500</v>
      </c>
      <c r="H15" s="119">
        <v>2500</v>
      </c>
      <c r="I15" s="120">
        <v>1854</v>
      </c>
      <c r="J15" s="119">
        <v>0</v>
      </c>
      <c r="K15" s="119">
        <v>799</v>
      </c>
      <c r="L15" s="119">
        <v>0</v>
      </c>
      <c r="M15" s="119">
        <v>20050</v>
      </c>
      <c r="N15" s="119">
        <v>20849</v>
      </c>
    </row>
    <row r="16" spans="1:14" ht="15.75" thickBot="1" x14ac:dyDescent="0.3">
      <c r="A16" s="44" t="s">
        <v>959</v>
      </c>
      <c r="B16" s="107" t="s">
        <v>960</v>
      </c>
      <c r="C16" s="118" t="s">
        <v>817</v>
      </c>
      <c r="D16" s="119">
        <v>0</v>
      </c>
      <c r="E16" s="119">
        <v>0</v>
      </c>
      <c r="F16" s="119">
        <v>0</v>
      </c>
      <c r="G16" s="119">
        <v>0</v>
      </c>
      <c r="H16" s="119">
        <v>0</v>
      </c>
      <c r="I16" s="120">
        <v>3604</v>
      </c>
      <c r="J16" s="119">
        <v>0</v>
      </c>
      <c r="K16" s="119">
        <v>0</v>
      </c>
      <c r="L16" s="119">
        <v>0</v>
      </c>
      <c r="M16" s="119">
        <v>0</v>
      </c>
      <c r="N16" s="119">
        <v>0</v>
      </c>
    </row>
    <row r="17" spans="1:14" ht="15.75" thickBot="1" x14ac:dyDescent="0.3">
      <c r="A17" s="44" t="s">
        <v>967</v>
      </c>
      <c r="B17" s="107" t="s">
        <v>968</v>
      </c>
      <c r="C17" s="118" t="s">
        <v>817</v>
      </c>
      <c r="D17" s="119">
        <v>0</v>
      </c>
      <c r="E17" s="119">
        <v>0</v>
      </c>
      <c r="F17" s="119">
        <v>88435</v>
      </c>
      <c r="G17" s="119">
        <v>0</v>
      </c>
      <c r="H17" s="119">
        <v>88435</v>
      </c>
      <c r="I17" s="120">
        <v>3803</v>
      </c>
      <c r="J17" s="119">
        <v>0</v>
      </c>
      <c r="K17" s="119">
        <v>0</v>
      </c>
      <c r="L17" s="119">
        <v>0</v>
      </c>
      <c r="M17" s="119">
        <v>0</v>
      </c>
      <c r="N17" s="119">
        <v>0</v>
      </c>
    </row>
    <row r="18" spans="1:14" ht="15.75" thickBot="1" x14ac:dyDescent="0.3">
      <c r="A18" s="44" t="s">
        <v>969</v>
      </c>
      <c r="B18" s="107" t="s">
        <v>970</v>
      </c>
      <c r="C18" s="118" t="s">
        <v>817</v>
      </c>
      <c r="D18" s="119">
        <v>0</v>
      </c>
      <c r="E18" s="119">
        <v>0</v>
      </c>
      <c r="F18" s="119">
        <v>0</v>
      </c>
      <c r="G18" s="119">
        <v>0</v>
      </c>
      <c r="H18" s="119">
        <v>0</v>
      </c>
      <c r="I18" s="120">
        <v>2373</v>
      </c>
      <c r="J18" s="119">
        <v>0</v>
      </c>
      <c r="K18" s="119">
        <v>2580</v>
      </c>
      <c r="L18" s="119">
        <v>59346</v>
      </c>
      <c r="M18" s="119">
        <v>0</v>
      </c>
      <c r="N18" s="119">
        <v>61926</v>
      </c>
    </row>
    <row r="19" spans="1:14" ht="15.75" thickBot="1" x14ac:dyDescent="0.3">
      <c r="A19" s="44" t="s">
        <v>985</v>
      </c>
      <c r="B19" s="107" t="s">
        <v>986</v>
      </c>
      <c r="C19" s="118" t="s">
        <v>817</v>
      </c>
      <c r="D19" s="119">
        <v>0</v>
      </c>
      <c r="E19" s="119">
        <v>0</v>
      </c>
      <c r="F19" s="119">
        <v>0</v>
      </c>
      <c r="G19" s="119">
        <v>0</v>
      </c>
      <c r="H19" s="119">
        <v>0</v>
      </c>
      <c r="I19" s="120">
        <v>3953</v>
      </c>
      <c r="J19" s="119">
        <v>0</v>
      </c>
      <c r="K19" s="119">
        <v>0</v>
      </c>
      <c r="L19" s="119">
        <v>0</v>
      </c>
      <c r="M19" s="119">
        <v>0</v>
      </c>
      <c r="N19" s="119">
        <v>0</v>
      </c>
    </row>
    <row r="20" spans="1:14" ht="15.75" thickBot="1" x14ac:dyDescent="0.3">
      <c r="A20" s="44" t="s">
        <v>987</v>
      </c>
      <c r="B20" s="107" t="s">
        <v>988</v>
      </c>
      <c r="C20" s="118" t="s">
        <v>817</v>
      </c>
      <c r="D20" s="119">
        <v>0</v>
      </c>
      <c r="E20" s="119">
        <v>0</v>
      </c>
      <c r="F20" s="119">
        <v>0</v>
      </c>
      <c r="G20" s="119">
        <v>0</v>
      </c>
      <c r="H20" s="119">
        <v>0</v>
      </c>
      <c r="I20" s="120">
        <v>3228</v>
      </c>
      <c r="J20" s="119">
        <v>0</v>
      </c>
      <c r="K20" s="119">
        <v>130</v>
      </c>
      <c r="L20" s="119">
        <v>1200</v>
      </c>
      <c r="M20" s="119">
        <v>0</v>
      </c>
      <c r="N20" s="119">
        <v>1330</v>
      </c>
    </row>
    <row r="21" spans="1:14" ht="15.75" thickBot="1" x14ac:dyDescent="0.3">
      <c r="A21" s="44" t="s">
        <v>989</v>
      </c>
      <c r="B21" s="107" t="s">
        <v>990</v>
      </c>
      <c r="C21" s="118" t="s">
        <v>817</v>
      </c>
      <c r="D21" s="119">
        <v>0</v>
      </c>
      <c r="E21" s="119">
        <v>0</v>
      </c>
      <c r="F21" s="119">
        <v>0</v>
      </c>
      <c r="G21" s="119">
        <v>1000</v>
      </c>
      <c r="H21" s="119">
        <v>1000</v>
      </c>
      <c r="I21" s="120">
        <v>3453</v>
      </c>
      <c r="J21" s="119">
        <v>0</v>
      </c>
      <c r="K21" s="119">
        <v>1707</v>
      </c>
      <c r="L21" s="119">
        <v>0</v>
      </c>
      <c r="M21" s="119">
        <v>0</v>
      </c>
      <c r="N21" s="119">
        <v>1707</v>
      </c>
    </row>
    <row r="22" spans="1:14" ht="15.75" thickBot="1" x14ac:dyDescent="0.3">
      <c r="A22" s="44" t="s">
        <v>991</v>
      </c>
      <c r="B22" s="107" t="s">
        <v>992</v>
      </c>
      <c r="C22" s="118" t="s">
        <v>817</v>
      </c>
      <c r="D22" s="119">
        <v>0</v>
      </c>
      <c r="E22" s="119">
        <v>0</v>
      </c>
      <c r="F22" s="119">
        <v>0</v>
      </c>
      <c r="G22" s="119">
        <v>0</v>
      </c>
      <c r="H22" s="119">
        <v>0</v>
      </c>
      <c r="I22" s="120">
        <v>1236</v>
      </c>
      <c r="J22" s="121">
        <v>0</v>
      </c>
      <c r="K22" s="121">
        <v>0</v>
      </c>
      <c r="L22" s="121">
        <v>0</v>
      </c>
      <c r="M22" s="119">
        <v>2399</v>
      </c>
      <c r="N22" s="119">
        <v>2399</v>
      </c>
    </row>
    <row r="23" spans="1:14" ht="15.75" thickBot="1" x14ac:dyDescent="0.3">
      <c r="A23" s="44" t="s">
        <v>993</v>
      </c>
      <c r="B23" s="107" t="s">
        <v>994</v>
      </c>
      <c r="C23" s="118" t="s">
        <v>817</v>
      </c>
      <c r="D23" s="119">
        <v>0</v>
      </c>
      <c r="E23" s="119">
        <v>0</v>
      </c>
      <c r="F23" s="119">
        <v>0</v>
      </c>
      <c r="G23" s="119">
        <v>0</v>
      </c>
      <c r="H23" s="119">
        <v>0</v>
      </c>
      <c r="I23" s="120">
        <v>3179</v>
      </c>
      <c r="J23" s="119">
        <v>0</v>
      </c>
      <c r="K23" s="119">
        <v>17394</v>
      </c>
      <c r="L23" s="119">
        <v>1730</v>
      </c>
      <c r="M23" s="119">
        <v>0</v>
      </c>
      <c r="N23" s="119">
        <v>19124</v>
      </c>
    </row>
    <row r="24" spans="1:14" ht="15.75" thickBot="1" x14ac:dyDescent="0.3">
      <c r="A24" s="44" t="s">
        <v>1039</v>
      </c>
      <c r="B24" s="107" t="s">
        <v>1040</v>
      </c>
      <c r="C24" s="118" t="s">
        <v>817</v>
      </c>
      <c r="D24" s="119">
        <v>0</v>
      </c>
      <c r="E24" s="119">
        <v>0</v>
      </c>
      <c r="F24" s="119">
        <v>0</v>
      </c>
      <c r="G24" s="119">
        <v>0</v>
      </c>
      <c r="H24" s="119">
        <v>0</v>
      </c>
      <c r="I24" s="120">
        <v>2769</v>
      </c>
      <c r="J24" s="119">
        <v>0</v>
      </c>
      <c r="K24" s="119">
        <v>0</v>
      </c>
      <c r="L24" s="119">
        <v>0</v>
      </c>
      <c r="M24" s="119">
        <v>0</v>
      </c>
      <c r="N24" s="119">
        <v>0</v>
      </c>
    </row>
    <row r="25" spans="1:14" ht="15.75" thickBot="1" x14ac:dyDescent="0.3">
      <c r="A25" s="44" t="s">
        <v>1041</v>
      </c>
      <c r="B25" s="107" t="s">
        <v>1042</v>
      </c>
      <c r="C25" s="118" t="s">
        <v>817</v>
      </c>
      <c r="D25" s="119">
        <v>0</v>
      </c>
      <c r="E25" s="119">
        <v>0</v>
      </c>
      <c r="F25" s="119">
        <v>0</v>
      </c>
      <c r="G25" s="119">
        <v>0</v>
      </c>
      <c r="H25" s="119">
        <v>0</v>
      </c>
      <c r="I25" s="120">
        <v>3738</v>
      </c>
      <c r="J25" s="119">
        <v>0</v>
      </c>
      <c r="K25" s="119">
        <v>0</v>
      </c>
      <c r="L25" s="119">
        <v>0</v>
      </c>
      <c r="M25" s="119">
        <v>0</v>
      </c>
      <c r="N25" s="119">
        <v>0</v>
      </c>
    </row>
    <row r="26" spans="1:14" ht="15.75" thickBot="1" x14ac:dyDescent="0.3">
      <c r="A26" s="44" t="s">
        <v>1049</v>
      </c>
      <c r="B26" s="107" t="s">
        <v>1050</v>
      </c>
      <c r="C26" s="118" t="s">
        <v>817</v>
      </c>
      <c r="D26" s="119">
        <v>0</v>
      </c>
      <c r="E26" s="119">
        <v>0</v>
      </c>
      <c r="F26" s="119">
        <v>0</v>
      </c>
      <c r="G26" s="119">
        <v>0</v>
      </c>
      <c r="H26" s="119">
        <v>0</v>
      </c>
      <c r="I26" s="120">
        <v>3112</v>
      </c>
      <c r="J26" s="119">
        <v>2925</v>
      </c>
      <c r="K26" s="119">
        <v>9195</v>
      </c>
      <c r="L26" s="119">
        <v>45505</v>
      </c>
      <c r="M26" s="119">
        <v>5487</v>
      </c>
      <c r="N26" s="119">
        <v>63112</v>
      </c>
    </row>
    <row r="27" spans="1:14" ht="15.75" thickBot="1" x14ac:dyDescent="0.3">
      <c r="A27" s="44" t="s">
        <v>1057</v>
      </c>
      <c r="B27" s="107" t="s">
        <v>1058</v>
      </c>
      <c r="C27" s="118" t="s">
        <v>817</v>
      </c>
      <c r="D27" s="119">
        <v>0</v>
      </c>
      <c r="E27" s="119">
        <v>0</v>
      </c>
      <c r="F27" s="119">
        <v>0</v>
      </c>
      <c r="G27" s="119">
        <v>0</v>
      </c>
      <c r="H27" s="119">
        <v>0</v>
      </c>
      <c r="I27" s="120">
        <v>2791</v>
      </c>
      <c r="J27" s="119">
        <v>0</v>
      </c>
      <c r="K27" s="119">
        <v>0</v>
      </c>
      <c r="L27" s="119">
        <v>0</v>
      </c>
      <c r="M27" s="121">
        <v>0</v>
      </c>
      <c r="N27" s="119">
        <v>0</v>
      </c>
    </row>
    <row r="28" spans="1:14" ht="15.75" thickBot="1" x14ac:dyDescent="0.3">
      <c r="A28" s="44" t="s">
        <v>1071</v>
      </c>
      <c r="B28" s="107" t="s">
        <v>1072</v>
      </c>
      <c r="C28" s="118" t="s">
        <v>817</v>
      </c>
      <c r="D28" s="119">
        <v>0</v>
      </c>
      <c r="E28" s="119">
        <v>0</v>
      </c>
      <c r="F28" s="119">
        <v>63133</v>
      </c>
      <c r="G28" s="119">
        <v>0</v>
      </c>
      <c r="H28" s="119">
        <v>63133</v>
      </c>
      <c r="I28" s="120">
        <v>3150</v>
      </c>
      <c r="J28" s="119">
        <v>0</v>
      </c>
      <c r="K28" s="119">
        <v>6680</v>
      </c>
      <c r="L28" s="119">
        <v>56453</v>
      </c>
      <c r="M28" s="119">
        <v>0</v>
      </c>
      <c r="N28" s="119">
        <v>63133</v>
      </c>
    </row>
    <row r="29" spans="1:14" ht="15.75" thickBot="1" x14ac:dyDescent="0.3">
      <c r="A29" s="44" t="s">
        <v>1083</v>
      </c>
      <c r="B29" s="107" t="s">
        <v>1084</v>
      </c>
      <c r="C29" s="118" t="s">
        <v>817</v>
      </c>
      <c r="D29" s="119">
        <v>0</v>
      </c>
      <c r="E29" s="119">
        <v>0</v>
      </c>
      <c r="F29" s="119">
        <v>0</v>
      </c>
      <c r="G29" s="119">
        <v>0</v>
      </c>
      <c r="H29" s="119">
        <v>0</v>
      </c>
      <c r="I29" s="120">
        <v>3043</v>
      </c>
      <c r="J29" s="119">
        <v>2887</v>
      </c>
      <c r="K29" s="119">
        <v>0</v>
      </c>
      <c r="L29" s="119">
        <v>0</v>
      </c>
      <c r="M29" s="119">
        <v>0</v>
      </c>
      <c r="N29" s="119">
        <v>2887</v>
      </c>
    </row>
    <row r="30" spans="1:14" ht="15.75" thickBot="1" x14ac:dyDescent="0.3">
      <c r="A30" s="44" t="s">
        <v>1091</v>
      </c>
      <c r="B30" s="107" t="s">
        <v>1092</v>
      </c>
      <c r="C30" s="118" t="s">
        <v>817</v>
      </c>
      <c r="D30" s="119">
        <v>0</v>
      </c>
      <c r="E30" s="119">
        <v>0</v>
      </c>
      <c r="F30" s="119">
        <v>0</v>
      </c>
      <c r="G30" s="119">
        <v>0</v>
      </c>
      <c r="H30" s="119">
        <v>0</v>
      </c>
      <c r="I30" s="120">
        <v>2047</v>
      </c>
      <c r="J30" s="119">
        <v>0</v>
      </c>
      <c r="K30" s="119">
        <v>0</v>
      </c>
      <c r="L30" s="119">
        <v>0</v>
      </c>
      <c r="M30" s="119">
        <v>0</v>
      </c>
      <c r="N30" s="119">
        <v>0</v>
      </c>
    </row>
    <row r="31" spans="1:14" ht="15.75" thickBot="1" x14ac:dyDescent="0.3">
      <c r="A31" s="44" t="s">
        <v>1099</v>
      </c>
      <c r="B31" s="107" t="s">
        <v>1100</v>
      </c>
      <c r="C31" s="118" t="s">
        <v>817</v>
      </c>
      <c r="D31" s="119">
        <v>0</v>
      </c>
      <c r="E31" s="119">
        <v>0</v>
      </c>
      <c r="F31" s="119">
        <v>40000</v>
      </c>
      <c r="G31" s="119">
        <v>632847</v>
      </c>
      <c r="H31" s="119">
        <v>672847</v>
      </c>
      <c r="I31" s="120">
        <v>3650</v>
      </c>
      <c r="J31" s="119">
        <v>0</v>
      </c>
      <c r="K31" s="119">
        <v>0</v>
      </c>
      <c r="L31" s="119">
        <v>0</v>
      </c>
      <c r="M31" s="119">
        <v>100920</v>
      </c>
      <c r="N31" s="119">
        <v>100920</v>
      </c>
    </row>
    <row r="32" spans="1:14" ht="15.75" thickBot="1" x14ac:dyDescent="0.3">
      <c r="A32" s="44" t="s">
        <v>1101</v>
      </c>
      <c r="B32" s="107" t="s">
        <v>1102</v>
      </c>
      <c r="C32" s="118" t="s">
        <v>817</v>
      </c>
      <c r="D32" s="119">
        <v>0</v>
      </c>
      <c r="E32" s="119">
        <v>1196</v>
      </c>
      <c r="F32" s="119">
        <v>0</v>
      </c>
      <c r="G32" s="119">
        <v>0</v>
      </c>
      <c r="H32" s="119">
        <v>1196</v>
      </c>
      <c r="I32" s="120">
        <v>1828</v>
      </c>
      <c r="J32" s="121">
        <v>0</v>
      </c>
      <c r="K32" s="119">
        <v>2282</v>
      </c>
      <c r="L32" s="119">
        <v>934</v>
      </c>
      <c r="M32" s="121">
        <v>0</v>
      </c>
      <c r="N32" s="119">
        <v>3216</v>
      </c>
    </row>
    <row r="33" spans="1:14" ht="15.75" thickBot="1" x14ac:dyDescent="0.3">
      <c r="A33" s="44" t="s">
        <v>1149</v>
      </c>
      <c r="B33" s="107" t="s">
        <v>1150</v>
      </c>
      <c r="C33" s="118" t="s">
        <v>817</v>
      </c>
      <c r="D33" s="119">
        <v>0</v>
      </c>
      <c r="E33" s="119">
        <v>0</v>
      </c>
      <c r="F33" s="119">
        <v>0</v>
      </c>
      <c r="G33" s="119">
        <v>0</v>
      </c>
      <c r="H33" s="119">
        <v>0</v>
      </c>
      <c r="I33" s="120">
        <v>3926</v>
      </c>
      <c r="J33" s="119">
        <v>0</v>
      </c>
      <c r="K33" s="119">
        <v>0</v>
      </c>
      <c r="L33" s="119">
        <v>0</v>
      </c>
      <c r="M33" s="119">
        <v>0</v>
      </c>
      <c r="N33" s="119">
        <v>0</v>
      </c>
    </row>
    <row r="34" spans="1:14" ht="15.75" thickBot="1" x14ac:dyDescent="0.3">
      <c r="A34" s="44" t="s">
        <v>1165</v>
      </c>
      <c r="B34" s="107" t="s">
        <v>1166</v>
      </c>
      <c r="C34" s="118" t="s">
        <v>817</v>
      </c>
      <c r="D34" s="119">
        <v>0</v>
      </c>
      <c r="E34" s="119">
        <v>0</v>
      </c>
      <c r="F34" s="119">
        <v>0</v>
      </c>
      <c r="G34" s="119">
        <v>4113</v>
      </c>
      <c r="H34" s="119">
        <v>4113</v>
      </c>
      <c r="I34" s="120">
        <v>3038</v>
      </c>
      <c r="J34" s="119">
        <v>0</v>
      </c>
      <c r="K34" s="119">
        <v>13956</v>
      </c>
      <c r="L34" s="119">
        <v>105699</v>
      </c>
      <c r="M34" s="119">
        <v>0</v>
      </c>
      <c r="N34" s="119">
        <v>119655</v>
      </c>
    </row>
    <row r="35" spans="1:14" ht="15.75" thickBot="1" x14ac:dyDescent="0.3">
      <c r="A35" s="44" t="s">
        <v>1195</v>
      </c>
      <c r="B35" s="107" t="s">
        <v>1196</v>
      </c>
      <c r="C35" s="118" t="s">
        <v>817</v>
      </c>
      <c r="D35" s="119">
        <v>0</v>
      </c>
      <c r="E35" s="119">
        <v>0</v>
      </c>
      <c r="F35" s="119">
        <v>0</v>
      </c>
      <c r="G35" s="119">
        <v>0</v>
      </c>
      <c r="H35" s="119">
        <v>0</v>
      </c>
      <c r="I35" s="120">
        <v>3730</v>
      </c>
      <c r="J35" s="119">
        <v>0</v>
      </c>
      <c r="K35" s="119">
        <v>0</v>
      </c>
      <c r="L35" s="119">
        <v>0</v>
      </c>
      <c r="M35" s="119">
        <v>0</v>
      </c>
      <c r="N35" s="119">
        <v>0</v>
      </c>
    </row>
    <row r="36" spans="1:14" ht="15.75" thickBot="1" x14ac:dyDescent="0.3">
      <c r="A36" s="44" t="s">
        <v>1203</v>
      </c>
      <c r="B36" s="107" t="s">
        <v>1204</v>
      </c>
      <c r="C36" s="118" t="s">
        <v>817</v>
      </c>
      <c r="D36" s="119">
        <v>0</v>
      </c>
      <c r="E36" s="119">
        <v>0</v>
      </c>
      <c r="F36" s="119">
        <v>0</v>
      </c>
      <c r="G36" s="119">
        <v>0</v>
      </c>
      <c r="H36" s="119">
        <v>0</v>
      </c>
      <c r="I36" s="120">
        <v>2735</v>
      </c>
      <c r="J36" s="119">
        <v>513</v>
      </c>
      <c r="K36" s="119">
        <v>446</v>
      </c>
      <c r="L36" s="119">
        <v>0</v>
      </c>
      <c r="M36" s="119">
        <v>0</v>
      </c>
      <c r="N36" s="119">
        <v>959</v>
      </c>
    </row>
    <row r="37" spans="1:14" ht="15.75" thickBot="1" x14ac:dyDescent="0.3">
      <c r="A37" s="44" t="s">
        <v>1205</v>
      </c>
      <c r="B37" s="107" t="s">
        <v>1206</v>
      </c>
      <c r="C37" s="118" t="s">
        <v>817</v>
      </c>
      <c r="D37" s="119">
        <v>0</v>
      </c>
      <c r="E37" s="119">
        <v>0</v>
      </c>
      <c r="F37" s="119">
        <v>0</v>
      </c>
      <c r="G37" s="119">
        <v>0</v>
      </c>
      <c r="H37" s="119">
        <v>0</v>
      </c>
      <c r="I37" s="120">
        <v>1900</v>
      </c>
      <c r="J37" s="119">
        <v>2500</v>
      </c>
      <c r="K37" s="119">
        <v>0</v>
      </c>
      <c r="L37" s="119">
        <v>5000</v>
      </c>
      <c r="M37" s="119">
        <v>0</v>
      </c>
      <c r="N37" s="119">
        <v>7500</v>
      </c>
    </row>
    <row r="38" spans="1:14" ht="15.75" thickBot="1" x14ac:dyDescent="0.3">
      <c r="A38" s="44" t="s">
        <v>1209</v>
      </c>
      <c r="B38" s="107" t="s">
        <v>1210</v>
      </c>
      <c r="C38" s="118" t="s">
        <v>817</v>
      </c>
      <c r="D38" s="119">
        <v>0</v>
      </c>
      <c r="E38" s="119">
        <v>0</v>
      </c>
      <c r="F38" s="119">
        <v>0</v>
      </c>
      <c r="G38" s="119">
        <v>0</v>
      </c>
      <c r="H38" s="119">
        <v>0</v>
      </c>
      <c r="I38" s="120">
        <v>2027</v>
      </c>
      <c r="J38" s="119">
        <v>0</v>
      </c>
      <c r="K38" s="119">
        <v>0</v>
      </c>
      <c r="L38" s="119">
        <v>0</v>
      </c>
      <c r="M38" s="119">
        <v>0</v>
      </c>
      <c r="N38" s="119">
        <v>0</v>
      </c>
    </row>
    <row r="39" spans="1:14" ht="15.75" thickBot="1" x14ac:dyDescent="0.3">
      <c r="A39" s="44" t="s">
        <v>1219</v>
      </c>
      <c r="B39" s="107" t="s">
        <v>1220</v>
      </c>
      <c r="C39" s="118" t="s">
        <v>817</v>
      </c>
      <c r="D39" s="119">
        <v>0</v>
      </c>
      <c r="E39" s="119">
        <v>0</v>
      </c>
      <c r="F39" s="119">
        <v>0</v>
      </c>
      <c r="G39" s="119">
        <v>0</v>
      </c>
      <c r="H39" s="119">
        <v>0</v>
      </c>
      <c r="I39" s="120">
        <v>2835</v>
      </c>
      <c r="J39" s="119">
        <v>3800</v>
      </c>
      <c r="K39" s="119">
        <v>0</v>
      </c>
      <c r="L39" s="119">
        <v>0</v>
      </c>
      <c r="M39" s="119">
        <v>0</v>
      </c>
      <c r="N39" s="119">
        <v>3800</v>
      </c>
    </row>
    <row r="40" spans="1:14" ht="15.75" thickBot="1" x14ac:dyDescent="0.3">
      <c r="A40" s="44" t="s">
        <v>1225</v>
      </c>
      <c r="B40" s="107" t="s">
        <v>1226</v>
      </c>
      <c r="C40" s="118" t="s">
        <v>817</v>
      </c>
      <c r="D40" s="119">
        <v>0</v>
      </c>
      <c r="E40" s="119">
        <v>0</v>
      </c>
      <c r="F40" s="119">
        <v>0</v>
      </c>
      <c r="G40" s="119">
        <v>0</v>
      </c>
      <c r="H40" s="119">
        <v>0</v>
      </c>
      <c r="I40" s="120">
        <v>2372</v>
      </c>
      <c r="J40" s="119">
        <v>0</v>
      </c>
      <c r="K40" s="119">
        <v>0</v>
      </c>
      <c r="L40" s="119">
        <v>26989</v>
      </c>
      <c r="M40" s="119">
        <v>0</v>
      </c>
      <c r="N40" s="119">
        <v>26989</v>
      </c>
    </row>
    <row r="41" spans="1:14" ht="15.75" thickBot="1" x14ac:dyDescent="0.3">
      <c r="A41" s="44" t="s">
        <v>1237</v>
      </c>
      <c r="B41" s="107" t="s">
        <v>1238</v>
      </c>
      <c r="C41" s="118" t="s">
        <v>817</v>
      </c>
      <c r="D41" s="119">
        <v>0</v>
      </c>
      <c r="E41" s="119">
        <v>0</v>
      </c>
      <c r="F41" s="119">
        <v>0</v>
      </c>
      <c r="G41" s="119">
        <v>0</v>
      </c>
      <c r="H41" s="119">
        <v>0</v>
      </c>
      <c r="I41" s="120">
        <v>3667</v>
      </c>
      <c r="J41" s="119">
        <v>0</v>
      </c>
      <c r="K41" s="119">
        <v>9464</v>
      </c>
      <c r="L41" s="119">
        <v>4995</v>
      </c>
      <c r="M41" s="119">
        <v>0</v>
      </c>
      <c r="N41" s="119">
        <v>14459</v>
      </c>
    </row>
    <row r="42" spans="1:14" ht="15.75" thickBot="1" x14ac:dyDescent="0.3">
      <c r="A42" s="44" t="s">
        <v>1243</v>
      </c>
      <c r="B42" s="107" t="s">
        <v>1244</v>
      </c>
      <c r="C42" s="118" t="s">
        <v>817</v>
      </c>
      <c r="D42" s="119">
        <v>0</v>
      </c>
      <c r="E42" s="119">
        <v>0</v>
      </c>
      <c r="F42" s="119">
        <v>0</v>
      </c>
      <c r="G42" s="119">
        <v>0</v>
      </c>
      <c r="H42" s="119">
        <v>0</v>
      </c>
      <c r="I42" s="120">
        <v>492</v>
      </c>
      <c r="J42" s="119">
        <v>415</v>
      </c>
      <c r="K42" s="119">
        <v>0</v>
      </c>
      <c r="L42" s="119">
        <v>0</v>
      </c>
      <c r="M42" s="119">
        <v>17867</v>
      </c>
      <c r="N42" s="119">
        <v>18282</v>
      </c>
    </row>
    <row r="43" spans="1:14" ht="15.75" thickBot="1" x14ac:dyDescent="0.3">
      <c r="A43" s="44" t="s">
        <v>1259</v>
      </c>
      <c r="B43" s="107" t="s">
        <v>1260</v>
      </c>
      <c r="C43" s="118" t="s">
        <v>817</v>
      </c>
      <c r="D43" s="119">
        <v>0</v>
      </c>
      <c r="E43" s="119">
        <v>0</v>
      </c>
      <c r="F43" s="119">
        <v>0</v>
      </c>
      <c r="G43" s="119">
        <v>0</v>
      </c>
      <c r="H43" s="119">
        <v>0</v>
      </c>
      <c r="I43" s="120">
        <v>3115</v>
      </c>
      <c r="J43" s="119">
        <v>0</v>
      </c>
      <c r="K43" s="119">
        <v>0</v>
      </c>
      <c r="L43" s="119">
        <v>0</v>
      </c>
      <c r="M43" s="119">
        <v>0</v>
      </c>
      <c r="N43" s="119">
        <v>0</v>
      </c>
    </row>
    <row r="44" spans="1:14" ht="15.75" thickBot="1" x14ac:dyDescent="0.3">
      <c r="A44" s="44" t="s">
        <v>1275</v>
      </c>
      <c r="B44" s="107" t="s">
        <v>1276</v>
      </c>
      <c r="C44" s="118" t="s">
        <v>817</v>
      </c>
      <c r="D44" s="119">
        <v>0</v>
      </c>
      <c r="E44" s="119">
        <v>0</v>
      </c>
      <c r="F44" s="119">
        <v>0</v>
      </c>
      <c r="G44" s="119">
        <v>0</v>
      </c>
      <c r="H44" s="119">
        <v>0</v>
      </c>
      <c r="I44" s="120">
        <v>2440</v>
      </c>
      <c r="J44" s="119">
        <v>0</v>
      </c>
      <c r="K44" s="119">
        <v>0</v>
      </c>
      <c r="L44" s="119">
        <v>0</v>
      </c>
      <c r="M44" s="119">
        <v>0</v>
      </c>
      <c r="N44" s="119">
        <v>0</v>
      </c>
    </row>
    <row r="45" spans="1:14" ht="15.75" thickBot="1" x14ac:dyDescent="0.3">
      <c r="A45" s="44" t="s">
        <v>1283</v>
      </c>
      <c r="B45" s="107" t="s">
        <v>1284</v>
      </c>
      <c r="C45" s="118" t="s">
        <v>817</v>
      </c>
      <c r="D45" s="119">
        <v>0</v>
      </c>
      <c r="E45" s="119">
        <v>0</v>
      </c>
      <c r="F45" s="119">
        <v>0</v>
      </c>
      <c r="G45" s="119">
        <v>0</v>
      </c>
      <c r="H45" s="119">
        <v>0</v>
      </c>
      <c r="I45" s="120">
        <v>3433</v>
      </c>
      <c r="J45" s="119">
        <v>0</v>
      </c>
      <c r="K45" s="119">
        <v>1718</v>
      </c>
      <c r="L45" s="119">
        <v>0</v>
      </c>
      <c r="M45" s="119">
        <v>0</v>
      </c>
      <c r="N45" s="119">
        <v>1718</v>
      </c>
    </row>
    <row r="46" spans="1:14" ht="15.75" thickBot="1" x14ac:dyDescent="0.3">
      <c r="A46" s="44" t="s">
        <v>1303</v>
      </c>
      <c r="B46" s="107" t="s">
        <v>1304</v>
      </c>
      <c r="C46" s="118" t="s">
        <v>817</v>
      </c>
      <c r="D46" s="119">
        <v>0</v>
      </c>
      <c r="E46" s="119">
        <v>0</v>
      </c>
      <c r="F46" s="119">
        <v>0</v>
      </c>
      <c r="G46" s="119">
        <v>0</v>
      </c>
      <c r="H46" s="119">
        <v>0</v>
      </c>
      <c r="I46" s="120">
        <v>1848</v>
      </c>
      <c r="J46" s="119">
        <v>0</v>
      </c>
      <c r="K46" s="119">
        <v>0</v>
      </c>
      <c r="L46" s="119">
        <v>0</v>
      </c>
      <c r="M46" s="119">
        <v>0</v>
      </c>
      <c r="N46" s="119">
        <v>0</v>
      </c>
    </row>
    <row r="47" spans="1:14" ht="15.75" thickBot="1" x14ac:dyDescent="0.3">
      <c r="A47" s="44" t="s">
        <v>1319</v>
      </c>
      <c r="B47" s="107" t="s">
        <v>1320</v>
      </c>
      <c r="C47" s="118" t="s">
        <v>817</v>
      </c>
      <c r="D47" s="119">
        <v>0</v>
      </c>
      <c r="E47" s="119">
        <v>0</v>
      </c>
      <c r="F47" s="119">
        <v>0</v>
      </c>
      <c r="G47" s="119">
        <v>0</v>
      </c>
      <c r="H47" s="119">
        <v>0</v>
      </c>
      <c r="I47" s="120">
        <v>3645</v>
      </c>
      <c r="J47" s="119">
        <v>0</v>
      </c>
      <c r="K47" s="119">
        <v>2053</v>
      </c>
      <c r="L47" s="119">
        <v>0</v>
      </c>
      <c r="M47" s="119">
        <v>20655</v>
      </c>
      <c r="N47" s="119">
        <v>22708</v>
      </c>
    </row>
    <row r="48" spans="1:14" ht="15.75" thickBot="1" x14ac:dyDescent="0.3">
      <c r="A48" s="44" t="s">
        <v>1333</v>
      </c>
      <c r="B48" s="107" t="s">
        <v>1334</v>
      </c>
      <c r="C48" s="118" t="s">
        <v>817</v>
      </c>
      <c r="D48" s="119">
        <v>0</v>
      </c>
      <c r="E48" s="119">
        <v>0</v>
      </c>
      <c r="F48" s="119">
        <v>0</v>
      </c>
      <c r="G48" s="119">
        <v>0</v>
      </c>
      <c r="H48" s="119">
        <v>0</v>
      </c>
      <c r="I48" s="120">
        <v>3679</v>
      </c>
      <c r="J48" s="119">
        <v>0</v>
      </c>
      <c r="K48" s="119">
        <v>160</v>
      </c>
      <c r="L48" s="119">
        <v>0</v>
      </c>
      <c r="M48" s="119">
        <v>0</v>
      </c>
      <c r="N48" s="119">
        <v>160</v>
      </c>
    </row>
    <row r="49" spans="1:14" ht="15.75" thickBot="1" x14ac:dyDescent="0.3">
      <c r="A49" s="44" t="s">
        <v>1337</v>
      </c>
      <c r="B49" s="107" t="s">
        <v>1338</v>
      </c>
      <c r="C49" s="118" t="s">
        <v>817</v>
      </c>
      <c r="D49" s="119">
        <v>0</v>
      </c>
      <c r="E49" s="119">
        <v>0</v>
      </c>
      <c r="F49" s="119">
        <v>0</v>
      </c>
      <c r="G49" s="119">
        <v>0</v>
      </c>
      <c r="H49" s="119">
        <v>0</v>
      </c>
      <c r="I49" s="120">
        <v>1830</v>
      </c>
      <c r="J49" s="121">
        <v>0</v>
      </c>
      <c r="K49" s="121">
        <v>0</v>
      </c>
      <c r="L49" s="121">
        <v>0</v>
      </c>
      <c r="M49" s="121">
        <v>0</v>
      </c>
      <c r="N49" s="121">
        <v>0</v>
      </c>
    </row>
    <row r="50" spans="1:14" ht="15.75" thickBot="1" x14ac:dyDescent="0.3">
      <c r="A50" s="44" t="s">
        <v>1359</v>
      </c>
      <c r="B50" s="107" t="s">
        <v>1360</v>
      </c>
      <c r="C50" s="118" t="s">
        <v>817</v>
      </c>
      <c r="D50" s="119">
        <v>0</v>
      </c>
      <c r="E50" s="119">
        <v>0</v>
      </c>
      <c r="F50" s="119">
        <v>0</v>
      </c>
      <c r="G50" s="119">
        <v>0</v>
      </c>
      <c r="H50" s="119">
        <v>0</v>
      </c>
      <c r="I50" s="120">
        <v>1939</v>
      </c>
      <c r="J50" s="121">
        <v>0</v>
      </c>
      <c r="K50" s="121">
        <v>0</v>
      </c>
      <c r="L50" s="119">
        <v>20722</v>
      </c>
      <c r="M50" s="121">
        <v>0</v>
      </c>
      <c r="N50" s="119">
        <v>20722</v>
      </c>
    </row>
    <row r="51" spans="1:14" ht="15.75" thickBot="1" x14ac:dyDescent="0.3">
      <c r="A51" s="44" t="s">
        <v>1397</v>
      </c>
      <c r="B51" s="107" t="s">
        <v>1398</v>
      </c>
      <c r="C51" s="118" t="s">
        <v>817</v>
      </c>
      <c r="D51" s="119">
        <v>0</v>
      </c>
      <c r="E51" s="119">
        <v>0</v>
      </c>
      <c r="F51" s="119">
        <v>0</v>
      </c>
      <c r="G51" s="119">
        <v>0</v>
      </c>
      <c r="H51" s="119">
        <v>0</v>
      </c>
      <c r="I51" s="120">
        <v>3739</v>
      </c>
      <c r="J51" s="119">
        <v>11882</v>
      </c>
      <c r="K51" s="119">
        <v>0</v>
      </c>
      <c r="L51" s="119">
        <v>8000</v>
      </c>
      <c r="M51" s="119">
        <v>0</v>
      </c>
      <c r="N51" s="119">
        <v>19882</v>
      </c>
    </row>
    <row r="52" spans="1:14" ht="15.75" thickBot="1" x14ac:dyDescent="0.3">
      <c r="A52" s="44" t="s">
        <v>1407</v>
      </c>
      <c r="B52" s="107" t="s">
        <v>1408</v>
      </c>
      <c r="C52" s="118" t="s">
        <v>817</v>
      </c>
      <c r="D52" s="119">
        <v>0</v>
      </c>
      <c r="E52" s="119">
        <v>0</v>
      </c>
      <c r="F52" s="119">
        <v>0</v>
      </c>
      <c r="G52" s="119">
        <v>0</v>
      </c>
      <c r="H52" s="119">
        <v>0</v>
      </c>
      <c r="I52" s="120">
        <v>1508</v>
      </c>
      <c r="J52" s="119">
        <v>0</v>
      </c>
      <c r="K52" s="119">
        <v>0</v>
      </c>
      <c r="L52" s="119">
        <v>0</v>
      </c>
      <c r="M52" s="119">
        <v>0</v>
      </c>
      <c r="N52" s="119">
        <v>0</v>
      </c>
    </row>
    <row r="53" spans="1:14" ht="15.75" thickBot="1" x14ac:dyDescent="0.3">
      <c r="A53" s="44" t="s">
        <v>1409</v>
      </c>
      <c r="B53" s="107" t="s">
        <v>1410</v>
      </c>
      <c r="C53" s="118" t="s">
        <v>817</v>
      </c>
      <c r="D53" s="119">
        <v>0</v>
      </c>
      <c r="E53" s="119">
        <v>0</v>
      </c>
      <c r="F53" s="119">
        <v>0</v>
      </c>
      <c r="G53" s="119">
        <v>0</v>
      </c>
      <c r="H53" s="119">
        <v>0</v>
      </c>
      <c r="I53" s="120">
        <v>3731</v>
      </c>
      <c r="J53" s="121">
        <v>0</v>
      </c>
      <c r="K53" s="121">
        <v>0</v>
      </c>
      <c r="L53" s="121">
        <v>0</v>
      </c>
      <c r="M53" s="121">
        <v>0</v>
      </c>
      <c r="N53" s="121">
        <v>0</v>
      </c>
    </row>
    <row r="54" spans="1:14" ht="15.75" thickBot="1" x14ac:dyDescent="0.3">
      <c r="A54" s="44" t="s">
        <v>1413</v>
      </c>
      <c r="B54" s="107" t="s">
        <v>1414</v>
      </c>
      <c r="C54" s="118" t="s">
        <v>817</v>
      </c>
      <c r="D54" s="119">
        <v>0</v>
      </c>
      <c r="E54" s="119">
        <v>0</v>
      </c>
      <c r="F54" s="119">
        <v>0</v>
      </c>
      <c r="G54" s="119">
        <v>0</v>
      </c>
      <c r="H54" s="119">
        <v>0</v>
      </c>
      <c r="I54" s="120">
        <v>3674</v>
      </c>
      <c r="J54" s="119">
        <v>4881</v>
      </c>
      <c r="K54" s="119">
        <v>3057</v>
      </c>
      <c r="L54" s="121">
        <v>0</v>
      </c>
      <c r="M54" s="121">
        <v>0</v>
      </c>
      <c r="N54" s="119">
        <v>7938</v>
      </c>
    </row>
    <row r="55" spans="1:14" ht="15.75" thickBot="1" x14ac:dyDescent="0.3">
      <c r="A55" s="44" t="s">
        <v>1415</v>
      </c>
      <c r="B55" s="107" t="s">
        <v>1416</v>
      </c>
      <c r="C55" s="118" t="s">
        <v>817</v>
      </c>
      <c r="D55" s="119">
        <v>0</v>
      </c>
      <c r="E55" s="119">
        <v>0</v>
      </c>
      <c r="F55" s="119">
        <v>0</v>
      </c>
      <c r="G55" s="119">
        <v>0</v>
      </c>
      <c r="H55" s="119">
        <v>0</v>
      </c>
      <c r="I55" s="120">
        <v>882</v>
      </c>
      <c r="J55" s="119">
        <v>0</v>
      </c>
      <c r="K55" s="119">
        <v>0</v>
      </c>
      <c r="L55" s="119">
        <v>0</v>
      </c>
      <c r="M55" s="119">
        <v>0</v>
      </c>
      <c r="N55" s="119">
        <v>0</v>
      </c>
    </row>
    <row r="56" spans="1:14" ht="15.75" thickBot="1" x14ac:dyDescent="0.3">
      <c r="A56" s="44" t="s">
        <v>1459</v>
      </c>
      <c r="B56" s="107" t="s">
        <v>1460</v>
      </c>
      <c r="C56" s="118" t="s">
        <v>817</v>
      </c>
      <c r="D56" s="119">
        <v>0</v>
      </c>
      <c r="E56" s="119">
        <v>0</v>
      </c>
      <c r="F56" s="119">
        <v>0</v>
      </c>
      <c r="G56" s="119">
        <v>3680</v>
      </c>
      <c r="H56" s="119">
        <v>3680</v>
      </c>
      <c r="I56" s="120">
        <v>3775</v>
      </c>
      <c r="J56" s="119">
        <v>0</v>
      </c>
      <c r="K56" s="119">
        <v>1162</v>
      </c>
      <c r="L56" s="119">
        <v>37</v>
      </c>
      <c r="M56" s="119">
        <v>0</v>
      </c>
      <c r="N56" s="119">
        <v>1199</v>
      </c>
    </row>
    <row r="57" spans="1:14" ht="15.75" thickBot="1" x14ac:dyDescent="0.3">
      <c r="A57" s="44" t="s">
        <v>1465</v>
      </c>
      <c r="B57" s="107" t="s">
        <v>1466</v>
      </c>
      <c r="C57" s="118" t="s">
        <v>817</v>
      </c>
      <c r="D57" s="119">
        <v>0</v>
      </c>
      <c r="E57" s="119">
        <v>0</v>
      </c>
      <c r="F57" s="119">
        <v>0</v>
      </c>
      <c r="G57" s="119">
        <v>0</v>
      </c>
      <c r="H57" s="119">
        <v>0</v>
      </c>
      <c r="I57" s="120">
        <v>3138</v>
      </c>
      <c r="J57" s="119">
        <v>2069</v>
      </c>
      <c r="K57" s="119">
        <v>374</v>
      </c>
      <c r="L57" s="119">
        <v>1096</v>
      </c>
      <c r="M57" s="119">
        <v>0</v>
      </c>
      <c r="N57" s="119">
        <v>3539</v>
      </c>
    </row>
    <row r="58" spans="1:14" ht="15.75" thickBot="1" x14ac:dyDescent="0.3">
      <c r="A58" s="44" t="s">
        <v>1476</v>
      </c>
      <c r="B58" s="107" t="s">
        <v>1477</v>
      </c>
      <c r="C58" s="118" t="s">
        <v>817</v>
      </c>
      <c r="D58" s="119">
        <v>0</v>
      </c>
      <c r="E58" s="119">
        <v>2474</v>
      </c>
      <c r="F58" s="119">
        <v>500</v>
      </c>
      <c r="G58" s="119">
        <v>0</v>
      </c>
      <c r="H58" s="119">
        <v>2974</v>
      </c>
      <c r="I58" s="120">
        <v>3428</v>
      </c>
      <c r="J58" s="119">
        <v>4725</v>
      </c>
      <c r="K58" s="119">
        <v>0</v>
      </c>
      <c r="L58" s="119">
        <v>0</v>
      </c>
      <c r="M58" s="119">
        <v>0</v>
      </c>
      <c r="N58" s="119">
        <v>4725</v>
      </c>
    </row>
    <row r="59" spans="1:14" ht="15.75" thickBot="1" x14ac:dyDescent="0.3">
      <c r="A59" s="44" t="s">
        <v>1478</v>
      </c>
      <c r="B59" s="107" t="s">
        <v>1479</v>
      </c>
      <c r="C59" s="118" t="s">
        <v>817</v>
      </c>
      <c r="D59" s="119">
        <v>0</v>
      </c>
      <c r="E59" s="119">
        <v>0</v>
      </c>
      <c r="F59" s="119">
        <v>0</v>
      </c>
      <c r="G59" s="119">
        <v>0</v>
      </c>
      <c r="H59" s="119">
        <v>0</v>
      </c>
      <c r="I59" s="120">
        <v>1932</v>
      </c>
      <c r="J59" s="121">
        <v>0</v>
      </c>
      <c r="K59" s="121">
        <v>0</v>
      </c>
      <c r="L59" s="121">
        <v>0</v>
      </c>
      <c r="M59" s="121">
        <v>0</v>
      </c>
      <c r="N59" s="121">
        <v>0</v>
      </c>
    </row>
    <row r="60" spans="1:14" ht="15.75" thickBot="1" x14ac:dyDescent="0.3">
      <c r="A60" s="44" t="s">
        <v>1500</v>
      </c>
      <c r="B60" s="107" t="s">
        <v>1501</v>
      </c>
      <c r="C60" s="118" t="s">
        <v>817</v>
      </c>
      <c r="D60" s="119">
        <v>0</v>
      </c>
      <c r="E60" s="119">
        <v>0</v>
      </c>
      <c r="F60" s="119">
        <v>0</v>
      </c>
      <c r="G60" s="119">
        <v>0</v>
      </c>
      <c r="H60" s="119">
        <v>0</v>
      </c>
      <c r="I60" s="120">
        <v>2387</v>
      </c>
      <c r="J60" s="119">
        <v>366</v>
      </c>
      <c r="K60" s="119">
        <v>0</v>
      </c>
      <c r="L60" s="119">
        <v>0</v>
      </c>
      <c r="M60" s="119">
        <v>0</v>
      </c>
      <c r="N60" s="119">
        <v>366</v>
      </c>
    </row>
    <row r="61" spans="1:14" ht="15.75" thickBot="1" x14ac:dyDescent="0.3">
      <c r="A61" s="44" t="s">
        <v>1518</v>
      </c>
      <c r="B61" s="107" t="s">
        <v>1519</v>
      </c>
      <c r="C61" s="118" t="s">
        <v>817</v>
      </c>
      <c r="D61" s="119">
        <v>0</v>
      </c>
      <c r="E61" s="119">
        <v>0</v>
      </c>
      <c r="F61" s="119">
        <v>0</v>
      </c>
      <c r="G61" s="119">
        <v>0</v>
      </c>
      <c r="H61" s="119">
        <v>0</v>
      </c>
      <c r="I61" s="120">
        <v>1873</v>
      </c>
      <c r="J61" s="121">
        <v>0</v>
      </c>
      <c r="K61" s="119">
        <v>698</v>
      </c>
      <c r="L61" s="119">
        <v>24511</v>
      </c>
      <c r="M61" s="121">
        <v>0</v>
      </c>
      <c r="N61" s="119">
        <v>25209</v>
      </c>
    </row>
    <row r="62" spans="1:14" ht="15.75" thickBot="1" x14ac:dyDescent="0.3">
      <c r="A62" s="44" t="s">
        <v>1536</v>
      </c>
      <c r="B62" s="107" t="s">
        <v>1537</v>
      </c>
      <c r="C62" s="118" t="s">
        <v>817</v>
      </c>
      <c r="D62" s="119">
        <v>0</v>
      </c>
      <c r="E62" s="119">
        <v>0</v>
      </c>
      <c r="F62" s="119">
        <v>0</v>
      </c>
      <c r="G62" s="119">
        <v>0</v>
      </c>
      <c r="H62" s="119">
        <v>0</v>
      </c>
      <c r="I62" s="120">
        <v>1652</v>
      </c>
      <c r="J62" s="119">
        <v>0</v>
      </c>
      <c r="K62" s="119">
        <v>0</v>
      </c>
      <c r="L62" s="119">
        <v>0</v>
      </c>
      <c r="M62" s="119">
        <v>0</v>
      </c>
      <c r="N62" s="119">
        <v>0</v>
      </c>
    </row>
    <row r="63" spans="1:14" ht="15.75" thickBot="1" x14ac:dyDescent="0.3">
      <c r="A63" s="44" t="s">
        <v>1548</v>
      </c>
      <c r="B63" s="107" t="s">
        <v>1549</v>
      </c>
      <c r="C63" s="118" t="s">
        <v>817</v>
      </c>
      <c r="D63" s="119">
        <v>0</v>
      </c>
      <c r="E63" s="119">
        <v>0</v>
      </c>
      <c r="F63" s="119">
        <v>0</v>
      </c>
      <c r="G63" s="119">
        <v>0</v>
      </c>
      <c r="H63" s="119">
        <v>0</v>
      </c>
      <c r="I63" s="120">
        <v>3895</v>
      </c>
      <c r="J63" s="119">
        <v>0</v>
      </c>
      <c r="K63" s="119">
        <v>0</v>
      </c>
      <c r="L63" s="119">
        <v>0</v>
      </c>
      <c r="M63" s="119">
        <v>0</v>
      </c>
      <c r="N63" s="119">
        <v>0</v>
      </c>
    </row>
    <row r="64" spans="1:14" ht="15.75" thickBot="1" x14ac:dyDescent="0.3">
      <c r="A64" s="44" t="s">
        <v>1554</v>
      </c>
      <c r="B64" s="107" t="s">
        <v>1555</v>
      </c>
      <c r="C64" s="118" t="s">
        <v>817</v>
      </c>
      <c r="D64" s="119">
        <v>0</v>
      </c>
      <c r="E64" s="119">
        <v>0</v>
      </c>
      <c r="F64" s="119">
        <v>0</v>
      </c>
      <c r="G64" s="119">
        <v>0</v>
      </c>
      <c r="H64" s="119">
        <v>0</v>
      </c>
      <c r="I64" s="120">
        <v>2156</v>
      </c>
      <c r="J64" s="121">
        <v>0</v>
      </c>
      <c r="K64" s="119">
        <v>1369</v>
      </c>
      <c r="L64" s="121">
        <v>0</v>
      </c>
      <c r="M64" s="121">
        <v>0</v>
      </c>
      <c r="N64" s="119">
        <v>1369</v>
      </c>
    </row>
    <row r="65" spans="1:14" ht="15.75" thickBot="1" x14ac:dyDescent="0.3">
      <c r="A65" s="44" t="s">
        <v>1556</v>
      </c>
      <c r="B65" s="107" t="s">
        <v>1557</v>
      </c>
      <c r="C65" s="118" t="s">
        <v>817</v>
      </c>
      <c r="D65" s="119">
        <v>0</v>
      </c>
      <c r="E65" s="119">
        <v>0</v>
      </c>
      <c r="F65" s="119">
        <v>0</v>
      </c>
      <c r="G65" s="119">
        <v>0</v>
      </c>
      <c r="H65" s="119">
        <v>0</v>
      </c>
      <c r="I65" s="120">
        <v>2475</v>
      </c>
      <c r="J65" s="119">
        <v>0</v>
      </c>
      <c r="K65" s="119">
        <v>0</v>
      </c>
      <c r="L65" s="119">
        <v>0</v>
      </c>
      <c r="M65" s="119">
        <v>0</v>
      </c>
      <c r="N65" s="119">
        <v>0</v>
      </c>
    </row>
    <row r="66" spans="1:14" ht="15.75" thickBot="1" x14ac:dyDescent="0.3">
      <c r="A66" s="44" t="s">
        <v>1558</v>
      </c>
      <c r="B66" s="107" t="s">
        <v>1559</v>
      </c>
      <c r="C66" s="118" t="s">
        <v>817</v>
      </c>
      <c r="D66" s="119">
        <v>0</v>
      </c>
      <c r="E66" s="119">
        <v>0</v>
      </c>
      <c r="F66" s="119">
        <v>0</v>
      </c>
      <c r="G66" s="119">
        <v>0</v>
      </c>
      <c r="H66" s="119">
        <v>0</v>
      </c>
      <c r="I66" s="120">
        <v>1968</v>
      </c>
      <c r="J66" s="119">
        <v>0</v>
      </c>
      <c r="K66" s="119">
        <v>0</v>
      </c>
      <c r="L66" s="119">
        <v>0</v>
      </c>
      <c r="M66" s="119">
        <v>0</v>
      </c>
      <c r="N66" s="119">
        <v>0</v>
      </c>
    </row>
    <row r="67" spans="1:14" ht="15.75" thickBot="1" x14ac:dyDescent="0.3">
      <c r="A67" s="44" t="s">
        <v>1568</v>
      </c>
      <c r="B67" s="107" t="s">
        <v>1569</v>
      </c>
      <c r="C67" s="118" t="s">
        <v>817</v>
      </c>
      <c r="D67" s="119">
        <v>0</v>
      </c>
      <c r="E67" s="119">
        <v>0</v>
      </c>
      <c r="F67" s="119">
        <v>0</v>
      </c>
      <c r="G67" s="119">
        <v>0</v>
      </c>
      <c r="H67" s="119">
        <v>0</v>
      </c>
      <c r="I67" s="120">
        <v>2202</v>
      </c>
      <c r="J67" s="119">
        <v>0</v>
      </c>
      <c r="K67" s="119">
        <v>0</v>
      </c>
      <c r="L67" s="119">
        <v>0</v>
      </c>
      <c r="M67" s="119">
        <v>0</v>
      </c>
      <c r="N67" s="119">
        <v>0</v>
      </c>
    </row>
    <row r="68" spans="1:14" ht="15.75" thickBot="1" x14ac:dyDescent="0.3">
      <c r="A68" s="44" t="s">
        <v>1580</v>
      </c>
      <c r="B68" s="107" t="s">
        <v>1581</v>
      </c>
      <c r="C68" s="118" t="s">
        <v>817</v>
      </c>
      <c r="D68" s="119">
        <v>0</v>
      </c>
      <c r="E68" s="119">
        <v>0</v>
      </c>
      <c r="F68" s="119">
        <v>0</v>
      </c>
      <c r="G68" s="119">
        <v>0</v>
      </c>
      <c r="H68" s="119">
        <v>0</v>
      </c>
      <c r="I68" s="120">
        <v>2913</v>
      </c>
      <c r="J68" s="121">
        <v>0</v>
      </c>
      <c r="K68" s="121">
        <v>0</v>
      </c>
      <c r="L68" s="121">
        <v>0</v>
      </c>
      <c r="M68" s="121">
        <v>0</v>
      </c>
      <c r="N68" s="121">
        <v>0</v>
      </c>
    </row>
    <row r="69" spans="1:14" ht="15.75" thickBot="1" x14ac:dyDescent="0.3">
      <c r="A69" s="44" t="s">
        <v>1592</v>
      </c>
      <c r="B69" s="107" t="s">
        <v>1593</v>
      </c>
      <c r="C69" s="118" t="s">
        <v>817</v>
      </c>
      <c r="D69" s="119">
        <v>0</v>
      </c>
      <c r="E69" s="119">
        <v>0</v>
      </c>
      <c r="F69" s="119">
        <v>0</v>
      </c>
      <c r="G69" s="119">
        <v>0</v>
      </c>
      <c r="H69" s="119">
        <v>0</v>
      </c>
      <c r="I69" s="120">
        <v>575</v>
      </c>
      <c r="J69" s="119">
        <v>250</v>
      </c>
      <c r="K69" s="119">
        <v>15213</v>
      </c>
      <c r="L69" s="119">
        <v>0</v>
      </c>
      <c r="M69" s="119">
        <v>0</v>
      </c>
      <c r="N69" s="119">
        <v>15463</v>
      </c>
    </row>
    <row r="70" spans="1:14" ht="15.75" thickBot="1" x14ac:dyDescent="0.3">
      <c r="A70" s="44" t="s">
        <v>1600</v>
      </c>
      <c r="B70" s="107" t="s">
        <v>1601</v>
      </c>
      <c r="C70" s="118" t="s">
        <v>817</v>
      </c>
      <c r="D70" s="119">
        <v>0</v>
      </c>
      <c r="E70" s="119">
        <v>0</v>
      </c>
      <c r="F70" s="119">
        <v>0</v>
      </c>
      <c r="G70" s="119">
        <v>0</v>
      </c>
      <c r="H70" s="119">
        <v>0</v>
      </c>
      <c r="I70" s="120">
        <v>2738</v>
      </c>
      <c r="J70" s="119">
        <v>1879</v>
      </c>
      <c r="K70" s="119">
        <v>3058</v>
      </c>
      <c r="L70" s="119">
        <v>4736</v>
      </c>
      <c r="M70" s="119">
        <v>0</v>
      </c>
      <c r="N70" s="119">
        <v>9673</v>
      </c>
    </row>
    <row r="71" spans="1:14" ht="15.75" thickBot="1" x14ac:dyDescent="0.3">
      <c r="A71" s="44" t="s">
        <v>796</v>
      </c>
      <c r="B71" s="107" t="s">
        <v>797</v>
      </c>
      <c r="C71" s="118" t="s">
        <v>798</v>
      </c>
      <c r="D71" s="119">
        <v>0</v>
      </c>
      <c r="E71" s="119">
        <v>0</v>
      </c>
      <c r="F71" s="119">
        <v>0</v>
      </c>
      <c r="G71" s="119">
        <v>0</v>
      </c>
      <c r="H71" s="119">
        <v>0</v>
      </c>
      <c r="I71" s="120">
        <v>6351</v>
      </c>
      <c r="J71" s="119">
        <v>0</v>
      </c>
      <c r="K71" s="119">
        <v>0</v>
      </c>
      <c r="L71" s="119">
        <v>0</v>
      </c>
      <c r="M71" s="119">
        <v>0</v>
      </c>
      <c r="N71" s="119">
        <v>0</v>
      </c>
    </row>
    <row r="72" spans="1:14" ht="15.75" thickBot="1" x14ac:dyDescent="0.3">
      <c r="A72" s="44" t="s">
        <v>827</v>
      </c>
      <c r="B72" s="107" t="s">
        <v>828</v>
      </c>
      <c r="C72" s="118" t="s">
        <v>798</v>
      </c>
      <c r="D72" s="119">
        <v>0</v>
      </c>
      <c r="E72" s="119">
        <v>0</v>
      </c>
      <c r="F72" s="119">
        <v>0</v>
      </c>
      <c r="G72" s="119">
        <v>0</v>
      </c>
      <c r="H72" s="119">
        <v>0</v>
      </c>
      <c r="I72" s="120">
        <v>6583</v>
      </c>
      <c r="J72" s="119">
        <v>563</v>
      </c>
      <c r="K72" s="119">
        <v>1135</v>
      </c>
      <c r="L72" s="119">
        <v>0</v>
      </c>
      <c r="M72" s="119">
        <v>0</v>
      </c>
      <c r="N72" s="119">
        <v>1698</v>
      </c>
    </row>
    <row r="73" spans="1:14" ht="15.75" thickBot="1" x14ac:dyDescent="0.3">
      <c r="A73" s="44" t="s">
        <v>838</v>
      </c>
      <c r="B73" s="107" t="s">
        <v>839</v>
      </c>
      <c r="C73" s="118" t="s">
        <v>798</v>
      </c>
      <c r="D73" s="119">
        <v>0</v>
      </c>
      <c r="E73" s="119">
        <v>0</v>
      </c>
      <c r="F73" s="119">
        <v>0</v>
      </c>
      <c r="G73" s="119">
        <v>0</v>
      </c>
      <c r="H73" s="119">
        <v>0</v>
      </c>
      <c r="I73" s="120">
        <v>5379</v>
      </c>
      <c r="J73" s="119">
        <v>1556</v>
      </c>
      <c r="K73" s="119">
        <v>32067</v>
      </c>
      <c r="L73" s="119">
        <v>26805</v>
      </c>
      <c r="M73" s="121">
        <v>0</v>
      </c>
      <c r="N73" s="119">
        <v>60428</v>
      </c>
    </row>
    <row r="74" spans="1:14" ht="15.75" thickBot="1" x14ac:dyDescent="0.3">
      <c r="A74" s="44" t="s">
        <v>842</v>
      </c>
      <c r="B74" s="107" t="s">
        <v>843</v>
      </c>
      <c r="C74" s="118" t="s">
        <v>798</v>
      </c>
      <c r="D74" s="119">
        <v>0</v>
      </c>
      <c r="E74" s="119">
        <v>0</v>
      </c>
      <c r="F74" s="119">
        <v>0</v>
      </c>
      <c r="G74" s="119">
        <v>0</v>
      </c>
      <c r="H74" s="119">
        <v>0</v>
      </c>
      <c r="I74" s="120">
        <v>4265</v>
      </c>
      <c r="J74" s="119">
        <v>2504</v>
      </c>
      <c r="K74" s="119">
        <v>0</v>
      </c>
      <c r="L74" s="119">
        <v>0</v>
      </c>
      <c r="M74" s="119">
        <v>0</v>
      </c>
      <c r="N74" s="119">
        <v>2504</v>
      </c>
    </row>
    <row r="75" spans="1:14" ht="15.75" thickBot="1" x14ac:dyDescent="0.3">
      <c r="A75" s="44" t="s">
        <v>853</v>
      </c>
      <c r="B75" s="107" t="s">
        <v>854</v>
      </c>
      <c r="C75" s="118" t="s">
        <v>798</v>
      </c>
      <c r="D75" s="119">
        <v>0</v>
      </c>
      <c r="E75" s="119">
        <v>0</v>
      </c>
      <c r="F75" s="119">
        <v>0</v>
      </c>
      <c r="G75" s="119">
        <v>0</v>
      </c>
      <c r="H75" s="119">
        <v>0</v>
      </c>
      <c r="I75" s="120">
        <v>6621</v>
      </c>
      <c r="J75" s="119">
        <v>0</v>
      </c>
      <c r="K75" s="119">
        <v>0</v>
      </c>
      <c r="L75" s="119">
        <v>5163</v>
      </c>
      <c r="M75" s="119">
        <v>0</v>
      </c>
      <c r="N75" s="119">
        <v>5163</v>
      </c>
    </row>
    <row r="76" spans="1:14" ht="15.75" thickBot="1" x14ac:dyDescent="0.3">
      <c r="A76" s="44" t="s">
        <v>857</v>
      </c>
      <c r="B76" s="107" t="s">
        <v>858</v>
      </c>
      <c r="C76" s="118" t="s">
        <v>798</v>
      </c>
      <c r="D76" s="119">
        <v>0</v>
      </c>
      <c r="E76" s="119">
        <v>0</v>
      </c>
      <c r="F76" s="119">
        <v>0</v>
      </c>
      <c r="G76" s="119">
        <v>0</v>
      </c>
      <c r="H76" s="119">
        <v>0</v>
      </c>
      <c r="I76" s="120">
        <v>4075</v>
      </c>
      <c r="J76" s="119">
        <v>0</v>
      </c>
      <c r="K76" s="119">
        <v>0</v>
      </c>
      <c r="L76" s="119">
        <v>0</v>
      </c>
      <c r="M76" s="119">
        <v>0</v>
      </c>
      <c r="N76" s="119">
        <v>0</v>
      </c>
    </row>
    <row r="77" spans="1:14" ht="15.75" thickBot="1" x14ac:dyDescent="0.3">
      <c r="A77" s="44" t="s">
        <v>881</v>
      </c>
      <c r="B77" s="107" t="s">
        <v>882</v>
      </c>
      <c r="C77" s="118" t="s">
        <v>798</v>
      </c>
      <c r="D77" s="119">
        <v>0</v>
      </c>
      <c r="E77" s="119">
        <v>0</v>
      </c>
      <c r="F77" s="119">
        <v>0</v>
      </c>
      <c r="G77" s="119">
        <v>0</v>
      </c>
      <c r="H77" s="119">
        <v>0</v>
      </c>
      <c r="I77" s="120">
        <v>5414</v>
      </c>
      <c r="J77" s="119">
        <v>0</v>
      </c>
      <c r="K77" s="119">
        <v>0</v>
      </c>
      <c r="L77" s="119">
        <v>0</v>
      </c>
      <c r="M77" s="119">
        <v>0</v>
      </c>
      <c r="N77" s="119">
        <v>0</v>
      </c>
    </row>
    <row r="78" spans="1:14" ht="15.75" thickBot="1" x14ac:dyDescent="0.3">
      <c r="A78" s="44" t="s">
        <v>903</v>
      </c>
      <c r="B78" s="107" t="s">
        <v>904</v>
      </c>
      <c r="C78" s="118" t="s">
        <v>798</v>
      </c>
      <c r="D78" s="119">
        <v>0</v>
      </c>
      <c r="E78" s="119">
        <v>0</v>
      </c>
      <c r="F78" s="119">
        <v>0</v>
      </c>
      <c r="G78" s="119">
        <v>0</v>
      </c>
      <c r="H78" s="119">
        <v>0</v>
      </c>
      <c r="I78" s="120">
        <v>6296</v>
      </c>
      <c r="J78" s="119">
        <v>0</v>
      </c>
      <c r="K78" s="119">
        <v>32382</v>
      </c>
      <c r="L78" s="119">
        <v>43098</v>
      </c>
      <c r="M78" s="119">
        <v>0</v>
      </c>
      <c r="N78" s="119">
        <v>75480</v>
      </c>
    </row>
    <row r="79" spans="1:14" ht="15.75" thickBot="1" x14ac:dyDescent="0.3">
      <c r="A79" s="44" t="s">
        <v>909</v>
      </c>
      <c r="B79" s="107" t="s">
        <v>910</v>
      </c>
      <c r="C79" s="118" t="s">
        <v>798</v>
      </c>
      <c r="D79" s="119">
        <v>0</v>
      </c>
      <c r="E79" s="119">
        <v>0</v>
      </c>
      <c r="F79" s="119">
        <v>0</v>
      </c>
      <c r="G79" s="119">
        <v>0</v>
      </c>
      <c r="H79" s="119">
        <v>0</v>
      </c>
      <c r="I79" s="120">
        <v>4005</v>
      </c>
      <c r="J79" s="119">
        <v>0</v>
      </c>
      <c r="K79" s="119">
        <v>0</v>
      </c>
      <c r="L79" s="119">
        <v>0</v>
      </c>
      <c r="M79" s="119">
        <v>0</v>
      </c>
      <c r="N79" s="119">
        <v>0</v>
      </c>
    </row>
    <row r="80" spans="1:14" ht="15.75" thickBot="1" x14ac:dyDescent="0.3">
      <c r="A80" s="44" t="s">
        <v>921</v>
      </c>
      <c r="B80" s="107" t="s">
        <v>922</v>
      </c>
      <c r="C80" s="118" t="s">
        <v>798</v>
      </c>
      <c r="D80" s="119">
        <v>0</v>
      </c>
      <c r="E80" s="119">
        <v>0</v>
      </c>
      <c r="F80" s="119">
        <v>2121</v>
      </c>
      <c r="G80" s="119">
        <v>0</v>
      </c>
      <c r="H80" s="119">
        <v>2121</v>
      </c>
      <c r="I80" s="120">
        <v>4191</v>
      </c>
      <c r="J80" s="121">
        <v>0</v>
      </c>
      <c r="K80" s="121">
        <v>0</v>
      </c>
      <c r="L80" s="121">
        <v>0</v>
      </c>
      <c r="M80" s="119">
        <v>2137</v>
      </c>
      <c r="N80" s="119">
        <v>2137</v>
      </c>
    </row>
    <row r="81" spans="1:14" ht="15.75" thickBot="1" x14ac:dyDescent="0.3">
      <c r="A81" s="44" t="s">
        <v>963</v>
      </c>
      <c r="B81" s="107" t="s">
        <v>964</v>
      </c>
      <c r="C81" s="118" t="s">
        <v>798</v>
      </c>
      <c r="D81" s="119">
        <v>0</v>
      </c>
      <c r="E81" s="119">
        <v>0</v>
      </c>
      <c r="F81" s="119">
        <v>0</v>
      </c>
      <c r="G81" s="119">
        <v>0</v>
      </c>
      <c r="H81" s="119">
        <v>0</v>
      </c>
      <c r="I81" s="120">
        <v>4622</v>
      </c>
      <c r="J81" s="119">
        <v>0</v>
      </c>
      <c r="K81" s="119">
        <v>3281</v>
      </c>
      <c r="L81" s="119">
        <v>0</v>
      </c>
      <c r="M81" s="119">
        <v>0</v>
      </c>
      <c r="N81" s="119">
        <v>3281</v>
      </c>
    </row>
    <row r="82" spans="1:14" ht="15.75" thickBot="1" x14ac:dyDescent="0.3">
      <c r="A82" s="44" t="s">
        <v>977</v>
      </c>
      <c r="B82" s="107" t="s">
        <v>978</v>
      </c>
      <c r="C82" s="118" t="s">
        <v>798</v>
      </c>
      <c r="D82" s="119">
        <v>0</v>
      </c>
      <c r="E82" s="119">
        <v>0</v>
      </c>
      <c r="F82" s="119">
        <v>0</v>
      </c>
      <c r="G82" s="119">
        <v>0</v>
      </c>
      <c r="H82" s="119">
        <v>0</v>
      </c>
      <c r="I82" s="120">
        <v>4986</v>
      </c>
      <c r="J82" s="119">
        <v>0</v>
      </c>
      <c r="K82" s="119">
        <v>0</v>
      </c>
      <c r="L82" s="119">
        <v>0</v>
      </c>
      <c r="M82" s="119">
        <v>4648</v>
      </c>
      <c r="N82" s="119">
        <v>4648</v>
      </c>
    </row>
    <row r="83" spans="1:14" ht="15.75" thickBot="1" x14ac:dyDescent="0.3">
      <c r="A83" s="44" t="s">
        <v>999</v>
      </c>
      <c r="B83" s="107" t="s">
        <v>1000</v>
      </c>
      <c r="C83" s="118" t="s">
        <v>798</v>
      </c>
      <c r="D83" s="119">
        <v>0</v>
      </c>
      <c r="E83" s="119">
        <v>0</v>
      </c>
      <c r="F83" s="119">
        <v>0</v>
      </c>
      <c r="G83" s="119">
        <v>0</v>
      </c>
      <c r="H83" s="119">
        <v>0</v>
      </c>
      <c r="I83" s="120">
        <v>4514</v>
      </c>
      <c r="J83" s="119">
        <v>0</v>
      </c>
      <c r="K83" s="119">
        <v>0</v>
      </c>
      <c r="L83" s="119">
        <v>0</v>
      </c>
      <c r="M83" s="119">
        <v>0</v>
      </c>
      <c r="N83" s="119">
        <v>0</v>
      </c>
    </row>
    <row r="84" spans="1:14" ht="15.75" thickBot="1" x14ac:dyDescent="0.3">
      <c r="A84" s="44" t="s">
        <v>1013</v>
      </c>
      <c r="B84" s="107" t="s">
        <v>1014</v>
      </c>
      <c r="C84" s="118" t="s">
        <v>798</v>
      </c>
      <c r="D84" s="119">
        <v>0</v>
      </c>
      <c r="E84" s="119">
        <v>0</v>
      </c>
      <c r="F84" s="119">
        <v>0</v>
      </c>
      <c r="G84" s="119">
        <v>0</v>
      </c>
      <c r="H84" s="119">
        <v>0</v>
      </c>
      <c r="I84" s="120">
        <v>6838</v>
      </c>
      <c r="J84" s="121">
        <v>0</v>
      </c>
      <c r="K84" s="119">
        <v>1883</v>
      </c>
      <c r="L84" s="119">
        <v>26756</v>
      </c>
      <c r="M84" s="121">
        <v>0</v>
      </c>
      <c r="N84" s="119">
        <v>28639</v>
      </c>
    </row>
    <row r="85" spans="1:14" ht="15.75" thickBot="1" x14ac:dyDescent="0.3">
      <c r="A85" s="44" t="s">
        <v>1019</v>
      </c>
      <c r="B85" s="107" t="s">
        <v>1020</v>
      </c>
      <c r="C85" s="118" t="s">
        <v>798</v>
      </c>
      <c r="D85" s="119">
        <v>0</v>
      </c>
      <c r="E85" s="119">
        <v>0</v>
      </c>
      <c r="F85" s="119">
        <v>0</v>
      </c>
      <c r="G85" s="119">
        <v>0</v>
      </c>
      <c r="H85" s="119">
        <v>0</v>
      </c>
      <c r="I85" s="120">
        <v>4869</v>
      </c>
      <c r="J85" s="119">
        <v>420</v>
      </c>
      <c r="K85" s="119">
        <v>0</v>
      </c>
      <c r="L85" s="119">
        <v>20000</v>
      </c>
      <c r="M85" s="119">
        <v>0</v>
      </c>
      <c r="N85" s="119">
        <v>20420</v>
      </c>
    </row>
    <row r="86" spans="1:14" ht="15.75" thickBot="1" x14ac:dyDescent="0.3">
      <c r="A86" s="44" t="s">
        <v>1021</v>
      </c>
      <c r="B86" s="107" t="s">
        <v>1022</v>
      </c>
      <c r="C86" s="118" t="s">
        <v>798</v>
      </c>
      <c r="D86" s="119">
        <v>0</v>
      </c>
      <c r="E86" s="119">
        <v>0</v>
      </c>
      <c r="F86" s="119">
        <v>0</v>
      </c>
      <c r="G86" s="119">
        <v>0</v>
      </c>
      <c r="H86" s="119">
        <v>0</v>
      </c>
      <c r="I86" s="120">
        <v>4768</v>
      </c>
      <c r="J86" s="119">
        <v>0</v>
      </c>
      <c r="K86" s="119">
        <v>0</v>
      </c>
      <c r="L86" s="119">
        <v>0</v>
      </c>
      <c r="M86" s="119">
        <v>0</v>
      </c>
      <c r="N86" s="119">
        <v>0</v>
      </c>
    </row>
    <row r="87" spans="1:14" ht="15.75" thickBot="1" x14ac:dyDescent="0.3">
      <c r="A87" s="44" t="s">
        <v>1035</v>
      </c>
      <c r="B87" s="107" t="s">
        <v>1036</v>
      </c>
      <c r="C87" s="118" t="s">
        <v>798</v>
      </c>
      <c r="D87" s="119">
        <v>0</v>
      </c>
      <c r="E87" s="119">
        <v>0</v>
      </c>
      <c r="F87" s="119">
        <v>0</v>
      </c>
      <c r="G87" s="119">
        <v>401314</v>
      </c>
      <c r="H87" s="119">
        <v>401314</v>
      </c>
      <c r="I87" s="120">
        <v>5432</v>
      </c>
      <c r="J87" s="121">
        <v>0</v>
      </c>
      <c r="K87" s="121">
        <v>0</v>
      </c>
      <c r="L87" s="119">
        <v>15153</v>
      </c>
      <c r="M87" s="121">
        <v>0</v>
      </c>
      <c r="N87" s="119">
        <v>15153</v>
      </c>
    </row>
    <row r="88" spans="1:14" ht="15.75" thickBot="1" x14ac:dyDescent="0.3">
      <c r="A88" s="44" t="s">
        <v>1065</v>
      </c>
      <c r="B88" s="107" t="s">
        <v>1066</v>
      </c>
      <c r="C88" s="118" t="s">
        <v>798</v>
      </c>
      <c r="D88" s="119">
        <v>0</v>
      </c>
      <c r="E88" s="119">
        <v>0</v>
      </c>
      <c r="F88" s="119">
        <v>0</v>
      </c>
      <c r="G88" s="119">
        <v>0</v>
      </c>
      <c r="H88" s="119">
        <v>0</v>
      </c>
      <c r="I88" s="120">
        <v>6164</v>
      </c>
      <c r="J88" s="119">
        <v>0</v>
      </c>
      <c r="K88" s="119">
        <v>0</v>
      </c>
      <c r="L88" s="119">
        <v>5129</v>
      </c>
      <c r="M88" s="119">
        <v>0</v>
      </c>
      <c r="N88" s="119">
        <v>5129</v>
      </c>
    </row>
    <row r="89" spans="1:14" ht="15.75" thickBot="1" x14ac:dyDescent="0.3">
      <c r="A89" s="44" t="s">
        <v>1075</v>
      </c>
      <c r="B89" s="107" t="s">
        <v>1076</v>
      </c>
      <c r="C89" s="118" t="s">
        <v>798</v>
      </c>
      <c r="D89" s="119">
        <v>0</v>
      </c>
      <c r="E89" s="119">
        <v>0</v>
      </c>
      <c r="F89" s="119">
        <v>0</v>
      </c>
      <c r="G89" s="119">
        <v>0</v>
      </c>
      <c r="H89" s="119">
        <v>0</v>
      </c>
      <c r="I89" s="120">
        <v>5641</v>
      </c>
      <c r="J89" s="119">
        <v>0</v>
      </c>
      <c r="K89" s="119">
        <v>0</v>
      </c>
      <c r="L89" s="119">
        <v>0</v>
      </c>
      <c r="M89" s="119">
        <v>0</v>
      </c>
      <c r="N89" s="119">
        <v>0</v>
      </c>
    </row>
    <row r="90" spans="1:14" ht="15.75" thickBot="1" x14ac:dyDescent="0.3">
      <c r="A90" s="44" t="s">
        <v>1119</v>
      </c>
      <c r="B90" s="107" t="s">
        <v>1120</v>
      </c>
      <c r="C90" s="118" t="s">
        <v>798</v>
      </c>
      <c r="D90" s="119">
        <v>0</v>
      </c>
      <c r="E90" s="119">
        <v>0</v>
      </c>
      <c r="F90" s="119">
        <v>0</v>
      </c>
      <c r="G90" s="119">
        <v>0</v>
      </c>
      <c r="H90" s="119">
        <v>0</v>
      </c>
      <c r="I90" s="120">
        <v>6119</v>
      </c>
      <c r="J90" s="119">
        <v>0</v>
      </c>
      <c r="K90" s="119">
        <v>10880</v>
      </c>
      <c r="L90" s="119">
        <v>36264</v>
      </c>
      <c r="M90" s="119">
        <v>0</v>
      </c>
      <c r="N90" s="119">
        <v>47144</v>
      </c>
    </row>
    <row r="91" spans="1:14" ht="15.75" thickBot="1" x14ac:dyDescent="0.3">
      <c r="A91" s="44" t="s">
        <v>1129</v>
      </c>
      <c r="B91" s="107" t="s">
        <v>1130</v>
      </c>
      <c r="C91" s="118" t="s">
        <v>798</v>
      </c>
      <c r="D91" s="119">
        <v>0</v>
      </c>
      <c r="E91" s="119">
        <v>0</v>
      </c>
      <c r="F91" s="119">
        <v>0</v>
      </c>
      <c r="G91" s="119">
        <v>0</v>
      </c>
      <c r="H91" s="119">
        <v>0</v>
      </c>
      <c r="I91" s="120">
        <v>6582</v>
      </c>
      <c r="J91" s="119">
        <v>0</v>
      </c>
      <c r="K91" s="119">
        <v>2250</v>
      </c>
      <c r="L91" s="119">
        <v>2442</v>
      </c>
      <c r="M91" s="119">
        <v>0</v>
      </c>
      <c r="N91" s="119">
        <v>4692</v>
      </c>
    </row>
    <row r="92" spans="1:14" ht="15.75" thickBot="1" x14ac:dyDescent="0.3">
      <c r="A92" s="44" t="s">
        <v>1139</v>
      </c>
      <c r="B92" s="107" t="s">
        <v>1140</v>
      </c>
      <c r="C92" s="118" t="s">
        <v>798</v>
      </c>
      <c r="D92" s="119">
        <v>0</v>
      </c>
      <c r="E92" s="119">
        <v>0</v>
      </c>
      <c r="F92" s="119">
        <v>13898</v>
      </c>
      <c r="G92" s="119">
        <v>0</v>
      </c>
      <c r="H92" s="119">
        <v>13898</v>
      </c>
      <c r="I92" s="120">
        <v>5933</v>
      </c>
      <c r="J92" s="121">
        <v>0</v>
      </c>
      <c r="K92" s="121">
        <v>0</v>
      </c>
      <c r="L92" s="121">
        <v>0</v>
      </c>
      <c r="M92" s="121">
        <v>0</v>
      </c>
      <c r="N92" s="121">
        <v>0</v>
      </c>
    </row>
    <row r="93" spans="1:14" ht="15.75" thickBot="1" x14ac:dyDescent="0.3">
      <c r="A93" s="44" t="s">
        <v>1147</v>
      </c>
      <c r="B93" s="107" t="s">
        <v>1148</v>
      </c>
      <c r="C93" s="118" t="s">
        <v>798</v>
      </c>
      <c r="D93" s="119">
        <v>0</v>
      </c>
      <c r="E93" s="119">
        <v>0</v>
      </c>
      <c r="F93" s="119">
        <v>0</v>
      </c>
      <c r="G93" s="119">
        <v>0</v>
      </c>
      <c r="H93" s="119">
        <v>0</v>
      </c>
      <c r="I93" s="120">
        <v>4220</v>
      </c>
      <c r="J93" s="119">
        <v>1594</v>
      </c>
      <c r="K93" s="119">
        <v>0</v>
      </c>
      <c r="L93" s="119">
        <v>0</v>
      </c>
      <c r="M93" s="119">
        <v>0</v>
      </c>
      <c r="N93" s="119">
        <v>1594</v>
      </c>
    </row>
    <row r="94" spans="1:14" ht="15.75" thickBot="1" x14ac:dyDescent="0.3">
      <c r="A94" s="44" t="s">
        <v>1151</v>
      </c>
      <c r="B94" s="107" t="s">
        <v>1152</v>
      </c>
      <c r="C94" s="118" t="s">
        <v>798</v>
      </c>
      <c r="D94" s="119">
        <v>0</v>
      </c>
      <c r="E94" s="119">
        <v>0</v>
      </c>
      <c r="F94" s="119">
        <v>0</v>
      </c>
      <c r="G94" s="119">
        <v>0</v>
      </c>
      <c r="H94" s="119">
        <v>0</v>
      </c>
      <c r="I94" s="120">
        <v>4610</v>
      </c>
      <c r="J94" s="119">
        <v>0</v>
      </c>
      <c r="K94" s="119">
        <v>0</v>
      </c>
      <c r="L94" s="119">
        <v>3785</v>
      </c>
      <c r="M94" s="119">
        <v>0</v>
      </c>
      <c r="N94" s="119">
        <v>3785</v>
      </c>
    </row>
    <row r="95" spans="1:14" ht="15.75" thickBot="1" x14ac:dyDescent="0.3">
      <c r="A95" s="44" t="s">
        <v>1157</v>
      </c>
      <c r="B95" s="107" t="s">
        <v>1158</v>
      </c>
      <c r="C95" s="118" t="s">
        <v>798</v>
      </c>
      <c r="D95" s="119">
        <v>0</v>
      </c>
      <c r="E95" s="119">
        <v>0</v>
      </c>
      <c r="F95" s="119">
        <v>0</v>
      </c>
      <c r="G95" s="119">
        <v>0</v>
      </c>
      <c r="H95" s="119">
        <v>0</v>
      </c>
      <c r="I95" s="120">
        <v>5531</v>
      </c>
      <c r="J95" s="121">
        <v>0</v>
      </c>
      <c r="K95" s="121">
        <v>0</v>
      </c>
      <c r="L95" s="119">
        <v>74130</v>
      </c>
      <c r="M95" s="121">
        <v>0</v>
      </c>
      <c r="N95" s="119">
        <v>74130</v>
      </c>
    </row>
    <row r="96" spans="1:14" ht="15.75" thickBot="1" x14ac:dyDescent="0.3">
      <c r="A96" s="44" t="s">
        <v>1161</v>
      </c>
      <c r="B96" s="107" t="s">
        <v>1162</v>
      </c>
      <c r="C96" s="118" t="s">
        <v>798</v>
      </c>
      <c r="D96" s="119">
        <v>0</v>
      </c>
      <c r="E96" s="119">
        <v>0</v>
      </c>
      <c r="F96" s="119">
        <v>0</v>
      </c>
      <c r="G96" s="119">
        <v>0</v>
      </c>
      <c r="H96" s="119">
        <v>0</v>
      </c>
      <c r="I96" s="120">
        <v>5107</v>
      </c>
      <c r="J96" s="119">
        <v>0</v>
      </c>
      <c r="K96" s="119">
        <v>0</v>
      </c>
      <c r="L96" s="119">
        <v>0</v>
      </c>
      <c r="M96" s="119">
        <v>0</v>
      </c>
      <c r="N96" s="119">
        <v>0</v>
      </c>
    </row>
    <row r="97" spans="1:14" ht="15.75" thickBot="1" x14ac:dyDescent="0.3">
      <c r="A97" s="44" t="s">
        <v>1167</v>
      </c>
      <c r="B97" s="107" t="s">
        <v>1168</v>
      </c>
      <c r="C97" s="118" t="s">
        <v>798</v>
      </c>
      <c r="D97" s="119">
        <v>0</v>
      </c>
      <c r="E97" s="119">
        <v>0</v>
      </c>
      <c r="F97" s="119">
        <v>0</v>
      </c>
      <c r="G97" s="119">
        <v>2046520</v>
      </c>
      <c r="H97" s="119">
        <v>2046520</v>
      </c>
      <c r="I97" s="120">
        <v>5784</v>
      </c>
      <c r="J97" s="119">
        <v>0</v>
      </c>
      <c r="K97" s="119">
        <v>0</v>
      </c>
      <c r="L97" s="119">
        <v>2645822</v>
      </c>
      <c r="M97" s="119">
        <v>0</v>
      </c>
      <c r="N97" s="119">
        <v>2645822</v>
      </c>
    </row>
    <row r="98" spans="1:14" ht="15.75" thickBot="1" x14ac:dyDescent="0.3">
      <c r="A98" s="44" t="s">
        <v>1173</v>
      </c>
      <c r="B98" s="107" t="s">
        <v>1174</v>
      </c>
      <c r="C98" s="118" t="s">
        <v>798</v>
      </c>
      <c r="D98" s="119">
        <v>0</v>
      </c>
      <c r="E98" s="119">
        <v>0</v>
      </c>
      <c r="F98" s="119">
        <v>0</v>
      </c>
      <c r="G98" s="119">
        <v>0</v>
      </c>
      <c r="H98" s="119">
        <v>0</v>
      </c>
      <c r="I98" s="120">
        <v>5713</v>
      </c>
      <c r="J98" s="119">
        <v>0</v>
      </c>
      <c r="K98" s="119">
        <v>849</v>
      </c>
      <c r="L98" s="119">
        <v>5629</v>
      </c>
      <c r="M98" s="119">
        <v>0</v>
      </c>
      <c r="N98" s="119">
        <v>6478</v>
      </c>
    </row>
    <row r="99" spans="1:14" ht="15.75" thickBot="1" x14ac:dyDescent="0.3">
      <c r="A99" s="44" t="s">
        <v>1177</v>
      </c>
      <c r="B99" s="107" t="s">
        <v>1178</v>
      </c>
      <c r="C99" s="118" t="s">
        <v>798</v>
      </c>
      <c r="D99" s="119">
        <v>0</v>
      </c>
      <c r="E99" s="119">
        <v>0</v>
      </c>
      <c r="F99" s="119">
        <v>0</v>
      </c>
      <c r="G99" s="119">
        <v>0</v>
      </c>
      <c r="H99" s="119">
        <v>0</v>
      </c>
      <c r="I99" s="120">
        <v>6443</v>
      </c>
      <c r="J99" s="119">
        <v>0</v>
      </c>
      <c r="K99" s="119">
        <v>3998</v>
      </c>
      <c r="L99" s="119">
        <v>0</v>
      </c>
      <c r="M99" s="119">
        <v>0</v>
      </c>
      <c r="N99" s="119">
        <v>3998</v>
      </c>
    </row>
    <row r="100" spans="1:14" ht="15.75" thickBot="1" x14ac:dyDescent="0.3">
      <c r="A100" s="44" t="s">
        <v>1181</v>
      </c>
      <c r="B100" s="107" t="s">
        <v>1182</v>
      </c>
      <c r="C100" s="118" t="s">
        <v>798</v>
      </c>
      <c r="D100" s="119">
        <v>0</v>
      </c>
      <c r="E100" s="119">
        <v>0</v>
      </c>
      <c r="F100" s="119">
        <v>0</v>
      </c>
      <c r="G100" s="119">
        <v>0</v>
      </c>
      <c r="H100" s="119">
        <v>0</v>
      </c>
      <c r="I100" s="120">
        <v>4080</v>
      </c>
      <c r="J100" s="119">
        <v>0</v>
      </c>
      <c r="K100" s="119">
        <v>0</v>
      </c>
      <c r="L100" s="119">
        <v>0</v>
      </c>
      <c r="M100" s="119">
        <v>0</v>
      </c>
      <c r="N100" s="119">
        <v>0</v>
      </c>
    </row>
    <row r="101" spans="1:14" ht="15.75" thickBot="1" x14ac:dyDescent="0.3">
      <c r="A101" s="44" t="s">
        <v>1183</v>
      </c>
      <c r="B101" s="107" t="s">
        <v>1184</v>
      </c>
      <c r="C101" s="118" t="s">
        <v>798</v>
      </c>
      <c r="D101" s="119">
        <v>0</v>
      </c>
      <c r="E101" s="119">
        <v>0</v>
      </c>
      <c r="F101" s="119">
        <v>0</v>
      </c>
      <c r="G101" s="119">
        <v>0</v>
      </c>
      <c r="H101" s="119">
        <v>0</v>
      </c>
      <c r="I101" s="120">
        <v>5210</v>
      </c>
      <c r="J101" s="119">
        <v>0</v>
      </c>
      <c r="K101" s="119">
        <v>0</v>
      </c>
      <c r="L101" s="119">
        <v>0</v>
      </c>
      <c r="M101" s="119">
        <v>0</v>
      </c>
      <c r="N101" s="119">
        <v>0</v>
      </c>
    </row>
    <row r="102" spans="1:14" ht="15.75" thickBot="1" x14ac:dyDescent="0.3">
      <c r="A102" s="44" t="s">
        <v>1185</v>
      </c>
      <c r="B102" s="107" t="s">
        <v>1186</v>
      </c>
      <c r="C102" s="118" t="s">
        <v>798</v>
      </c>
      <c r="D102" s="119">
        <v>0</v>
      </c>
      <c r="E102" s="119">
        <v>0</v>
      </c>
      <c r="F102" s="119">
        <v>0</v>
      </c>
      <c r="G102" s="119">
        <v>0</v>
      </c>
      <c r="H102" s="119">
        <v>0</v>
      </c>
      <c r="I102" s="120">
        <v>6997</v>
      </c>
      <c r="J102" s="119">
        <v>0</v>
      </c>
      <c r="K102" s="119">
        <v>0</v>
      </c>
      <c r="L102" s="119">
        <v>0</v>
      </c>
      <c r="M102" s="119">
        <v>0</v>
      </c>
      <c r="N102" s="119">
        <v>0</v>
      </c>
    </row>
    <row r="103" spans="1:14" ht="15.75" thickBot="1" x14ac:dyDescent="0.3">
      <c r="A103" s="44" t="s">
        <v>1197</v>
      </c>
      <c r="B103" s="107" t="s">
        <v>1198</v>
      </c>
      <c r="C103" s="118" t="s">
        <v>798</v>
      </c>
      <c r="D103" s="119">
        <v>0</v>
      </c>
      <c r="E103" s="119">
        <v>0</v>
      </c>
      <c r="F103" s="119">
        <v>0</v>
      </c>
      <c r="G103" s="119">
        <v>0</v>
      </c>
      <c r="H103" s="119">
        <v>0</v>
      </c>
      <c r="I103" s="120">
        <v>4168</v>
      </c>
      <c r="J103" s="121">
        <v>0</v>
      </c>
      <c r="K103" s="121">
        <v>0</v>
      </c>
      <c r="L103" s="121">
        <v>0</v>
      </c>
      <c r="M103" s="121">
        <v>0</v>
      </c>
      <c r="N103" s="121">
        <v>0</v>
      </c>
    </row>
    <row r="104" spans="1:14" ht="15.75" thickBot="1" x14ac:dyDescent="0.3">
      <c r="A104" s="44" t="s">
        <v>1211</v>
      </c>
      <c r="B104" s="107" t="s">
        <v>1212</v>
      </c>
      <c r="C104" s="118" t="s">
        <v>798</v>
      </c>
      <c r="D104" s="119">
        <v>0</v>
      </c>
      <c r="E104" s="119">
        <v>0</v>
      </c>
      <c r="F104" s="119">
        <v>0</v>
      </c>
      <c r="G104" s="119">
        <v>0</v>
      </c>
      <c r="H104" s="119">
        <v>0</v>
      </c>
      <c r="I104" s="120">
        <v>4934</v>
      </c>
      <c r="J104" s="121">
        <v>0</v>
      </c>
      <c r="K104" s="121">
        <v>0</v>
      </c>
      <c r="L104" s="121">
        <v>0</v>
      </c>
      <c r="M104" s="119">
        <v>33910</v>
      </c>
      <c r="N104" s="119">
        <v>33910</v>
      </c>
    </row>
    <row r="105" spans="1:14" ht="15.75" thickBot="1" x14ac:dyDescent="0.3">
      <c r="A105" s="44" t="s">
        <v>1213</v>
      </c>
      <c r="B105" s="107" t="s">
        <v>1214</v>
      </c>
      <c r="C105" s="118" t="s">
        <v>798</v>
      </c>
      <c r="D105" s="119">
        <v>0</v>
      </c>
      <c r="E105" s="119">
        <v>0</v>
      </c>
      <c r="F105" s="119">
        <v>0</v>
      </c>
      <c r="G105" s="119">
        <v>0</v>
      </c>
      <c r="H105" s="119">
        <v>0</v>
      </c>
      <c r="I105" s="120">
        <v>5857</v>
      </c>
      <c r="J105" s="119">
        <v>11542</v>
      </c>
      <c r="K105" s="119">
        <v>1283</v>
      </c>
      <c r="L105" s="119">
        <v>0</v>
      </c>
      <c r="M105" s="119">
        <v>0</v>
      </c>
      <c r="N105" s="119">
        <v>12825</v>
      </c>
    </row>
    <row r="106" spans="1:14" ht="15.75" thickBot="1" x14ac:dyDescent="0.3">
      <c r="A106" s="44" t="s">
        <v>1233</v>
      </c>
      <c r="B106" s="107" t="s">
        <v>1234</v>
      </c>
      <c r="C106" s="118" t="s">
        <v>798</v>
      </c>
      <c r="D106" s="119">
        <v>0</v>
      </c>
      <c r="E106" s="119">
        <v>0</v>
      </c>
      <c r="F106" s="119">
        <v>0</v>
      </c>
      <c r="G106" s="119">
        <v>1</v>
      </c>
      <c r="H106" s="119">
        <v>1</v>
      </c>
      <c r="I106" s="120">
        <v>4141</v>
      </c>
      <c r="J106" s="119">
        <v>1200</v>
      </c>
      <c r="K106" s="119">
        <v>0</v>
      </c>
      <c r="L106" s="119">
        <v>0</v>
      </c>
      <c r="M106" s="119">
        <v>0</v>
      </c>
      <c r="N106" s="119">
        <v>1200</v>
      </c>
    </row>
    <row r="107" spans="1:14" ht="15.75" thickBot="1" x14ac:dyDescent="0.3">
      <c r="A107" s="44" t="s">
        <v>1239</v>
      </c>
      <c r="B107" s="107" t="s">
        <v>1240</v>
      </c>
      <c r="C107" s="118" t="s">
        <v>798</v>
      </c>
      <c r="D107" s="119">
        <v>0</v>
      </c>
      <c r="E107" s="119">
        <v>0</v>
      </c>
      <c r="F107" s="119">
        <v>0</v>
      </c>
      <c r="G107" s="119">
        <v>0</v>
      </c>
      <c r="H107" s="119">
        <v>0</v>
      </c>
      <c r="I107" s="120">
        <v>4197</v>
      </c>
      <c r="J107" s="119">
        <v>0</v>
      </c>
      <c r="K107" s="119">
        <v>0</v>
      </c>
      <c r="L107" s="119">
        <v>0</v>
      </c>
      <c r="M107" s="119">
        <v>0</v>
      </c>
      <c r="N107" s="119">
        <v>0</v>
      </c>
    </row>
    <row r="108" spans="1:14" ht="15.75" thickBot="1" x14ac:dyDescent="0.3">
      <c r="A108" s="44" t="s">
        <v>1245</v>
      </c>
      <c r="B108" s="107" t="s">
        <v>1246</v>
      </c>
      <c r="C108" s="118" t="s">
        <v>798</v>
      </c>
      <c r="D108" s="119">
        <v>0</v>
      </c>
      <c r="E108" s="119">
        <v>0</v>
      </c>
      <c r="F108" s="119">
        <v>0</v>
      </c>
      <c r="G108" s="119">
        <v>0</v>
      </c>
      <c r="H108" s="119">
        <v>0</v>
      </c>
      <c r="I108" s="120">
        <v>5068</v>
      </c>
      <c r="J108" s="119">
        <v>4356</v>
      </c>
      <c r="K108" s="119">
        <v>0</v>
      </c>
      <c r="L108" s="119">
        <v>2418</v>
      </c>
      <c r="M108" s="119">
        <v>0</v>
      </c>
      <c r="N108" s="119">
        <v>6774</v>
      </c>
    </row>
    <row r="109" spans="1:14" ht="15.75" thickBot="1" x14ac:dyDescent="0.3">
      <c r="A109" s="44" t="s">
        <v>1249</v>
      </c>
      <c r="B109" s="107" t="s">
        <v>1250</v>
      </c>
      <c r="C109" s="118" t="s">
        <v>798</v>
      </c>
      <c r="D109" s="119">
        <v>0</v>
      </c>
      <c r="E109" s="119">
        <v>0</v>
      </c>
      <c r="F109" s="119">
        <v>0</v>
      </c>
      <c r="G109" s="119">
        <v>0</v>
      </c>
      <c r="H109" s="119">
        <v>0</v>
      </c>
      <c r="I109" s="120">
        <v>4968</v>
      </c>
      <c r="J109" s="119">
        <v>3807</v>
      </c>
      <c r="K109" s="121">
        <v>0</v>
      </c>
      <c r="L109" s="121">
        <v>0</v>
      </c>
      <c r="M109" s="121">
        <v>0</v>
      </c>
      <c r="N109" s="119">
        <v>3807</v>
      </c>
    </row>
    <row r="110" spans="1:14" ht="15.75" thickBot="1" x14ac:dyDescent="0.3">
      <c r="A110" s="44" t="s">
        <v>1261</v>
      </c>
      <c r="B110" s="107" t="s">
        <v>1262</v>
      </c>
      <c r="C110" s="118" t="s">
        <v>798</v>
      </c>
      <c r="D110" s="119">
        <v>0</v>
      </c>
      <c r="E110" s="119">
        <v>0</v>
      </c>
      <c r="F110" s="119">
        <v>0</v>
      </c>
      <c r="G110" s="119">
        <v>0</v>
      </c>
      <c r="H110" s="119">
        <v>0</v>
      </c>
      <c r="I110" s="120">
        <v>4101</v>
      </c>
      <c r="J110" s="121">
        <v>0</v>
      </c>
      <c r="K110" s="119">
        <v>9157</v>
      </c>
      <c r="L110" s="119">
        <v>11767</v>
      </c>
      <c r="M110" s="121">
        <v>0</v>
      </c>
      <c r="N110" s="119">
        <v>20924</v>
      </c>
    </row>
    <row r="111" spans="1:14" ht="15.75" thickBot="1" x14ac:dyDescent="0.3">
      <c r="A111" s="44" t="s">
        <v>1263</v>
      </c>
      <c r="B111" s="107" t="s">
        <v>1264</v>
      </c>
      <c r="C111" s="118" t="s">
        <v>798</v>
      </c>
      <c r="D111" s="119">
        <v>0</v>
      </c>
      <c r="E111" s="119">
        <v>0</v>
      </c>
      <c r="F111" s="119">
        <v>0</v>
      </c>
      <c r="G111" s="119">
        <v>0</v>
      </c>
      <c r="H111" s="119">
        <v>0</v>
      </c>
      <c r="I111" s="120">
        <v>5241</v>
      </c>
      <c r="J111" s="119">
        <v>0</v>
      </c>
      <c r="K111" s="119">
        <v>0</v>
      </c>
      <c r="L111" s="119">
        <v>0</v>
      </c>
      <c r="M111" s="119">
        <v>0</v>
      </c>
      <c r="N111" s="119">
        <v>0</v>
      </c>
    </row>
    <row r="112" spans="1:14" ht="15.75" thickBot="1" x14ac:dyDescent="0.3">
      <c r="A112" s="44" t="s">
        <v>1271</v>
      </c>
      <c r="B112" s="107" t="s">
        <v>1272</v>
      </c>
      <c r="C112" s="118" t="s">
        <v>798</v>
      </c>
      <c r="D112" s="119">
        <v>0</v>
      </c>
      <c r="E112" s="119">
        <v>0</v>
      </c>
      <c r="F112" s="119">
        <v>0</v>
      </c>
      <c r="G112" s="119">
        <v>0</v>
      </c>
      <c r="H112" s="119">
        <v>0</v>
      </c>
      <c r="I112" s="120">
        <v>5160</v>
      </c>
      <c r="J112" s="119">
        <v>0</v>
      </c>
      <c r="K112" s="119">
        <v>0</v>
      </c>
      <c r="L112" s="119">
        <v>0</v>
      </c>
      <c r="M112" s="119">
        <v>0</v>
      </c>
      <c r="N112" s="119">
        <v>0</v>
      </c>
    </row>
    <row r="113" spans="1:14" ht="15.75" thickBot="1" x14ac:dyDescent="0.3">
      <c r="A113" s="44" t="s">
        <v>1273</v>
      </c>
      <c r="B113" s="107" t="s">
        <v>1274</v>
      </c>
      <c r="C113" s="118" t="s">
        <v>798</v>
      </c>
      <c r="D113" s="119">
        <v>0</v>
      </c>
      <c r="E113" s="119">
        <v>0</v>
      </c>
      <c r="F113" s="119">
        <v>0</v>
      </c>
      <c r="G113" s="119">
        <v>0</v>
      </c>
      <c r="H113" s="119">
        <v>0</v>
      </c>
      <c r="I113" s="120">
        <v>5841</v>
      </c>
      <c r="J113" s="119">
        <v>3586</v>
      </c>
      <c r="K113" s="119">
        <v>0</v>
      </c>
      <c r="L113" s="119">
        <v>0</v>
      </c>
      <c r="M113" s="119">
        <v>0</v>
      </c>
      <c r="N113" s="119">
        <v>3586</v>
      </c>
    </row>
    <row r="114" spans="1:14" ht="15.75" thickBot="1" x14ac:dyDescent="0.3">
      <c r="A114" s="44" t="s">
        <v>1279</v>
      </c>
      <c r="B114" s="107" t="s">
        <v>1280</v>
      </c>
      <c r="C114" s="118" t="s">
        <v>798</v>
      </c>
      <c r="D114" s="119">
        <v>0</v>
      </c>
      <c r="E114" s="119">
        <v>0</v>
      </c>
      <c r="F114" s="119">
        <v>1046</v>
      </c>
      <c r="G114" s="119">
        <v>0</v>
      </c>
      <c r="H114" s="119">
        <v>1046</v>
      </c>
      <c r="I114" s="120">
        <v>4730</v>
      </c>
      <c r="J114" s="121">
        <v>0</v>
      </c>
      <c r="K114" s="121">
        <v>0</v>
      </c>
      <c r="L114" s="119">
        <v>1046</v>
      </c>
      <c r="M114" s="121">
        <v>0</v>
      </c>
      <c r="N114" s="119">
        <v>1046</v>
      </c>
    </row>
    <row r="115" spans="1:14" ht="15.75" thickBot="1" x14ac:dyDescent="0.3">
      <c r="A115" s="44" t="s">
        <v>1297</v>
      </c>
      <c r="B115" s="107" t="s">
        <v>1298</v>
      </c>
      <c r="C115" s="118" t="s">
        <v>798</v>
      </c>
      <c r="D115" s="119">
        <v>0</v>
      </c>
      <c r="E115" s="119">
        <v>0</v>
      </c>
      <c r="F115" s="119">
        <v>0</v>
      </c>
      <c r="G115" s="119">
        <v>0</v>
      </c>
      <c r="H115" s="119">
        <v>0</v>
      </c>
      <c r="I115" s="120">
        <v>5072</v>
      </c>
      <c r="J115" s="119">
        <v>2218</v>
      </c>
      <c r="K115" s="119">
        <v>0</v>
      </c>
      <c r="L115" s="119">
        <v>7152</v>
      </c>
      <c r="M115" s="119">
        <v>0</v>
      </c>
      <c r="N115" s="119">
        <v>9370</v>
      </c>
    </row>
    <row r="116" spans="1:14" ht="15.75" thickBot="1" x14ac:dyDescent="0.3">
      <c r="A116" s="44" t="s">
        <v>1299</v>
      </c>
      <c r="B116" s="107" t="s">
        <v>1300</v>
      </c>
      <c r="C116" s="118" t="s">
        <v>798</v>
      </c>
      <c r="D116" s="119">
        <v>0</v>
      </c>
      <c r="E116" s="119">
        <v>0</v>
      </c>
      <c r="F116" s="119">
        <v>0</v>
      </c>
      <c r="G116" s="119">
        <v>0</v>
      </c>
      <c r="H116" s="119">
        <v>0</v>
      </c>
      <c r="I116" s="120">
        <v>6634</v>
      </c>
      <c r="J116" s="119">
        <v>0</v>
      </c>
      <c r="K116" s="119">
        <v>0</v>
      </c>
      <c r="L116" s="119">
        <v>0</v>
      </c>
      <c r="M116" s="119">
        <v>0</v>
      </c>
      <c r="N116" s="119">
        <v>0</v>
      </c>
    </row>
    <row r="117" spans="1:14" ht="15.75" thickBot="1" x14ac:dyDescent="0.3">
      <c r="A117" s="44" t="s">
        <v>1311</v>
      </c>
      <c r="B117" s="107" t="s">
        <v>1312</v>
      </c>
      <c r="C117" s="118" t="s">
        <v>798</v>
      </c>
      <c r="D117" s="119">
        <v>0</v>
      </c>
      <c r="E117" s="119">
        <v>0</v>
      </c>
      <c r="F117" s="119">
        <v>0</v>
      </c>
      <c r="G117" s="119">
        <v>0</v>
      </c>
      <c r="H117" s="119">
        <v>0</v>
      </c>
      <c r="I117" s="120">
        <v>5302</v>
      </c>
      <c r="J117" s="119">
        <v>0</v>
      </c>
      <c r="K117" s="119">
        <v>0</v>
      </c>
      <c r="L117" s="119">
        <v>0</v>
      </c>
      <c r="M117" s="119">
        <v>0</v>
      </c>
      <c r="N117" s="119">
        <v>0</v>
      </c>
    </row>
    <row r="118" spans="1:14" ht="15.75" thickBot="1" x14ac:dyDescent="0.3">
      <c r="A118" s="44" t="s">
        <v>1313</v>
      </c>
      <c r="B118" s="107" t="s">
        <v>1314</v>
      </c>
      <c r="C118" s="118" t="s">
        <v>798</v>
      </c>
      <c r="D118" s="119">
        <v>0</v>
      </c>
      <c r="E118" s="119">
        <v>0</v>
      </c>
      <c r="F118" s="119">
        <v>0</v>
      </c>
      <c r="G118" s="119">
        <v>0</v>
      </c>
      <c r="H118" s="119">
        <v>0</v>
      </c>
      <c r="I118" s="120">
        <v>6834</v>
      </c>
      <c r="J118" s="119">
        <v>0</v>
      </c>
      <c r="K118" s="119">
        <v>0</v>
      </c>
      <c r="L118" s="119">
        <v>0</v>
      </c>
      <c r="M118" s="119">
        <v>0</v>
      </c>
      <c r="N118" s="119">
        <v>0</v>
      </c>
    </row>
    <row r="119" spans="1:14" ht="15.75" thickBot="1" x14ac:dyDescent="0.3">
      <c r="A119" s="44" t="s">
        <v>1317</v>
      </c>
      <c r="B119" s="107" t="s">
        <v>1318</v>
      </c>
      <c r="C119" s="118" t="s">
        <v>798</v>
      </c>
      <c r="D119" s="119">
        <v>0</v>
      </c>
      <c r="E119" s="119">
        <v>0</v>
      </c>
      <c r="F119" s="119">
        <v>0</v>
      </c>
      <c r="G119" s="119">
        <v>0</v>
      </c>
      <c r="H119" s="119">
        <v>0</v>
      </c>
      <c r="I119" s="120">
        <v>4469</v>
      </c>
      <c r="J119" s="119">
        <v>0</v>
      </c>
      <c r="K119" s="119">
        <v>2520</v>
      </c>
      <c r="L119" s="119">
        <v>7210</v>
      </c>
      <c r="M119" s="119">
        <v>0</v>
      </c>
      <c r="N119" s="119">
        <v>9730</v>
      </c>
    </row>
    <row r="120" spans="1:14" ht="15.75" thickBot="1" x14ac:dyDescent="0.3">
      <c r="A120" s="44" t="s">
        <v>1325</v>
      </c>
      <c r="B120" s="107" t="s">
        <v>1326</v>
      </c>
      <c r="C120" s="118" t="s">
        <v>798</v>
      </c>
      <c r="D120" s="119">
        <v>0</v>
      </c>
      <c r="E120" s="119">
        <v>0</v>
      </c>
      <c r="F120" s="119">
        <v>0</v>
      </c>
      <c r="G120" s="119">
        <v>0</v>
      </c>
      <c r="H120" s="119">
        <v>0</v>
      </c>
      <c r="I120" s="120">
        <v>6174</v>
      </c>
      <c r="J120" s="119">
        <v>2062</v>
      </c>
      <c r="K120" s="119">
        <v>6384</v>
      </c>
      <c r="L120" s="119">
        <v>16891</v>
      </c>
      <c r="M120" s="119">
        <v>11866</v>
      </c>
      <c r="N120" s="119">
        <v>37203</v>
      </c>
    </row>
    <row r="121" spans="1:14" ht="15.75" thickBot="1" x14ac:dyDescent="0.3">
      <c r="A121" s="44" t="s">
        <v>1345</v>
      </c>
      <c r="B121" s="107" t="s">
        <v>1346</v>
      </c>
      <c r="C121" s="118" t="s">
        <v>798</v>
      </c>
      <c r="D121" s="119">
        <v>0</v>
      </c>
      <c r="E121" s="119">
        <v>0</v>
      </c>
      <c r="F121" s="119">
        <v>0</v>
      </c>
      <c r="G121" s="119">
        <v>0</v>
      </c>
      <c r="H121" s="119">
        <v>0</v>
      </c>
      <c r="I121" s="120">
        <v>5305</v>
      </c>
      <c r="J121" s="119">
        <v>6758</v>
      </c>
      <c r="K121" s="119">
        <v>2896</v>
      </c>
      <c r="L121" s="119">
        <v>57109</v>
      </c>
      <c r="M121" s="119">
        <v>0</v>
      </c>
      <c r="N121" s="119">
        <v>66763</v>
      </c>
    </row>
    <row r="122" spans="1:14" ht="15.75" thickBot="1" x14ac:dyDescent="0.3">
      <c r="A122" s="44" t="s">
        <v>1351</v>
      </c>
      <c r="B122" s="107" t="s">
        <v>1352</v>
      </c>
      <c r="C122" s="118" t="s">
        <v>798</v>
      </c>
      <c r="D122" s="119">
        <v>0</v>
      </c>
      <c r="E122" s="119">
        <v>0</v>
      </c>
      <c r="F122" s="119">
        <v>0</v>
      </c>
      <c r="G122" s="119">
        <v>0</v>
      </c>
      <c r="H122" s="119">
        <v>0</v>
      </c>
      <c r="I122" s="120">
        <v>6341</v>
      </c>
      <c r="J122" s="119">
        <v>4000</v>
      </c>
      <c r="K122" s="119">
        <v>9500</v>
      </c>
      <c r="L122" s="119">
        <v>7800</v>
      </c>
      <c r="M122" s="119">
        <v>0</v>
      </c>
      <c r="N122" s="119">
        <v>21300</v>
      </c>
    </row>
    <row r="123" spans="1:14" ht="15.75" thickBot="1" x14ac:dyDescent="0.3">
      <c r="A123" s="44" t="s">
        <v>1357</v>
      </c>
      <c r="B123" s="107" t="s">
        <v>1358</v>
      </c>
      <c r="C123" s="118" t="s">
        <v>798</v>
      </c>
      <c r="D123" s="119">
        <v>0</v>
      </c>
      <c r="E123" s="119">
        <v>0</v>
      </c>
      <c r="F123" s="119">
        <v>0</v>
      </c>
      <c r="G123" s="119">
        <v>1167155</v>
      </c>
      <c r="H123" s="119">
        <v>1167155</v>
      </c>
      <c r="I123" s="120">
        <v>5433</v>
      </c>
      <c r="J123" s="119">
        <v>0</v>
      </c>
      <c r="K123" s="119">
        <v>19197</v>
      </c>
      <c r="L123" s="119">
        <v>1341456</v>
      </c>
      <c r="M123" s="119">
        <v>89043</v>
      </c>
      <c r="N123" s="119">
        <v>1449696</v>
      </c>
    </row>
    <row r="124" spans="1:14" ht="15.75" thickBot="1" x14ac:dyDescent="0.3">
      <c r="A124" s="44" t="s">
        <v>1367</v>
      </c>
      <c r="B124" s="107" t="s">
        <v>1368</v>
      </c>
      <c r="C124" s="118" t="s">
        <v>798</v>
      </c>
      <c r="D124" s="119">
        <v>0</v>
      </c>
      <c r="E124" s="119">
        <v>0</v>
      </c>
      <c r="F124" s="119">
        <v>0</v>
      </c>
      <c r="G124" s="119">
        <v>0</v>
      </c>
      <c r="H124" s="119">
        <v>0</v>
      </c>
      <c r="I124" s="120">
        <v>6654</v>
      </c>
      <c r="J124" s="119">
        <v>7128</v>
      </c>
      <c r="K124" s="119">
        <v>5800</v>
      </c>
      <c r="L124" s="119">
        <v>14179</v>
      </c>
      <c r="M124" s="119">
        <v>0</v>
      </c>
      <c r="N124" s="119">
        <v>27107</v>
      </c>
    </row>
    <row r="125" spans="1:14" ht="15.75" thickBot="1" x14ac:dyDescent="0.3">
      <c r="A125" s="44" t="s">
        <v>1371</v>
      </c>
      <c r="B125" s="107" t="s">
        <v>1372</v>
      </c>
      <c r="C125" s="118" t="s">
        <v>798</v>
      </c>
      <c r="D125" s="119">
        <v>0</v>
      </c>
      <c r="E125" s="119">
        <v>0</v>
      </c>
      <c r="F125" s="119">
        <v>0</v>
      </c>
      <c r="G125" s="119">
        <v>0</v>
      </c>
      <c r="H125" s="119">
        <v>0</v>
      </c>
      <c r="I125" s="120">
        <v>4105</v>
      </c>
      <c r="J125" s="119">
        <v>0</v>
      </c>
      <c r="K125" s="119">
        <v>0</v>
      </c>
      <c r="L125" s="119">
        <v>0</v>
      </c>
      <c r="M125" s="119">
        <v>0</v>
      </c>
      <c r="N125" s="119">
        <v>0</v>
      </c>
    </row>
    <row r="126" spans="1:14" ht="15.75" thickBot="1" x14ac:dyDescent="0.3">
      <c r="A126" s="44" t="s">
        <v>1377</v>
      </c>
      <c r="B126" s="107" t="s">
        <v>1378</v>
      </c>
      <c r="C126" s="118" t="s">
        <v>798</v>
      </c>
      <c r="D126" s="119">
        <v>0</v>
      </c>
      <c r="E126" s="119">
        <v>0</v>
      </c>
      <c r="F126" s="119">
        <v>88500</v>
      </c>
      <c r="G126" s="119">
        <v>4000</v>
      </c>
      <c r="H126" s="119">
        <v>92500</v>
      </c>
      <c r="I126" s="120">
        <v>5033</v>
      </c>
      <c r="J126" s="119">
        <v>5000</v>
      </c>
      <c r="K126" s="119">
        <v>7425</v>
      </c>
      <c r="L126" s="119">
        <v>0</v>
      </c>
      <c r="M126" s="119">
        <v>0</v>
      </c>
      <c r="N126" s="119">
        <v>12425</v>
      </c>
    </row>
    <row r="127" spans="1:14" ht="15.75" thickBot="1" x14ac:dyDescent="0.3">
      <c r="A127" s="44" t="s">
        <v>1385</v>
      </c>
      <c r="B127" s="107" t="s">
        <v>1386</v>
      </c>
      <c r="C127" s="118" t="s">
        <v>798</v>
      </c>
      <c r="D127" s="119">
        <v>0</v>
      </c>
      <c r="E127" s="119">
        <v>0</v>
      </c>
      <c r="F127" s="119">
        <v>0</v>
      </c>
      <c r="G127" s="119">
        <v>0</v>
      </c>
      <c r="H127" s="119">
        <v>0</v>
      </c>
      <c r="I127" s="120">
        <v>5413</v>
      </c>
      <c r="J127" s="119">
        <v>0</v>
      </c>
      <c r="K127" s="119">
        <v>1600</v>
      </c>
      <c r="L127" s="119">
        <v>0</v>
      </c>
      <c r="M127" s="119">
        <v>0</v>
      </c>
      <c r="N127" s="119">
        <v>1600</v>
      </c>
    </row>
    <row r="128" spans="1:14" ht="15.75" thickBot="1" x14ac:dyDescent="0.3">
      <c r="A128" s="44" t="s">
        <v>1391</v>
      </c>
      <c r="B128" s="107" t="s">
        <v>1392</v>
      </c>
      <c r="C128" s="118" t="s">
        <v>798</v>
      </c>
      <c r="D128" s="119">
        <v>0</v>
      </c>
      <c r="E128" s="119">
        <v>0</v>
      </c>
      <c r="F128" s="119">
        <v>0</v>
      </c>
      <c r="G128" s="119">
        <v>0</v>
      </c>
      <c r="H128" s="119">
        <v>0</v>
      </c>
      <c r="I128" s="120">
        <v>6847</v>
      </c>
      <c r="J128" s="119">
        <v>0</v>
      </c>
      <c r="K128" s="119">
        <v>0</v>
      </c>
      <c r="L128" s="119">
        <v>0</v>
      </c>
      <c r="M128" s="119">
        <v>0</v>
      </c>
      <c r="N128" s="119">
        <v>0</v>
      </c>
    </row>
    <row r="129" spans="1:14" ht="15.75" thickBot="1" x14ac:dyDescent="0.3">
      <c r="A129" s="44" t="s">
        <v>1393</v>
      </c>
      <c r="B129" s="107" t="s">
        <v>1394</v>
      </c>
      <c r="C129" s="118" t="s">
        <v>798</v>
      </c>
      <c r="D129" s="119">
        <v>0</v>
      </c>
      <c r="E129" s="119">
        <v>0</v>
      </c>
      <c r="F129" s="119">
        <v>0</v>
      </c>
      <c r="G129" s="119">
        <v>1003792</v>
      </c>
      <c r="H129" s="119">
        <v>1003792</v>
      </c>
      <c r="I129" s="120">
        <v>6240</v>
      </c>
      <c r="J129" s="119">
        <v>0</v>
      </c>
      <c r="K129" s="119">
        <v>0</v>
      </c>
      <c r="L129" s="119">
        <v>0</v>
      </c>
      <c r="M129" s="119">
        <v>0</v>
      </c>
      <c r="N129" s="119">
        <v>0</v>
      </c>
    </row>
    <row r="130" spans="1:14" ht="15.75" thickBot="1" x14ac:dyDescent="0.3">
      <c r="A130" s="44" t="s">
        <v>1399</v>
      </c>
      <c r="B130" s="107" t="s">
        <v>1400</v>
      </c>
      <c r="C130" s="118" t="s">
        <v>798</v>
      </c>
      <c r="D130" s="119">
        <v>0</v>
      </c>
      <c r="E130" s="119">
        <v>0</v>
      </c>
      <c r="F130" s="119">
        <v>0</v>
      </c>
      <c r="G130" s="119">
        <v>0</v>
      </c>
      <c r="H130" s="119">
        <v>0</v>
      </c>
      <c r="I130" s="120">
        <v>5376</v>
      </c>
      <c r="J130" s="119">
        <v>0</v>
      </c>
      <c r="K130" s="119">
        <v>0</v>
      </c>
      <c r="L130" s="119">
        <v>0</v>
      </c>
      <c r="M130" s="119">
        <v>0</v>
      </c>
      <c r="N130" s="119">
        <v>0</v>
      </c>
    </row>
    <row r="131" spans="1:14" ht="15.75" thickBot="1" x14ac:dyDescent="0.3">
      <c r="A131" s="44" t="s">
        <v>1405</v>
      </c>
      <c r="B131" s="107" t="s">
        <v>1406</v>
      </c>
      <c r="C131" s="118" t="s">
        <v>798</v>
      </c>
      <c r="D131" s="119">
        <v>0</v>
      </c>
      <c r="E131" s="119">
        <v>4050</v>
      </c>
      <c r="F131" s="119">
        <v>21986</v>
      </c>
      <c r="G131" s="119">
        <v>6600</v>
      </c>
      <c r="H131" s="119">
        <v>32636</v>
      </c>
      <c r="I131" s="120">
        <v>5523</v>
      </c>
      <c r="J131" s="119">
        <v>626</v>
      </c>
      <c r="K131" s="119">
        <v>5494</v>
      </c>
      <c r="L131" s="119">
        <v>2632</v>
      </c>
      <c r="M131" s="119">
        <v>5489</v>
      </c>
      <c r="N131" s="119">
        <v>14241</v>
      </c>
    </row>
    <row r="132" spans="1:14" ht="15.75" thickBot="1" x14ac:dyDescent="0.3">
      <c r="A132" s="44" t="s">
        <v>1417</v>
      </c>
      <c r="B132" s="107" t="s">
        <v>1418</v>
      </c>
      <c r="C132" s="118" t="s">
        <v>798</v>
      </c>
      <c r="D132" s="119">
        <v>0</v>
      </c>
      <c r="E132" s="119">
        <v>0</v>
      </c>
      <c r="F132" s="119">
        <v>0</v>
      </c>
      <c r="G132" s="119">
        <v>0</v>
      </c>
      <c r="H132" s="119">
        <v>0</v>
      </c>
      <c r="I132" s="120">
        <v>4659</v>
      </c>
      <c r="J132" s="119">
        <v>0</v>
      </c>
      <c r="K132" s="119">
        <v>0</v>
      </c>
      <c r="L132" s="119">
        <v>0</v>
      </c>
      <c r="M132" s="119">
        <v>0</v>
      </c>
      <c r="N132" s="119">
        <v>0</v>
      </c>
    </row>
    <row r="133" spans="1:14" ht="15.75" thickBot="1" x14ac:dyDescent="0.3">
      <c r="A133" s="44" t="s">
        <v>1429</v>
      </c>
      <c r="B133" s="107" t="s">
        <v>1430</v>
      </c>
      <c r="C133" s="118" t="s">
        <v>798</v>
      </c>
      <c r="D133" s="119">
        <v>0</v>
      </c>
      <c r="E133" s="119">
        <v>0</v>
      </c>
      <c r="F133" s="119">
        <v>0</v>
      </c>
      <c r="G133" s="119">
        <v>0</v>
      </c>
      <c r="H133" s="119">
        <v>0</v>
      </c>
      <c r="I133" s="120">
        <v>6295</v>
      </c>
      <c r="J133" s="119">
        <v>12996</v>
      </c>
      <c r="K133" s="119">
        <v>0</v>
      </c>
      <c r="L133" s="119">
        <v>0</v>
      </c>
      <c r="M133" s="119">
        <v>0</v>
      </c>
      <c r="N133" s="119">
        <v>12996</v>
      </c>
    </row>
    <row r="134" spans="1:14" ht="15.75" thickBot="1" x14ac:dyDescent="0.3">
      <c r="A134" s="44" t="s">
        <v>1443</v>
      </c>
      <c r="B134" s="107" t="s">
        <v>1444</v>
      </c>
      <c r="C134" s="118" t="s">
        <v>798</v>
      </c>
      <c r="D134" s="119">
        <v>0</v>
      </c>
      <c r="E134" s="119">
        <v>0</v>
      </c>
      <c r="F134" s="119">
        <v>0</v>
      </c>
      <c r="G134" s="119">
        <v>0</v>
      </c>
      <c r="H134" s="119">
        <v>0</v>
      </c>
      <c r="I134" s="120">
        <v>4434</v>
      </c>
      <c r="J134" s="119">
        <v>4466</v>
      </c>
      <c r="K134" s="119">
        <v>0</v>
      </c>
      <c r="L134" s="119">
        <v>7182</v>
      </c>
      <c r="M134" s="119">
        <v>0</v>
      </c>
      <c r="N134" s="119">
        <v>11648</v>
      </c>
    </row>
    <row r="135" spans="1:14" ht="15.75" thickBot="1" x14ac:dyDescent="0.3">
      <c r="A135" s="44" t="s">
        <v>1453</v>
      </c>
      <c r="B135" s="107" t="s">
        <v>1454</v>
      </c>
      <c r="C135" s="118" t="s">
        <v>798</v>
      </c>
      <c r="D135" s="119">
        <v>0</v>
      </c>
      <c r="E135" s="119">
        <v>0</v>
      </c>
      <c r="F135" s="119">
        <v>3332</v>
      </c>
      <c r="G135" s="119">
        <v>0</v>
      </c>
      <c r="H135" s="119">
        <v>3332</v>
      </c>
      <c r="I135" s="120">
        <v>4375</v>
      </c>
      <c r="J135" s="119">
        <v>0</v>
      </c>
      <c r="K135" s="119">
        <v>9334</v>
      </c>
      <c r="L135" s="119">
        <v>0</v>
      </c>
      <c r="M135" s="119">
        <v>0</v>
      </c>
      <c r="N135" s="119">
        <v>9334</v>
      </c>
    </row>
    <row r="136" spans="1:14" ht="15.75" thickBot="1" x14ac:dyDescent="0.3">
      <c r="A136" s="44" t="s">
        <v>1457</v>
      </c>
      <c r="B136" s="107" t="s">
        <v>1458</v>
      </c>
      <c r="C136" s="118" t="s">
        <v>798</v>
      </c>
      <c r="D136" s="119">
        <v>0</v>
      </c>
      <c r="E136" s="119">
        <v>0</v>
      </c>
      <c r="F136" s="119">
        <v>0</v>
      </c>
      <c r="G136" s="119">
        <v>750</v>
      </c>
      <c r="H136" s="119">
        <v>750</v>
      </c>
      <c r="I136" s="120">
        <v>5101</v>
      </c>
      <c r="J136" s="119">
        <v>0</v>
      </c>
      <c r="K136" s="119">
        <v>5229</v>
      </c>
      <c r="L136" s="119">
        <v>719702</v>
      </c>
      <c r="M136" s="119">
        <v>0</v>
      </c>
      <c r="N136" s="119">
        <v>724931</v>
      </c>
    </row>
    <row r="137" spans="1:14" ht="15.75" thickBot="1" x14ac:dyDescent="0.3">
      <c r="A137" s="44" t="s">
        <v>1463</v>
      </c>
      <c r="B137" s="107" t="s">
        <v>1464</v>
      </c>
      <c r="C137" s="118" t="s">
        <v>798</v>
      </c>
      <c r="D137" s="119">
        <v>0</v>
      </c>
      <c r="E137" s="119">
        <v>0</v>
      </c>
      <c r="F137" s="119">
        <v>0</v>
      </c>
      <c r="G137" s="119">
        <v>0</v>
      </c>
      <c r="H137" s="119">
        <v>0</v>
      </c>
      <c r="I137" s="120">
        <v>4038</v>
      </c>
      <c r="J137" s="119">
        <v>10113</v>
      </c>
      <c r="K137" s="119">
        <v>0</v>
      </c>
      <c r="L137" s="119">
        <v>0</v>
      </c>
      <c r="M137" s="119">
        <v>0</v>
      </c>
      <c r="N137" s="119">
        <v>10113</v>
      </c>
    </row>
    <row r="138" spans="1:14" ht="15.75" thickBot="1" x14ac:dyDescent="0.3">
      <c r="A138" s="44" t="s">
        <v>1472</v>
      </c>
      <c r="B138" s="107" t="s">
        <v>1473</v>
      </c>
      <c r="C138" s="118" t="s">
        <v>798</v>
      </c>
      <c r="D138" s="119">
        <v>0</v>
      </c>
      <c r="E138" s="119">
        <v>0</v>
      </c>
      <c r="F138" s="119">
        <v>0</v>
      </c>
      <c r="G138" s="119">
        <v>0</v>
      </c>
      <c r="H138" s="119">
        <v>0</v>
      </c>
      <c r="I138" s="120">
        <v>5635</v>
      </c>
      <c r="J138" s="119">
        <v>0</v>
      </c>
      <c r="K138" s="119">
        <v>430</v>
      </c>
      <c r="L138" s="119">
        <v>0</v>
      </c>
      <c r="M138" s="119">
        <v>0</v>
      </c>
      <c r="N138" s="119">
        <v>430</v>
      </c>
    </row>
    <row r="139" spans="1:14" ht="15.75" thickBot="1" x14ac:dyDescent="0.3">
      <c r="A139" s="44" t="s">
        <v>1494</v>
      </c>
      <c r="B139" s="107" t="s">
        <v>1495</v>
      </c>
      <c r="C139" s="118" t="s">
        <v>798</v>
      </c>
      <c r="D139" s="119">
        <v>0</v>
      </c>
      <c r="E139" s="119">
        <v>0</v>
      </c>
      <c r="F139" s="119">
        <v>0</v>
      </c>
      <c r="G139" s="119">
        <v>0</v>
      </c>
      <c r="H139" s="119">
        <v>0</v>
      </c>
      <c r="I139" s="120">
        <v>4046</v>
      </c>
      <c r="J139" s="119">
        <v>0</v>
      </c>
      <c r="K139" s="119">
        <v>4251</v>
      </c>
      <c r="L139" s="119">
        <v>0</v>
      </c>
      <c r="M139" s="119">
        <v>0</v>
      </c>
      <c r="N139" s="119">
        <v>4251</v>
      </c>
    </row>
    <row r="140" spans="1:14" ht="15.75" thickBot="1" x14ac:dyDescent="0.3">
      <c r="A140" s="44" t="s">
        <v>1506</v>
      </c>
      <c r="B140" s="107" t="s">
        <v>1507</v>
      </c>
      <c r="C140" s="118" t="s">
        <v>798</v>
      </c>
      <c r="D140" s="119">
        <v>0</v>
      </c>
      <c r="E140" s="119">
        <v>2900</v>
      </c>
      <c r="F140" s="119">
        <v>0</v>
      </c>
      <c r="G140" s="119">
        <v>0</v>
      </c>
      <c r="H140" s="119">
        <v>2900</v>
      </c>
      <c r="I140" s="120">
        <v>5479</v>
      </c>
      <c r="J140" s="119">
        <v>13983</v>
      </c>
      <c r="K140" s="121">
        <v>0</v>
      </c>
      <c r="L140" s="121">
        <v>0</v>
      </c>
      <c r="M140" s="121">
        <v>0</v>
      </c>
      <c r="N140" s="119">
        <v>13983</v>
      </c>
    </row>
    <row r="141" spans="1:14" ht="15.75" thickBot="1" x14ac:dyDescent="0.3">
      <c r="A141" s="44" t="s">
        <v>1514</v>
      </c>
      <c r="B141" s="107" t="s">
        <v>1515</v>
      </c>
      <c r="C141" s="118" t="s">
        <v>798</v>
      </c>
      <c r="D141" s="119">
        <v>0</v>
      </c>
      <c r="E141" s="119">
        <v>0</v>
      </c>
      <c r="F141" s="119">
        <v>0</v>
      </c>
      <c r="G141" s="119">
        <v>0</v>
      </c>
      <c r="H141" s="119">
        <v>0</v>
      </c>
      <c r="I141" s="120">
        <v>6680</v>
      </c>
      <c r="J141" s="119">
        <v>0</v>
      </c>
      <c r="K141" s="119">
        <v>0</v>
      </c>
      <c r="L141" s="119">
        <v>500</v>
      </c>
      <c r="M141" s="119">
        <v>0</v>
      </c>
      <c r="N141" s="119">
        <v>500</v>
      </c>
    </row>
    <row r="142" spans="1:14" ht="15.75" thickBot="1" x14ac:dyDescent="0.3">
      <c r="A142" s="44" t="s">
        <v>1522</v>
      </c>
      <c r="B142" s="107" t="s">
        <v>1523</v>
      </c>
      <c r="C142" s="118" t="s">
        <v>798</v>
      </c>
      <c r="D142" s="119">
        <v>0</v>
      </c>
      <c r="E142" s="119">
        <v>4424</v>
      </c>
      <c r="F142" s="119">
        <v>0</v>
      </c>
      <c r="G142" s="119">
        <v>0</v>
      </c>
      <c r="H142" s="119">
        <v>4424</v>
      </c>
      <c r="I142" s="120">
        <v>6033</v>
      </c>
      <c r="J142" s="119">
        <v>0</v>
      </c>
      <c r="K142" s="119">
        <v>3150</v>
      </c>
      <c r="L142" s="119">
        <v>0</v>
      </c>
      <c r="M142" s="119">
        <v>0</v>
      </c>
      <c r="N142" s="119">
        <v>3150</v>
      </c>
    </row>
    <row r="143" spans="1:14" ht="15.75" thickBot="1" x14ac:dyDescent="0.3">
      <c r="A143" s="44" t="s">
        <v>1530</v>
      </c>
      <c r="B143" s="107" t="s">
        <v>1531</v>
      </c>
      <c r="C143" s="118" t="s">
        <v>798</v>
      </c>
      <c r="D143" s="119">
        <v>0</v>
      </c>
      <c r="E143" s="119">
        <v>0</v>
      </c>
      <c r="F143" s="119">
        <v>0</v>
      </c>
      <c r="G143" s="119">
        <v>0</v>
      </c>
      <c r="H143" s="119">
        <v>0</v>
      </c>
      <c r="I143" s="120">
        <v>4576</v>
      </c>
      <c r="J143" s="119">
        <v>0</v>
      </c>
      <c r="K143" s="119">
        <v>13799</v>
      </c>
      <c r="L143" s="119">
        <v>0</v>
      </c>
      <c r="M143" s="119">
        <v>0</v>
      </c>
      <c r="N143" s="119">
        <v>13799</v>
      </c>
    </row>
    <row r="144" spans="1:14" ht="15.75" thickBot="1" x14ac:dyDescent="0.3">
      <c r="A144" s="44" t="s">
        <v>1544</v>
      </c>
      <c r="B144" s="107" t="s">
        <v>1545</v>
      </c>
      <c r="C144" s="118" t="s">
        <v>798</v>
      </c>
      <c r="D144" s="119">
        <v>0</v>
      </c>
      <c r="E144" s="119">
        <v>0</v>
      </c>
      <c r="F144" s="119">
        <v>0</v>
      </c>
      <c r="G144" s="119">
        <v>0</v>
      </c>
      <c r="H144" s="119">
        <v>0</v>
      </c>
      <c r="I144" s="120">
        <v>4757</v>
      </c>
      <c r="J144" s="121">
        <v>0</v>
      </c>
      <c r="K144" s="119">
        <v>1458</v>
      </c>
      <c r="L144" s="119">
        <v>3993</v>
      </c>
      <c r="M144" s="121">
        <v>0</v>
      </c>
      <c r="N144" s="119">
        <v>5451</v>
      </c>
    </row>
    <row r="145" spans="1:14" ht="15.75" thickBot="1" x14ac:dyDescent="0.3">
      <c r="A145" s="44" t="s">
        <v>1550</v>
      </c>
      <c r="B145" s="107" t="s">
        <v>1551</v>
      </c>
      <c r="C145" s="118" t="s">
        <v>798</v>
      </c>
      <c r="D145" s="119">
        <v>0</v>
      </c>
      <c r="E145" s="119">
        <v>0</v>
      </c>
      <c r="F145" s="119">
        <v>0</v>
      </c>
      <c r="G145" s="119">
        <v>0</v>
      </c>
      <c r="H145" s="119">
        <v>0</v>
      </c>
      <c r="I145" s="120">
        <v>4614</v>
      </c>
      <c r="J145" s="119">
        <v>0</v>
      </c>
      <c r="K145" s="119">
        <v>0</v>
      </c>
      <c r="L145" s="119">
        <v>0</v>
      </c>
      <c r="M145" s="119">
        <v>0</v>
      </c>
      <c r="N145" s="119">
        <v>0</v>
      </c>
    </row>
    <row r="146" spans="1:14" ht="15.75" thickBot="1" x14ac:dyDescent="0.3">
      <c r="A146" s="44" t="s">
        <v>1560</v>
      </c>
      <c r="B146" s="107" t="s">
        <v>1561</v>
      </c>
      <c r="C146" s="118" t="s">
        <v>798</v>
      </c>
      <c r="D146" s="119">
        <v>0</v>
      </c>
      <c r="E146" s="119">
        <v>0</v>
      </c>
      <c r="F146" s="119">
        <v>0</v>
      </c>
      <c r="G146" s="119">
        <v>0</v>
      </c>
      <c r="H146" s="119">
        <v>0</v>
      </c>
      <c r="I146" s="120">
        <v>6999</v>
      </c>
      <c r="J146" s="119">
        <v>0</v>
      </c>
      <c r="K146" s="119">
        <v>0</v>
      </c>
      <c r="L146" s="119">
        <v>0</v>
      </c>
      <c r="M146" s="119">
        <v>0</v>
      </c>
      <c r="N146" s="119">
        <v>0</v>
      </c>
    </row>
    <row r="147" spans="1:14" ht="15.75" thickBot="1" x14ac:dyDescent="0.3">
      <c r="A147" s="44" t="s">
        <v>1570</v>
      </c>
      <c r="B147" s="107" t="s">
        <v>1571</v>
      </c>
      <c r="C147" s="118" t="s">
        <v>798</v>
      </c>
      <c r="D147" s="119">
        <v>0</v>
      </c>
      <c r="E147" s="119">
        <v>0</v>
      </c>
      <c r="F147" s="119">
        <v>1330</v>
      </c>
      <c r="G147" s="119">
        <v>1330</v>
      </c>
      <c r="H147" s="119">
        <v>2660</v>
      </c>
      <c r="I147" s="120">
        <v>4837</v>
      </c>
      <c r="J147" s="119">
        <v>785</v>
      </c>
      <c r="K147" s="119">
        <v>1580</v>
      </c>
      <c r="L147" s="121">
        <v>0</v>
      </c>
      <c r="M147" s="119">
        <v>2155</v>
      </c>
      <c r="N147" s="119">
        <v>4520</v>
      </c>
    </row>
    <row r="148" spans="1:14" ht="15.75" thickBot="1" x14ac:dyDescent="0.3">
      <c r="A148" s="44" t="s">
        <v>1588</v>
      </c>
      <c r="B148" s="107" t="s">
        <v>1589</v>
      </c>
      <c r="C148" s="118" t="s">
        <v>798</v>
      </c>
      <c r="D148" s="119">
        <v>0</v>
      </c>
      <c r="E148" s="119">
        <v>0</v>
      </c>
      <c r="F148" s="119">
        <v>0</v>
      </c>
      <c r="G148" s="119">
        <v>0</v>
      </c>
      <c r="H148" s="119">
        <v>0</v>
      </c>
      <c r="I148" s="120">
        <v>5240</v>
      </c>
      <c r="J148" s="119">
        <v>0</v>
      </c>
      <c r="K148" s="119">
        <v>0</v>
      </c>
      <c r="L148" s="119">
        <v>0</v>
      </c>
      <c r="M148" s="119">
        <v>7885</v>
      </c>
      <c r="N148" s="119">
        <v>7885</v>
      </c>
    </row>
    <row r="149" spans="1:14" ht="15.75" thickBot="1" x14ac:dyDescent="0.3">
      <c r="A149" s="44" t="s">
        <v>806</v>
      </c>
      <c r="B149" s="107" t="s">
        <v>807</v>
      </c>
      <c r="C149" s="118" t="s">
        <v>808</v>
      </c>
      <c r="D149" s="119">
        <v>0</v>
      </c>
      <c r="E149" s="119">
        <v>0</v>
      </c>
      <c r="F149" s="119">
        <v>0</v>
      </c>
      <c r="G149" s="119">
        <v>0</v>
      </c>
      <c r="H149" s="119">
        <v>0</v>
      </c>
      <c r="I149" s="120">
        <v>7410</v>
      </c>
      <c r="J149" s="119">
        <v>9007</v>
      </c>
      <c r="K149" s="119">
        <v>1990</v>
      </c>
      <c r="L149" s="119">
        <v>9237</v>
      </c>
      <c r="M149" s="119">
        <v>1382</v>
      </c>
      <c r="N149" s="119">
        <v>21616</v>
      </c>
    </row>
    <row r="150" spans="1:14" ht="15.75" thickBot="1" x14ac:dyDescent="0.3">
      <c r="A150" s="44" t="s">
        <v>809</v>
      </c>
      <c r="B150" s="107" t="s">
        <v>810</v>
      </c>
      <c r="C150" s="118" t="s">
        <v>808</v>
      </c>
      <c r="D150" s="119">
        <v>0</v>
      </c>
      <c r="E150" s="119">
        <v>0</v>
      </c>
      <c r="F150" s="119">
        <v>0</v>
      </c>
      <c r="G150" s="119">
        <v>0</v>
      </c>
      <c r="H150" s="119">
        <v>0</v>
      </c>
      <c r="I150" s="120">
        <v>11600</v>
      </c>
      <c r="J150" s="119">
        <v>2971</v>
      </c>
      <c r="K150" s="119">
        <v>890</v>
      </c>
      <c r="L150" s="119">
        <v>0</v>
      </c>
      <c r="M150" s="119">
        <v>0</v>
      </c>
      <c r="N150" s="119">
        <v>3861</v>
      </c>
    </row>
    <row r="151" spans="1:14" ht="15.75" thickBot="1" x14ac:dyDescent="0.3">
      <c r="A151" s="44" t="s">
        <v>811</v>
      </c>
      <c r="B151" s="107" t="s">
        <v>812</v>
      </c>
      <c r="C151" s="118" t="s">
        <v>808</v>
      </c>
      <c r="D151" s="119">
        <v>0</v>
      </c>
      <c r="E151" s="119">
        <v>0</v>
      </c>
      <c r="F151" s="119">
        <v>0</v>
      </c>
      <c r="G151" s="119">
        <v>0</v>
      </c>
      <c r="H151" s="119">
        <v>0</v>
      </c>
      <c r="I151" s="120">
        <v>11569</v>
      </c>
      <c r="J151" s="119">
        <v>0</v>
      </c>
      <c r="K151" s="119">
        <v>0</v>
      </c>
      <c r="L151" s="119">
        <v>0</v>
      </c>
      <c r="M151" s="119">
        <v>0</v>
      </c>
      <c r="N151" s="119">
        <v>0</v>
      </c>
    </row>
    <row r="152" spans="1:14" ht="15.75" thickBot="1" x14ac:dyDescent="0.3">
      <c r="A152" s="44" t="s">
        <v>813</v>
      </c>
      <c r="B152" s="107" t="s">
        <v>814</v>
      </c>
      <c r="C152" s="118" t="s">
        <v>808</v>
      </c>
      <c r="D152" s="119">
        <v>0</v>
      </c>
      <c r="E152" s="119">
        <v>0</v>
      </c>
      <c r="F152" s="119">
        <v>0</v>
      </c>
      <c r="G152" s="119">
        <v>0</v>
      </c>
      <c r="H152" s="119">
        <v>0</v>
      </c>
      <c r="I152" s="120">
        <v>9706</v>
      </c>
      <c r="J152" s="119">
        <v>12586</v>
      </c>
      <c r="K152" s="119">
        <v>5879</v>
      </c>
      <c r="L152" s="119">
        <v>2205</v>
      </c>
      <c r="M152" s="119">
        <v>0</v>
      </c>
      <c r="N152" s="119">
        <v>20670</v>
      </c>
    </row>
    <row r="153" spans="1:14" ht="15.75" thickBot="1" x14ac:dyDescent="0.3">
      <c r="A153" s="44" t="s">
        <v>825</v>
      </c>
      <c r="B153" s="107" t="s">
        <v>826</v>
      </c>
      <c r="C153" s="118" t="s">
        <v>808</v>
      </c>
      <c r="D153" s="119">
        <v>0</v>
      </c>
      <c r="E153" s="119">
        <v>0</v>
      </c>
      <c r="F153" s="119">
        <v>0</v>
      </c>
      <c r="G153" s="119">
        <v>0</v>
      </c>
      <c r="H153" s="119">
        <v>0</v>
      </c>
      <c r="I153" s="120">
        <v>11902</v>
      </c>
      <c r="J153" s="119">
        <v>0</v>
      </c>
      <c r="K153" s="119">
        <v>0</v>
      </c>
      <c r="L153" s="119">
        <v>0</v>
      </c>
      <c r="M153" s="119">
        <v>0</v>
      </c>
      <c r="N153" s="119">
        <v>0</v>
      </c>
    </row>
    <row r="154" spans="1:14" ht="15.75" thickBot="1" x14ac:dyDescent="0.3">
      <c r="A154" s="44" t="s">
        <v>833</v>
      </c>
      <c r="B154" s="107" t="s">
        <v>834</v>
      </c>
      <c r="C154" s="118" t="s">
        <v>808</v>
      </c>
      <c r="D154" s="119">
        <v>0</v>
      </c>
      <c r="E154" s="119">
        <v>0</v>
      </c>
      <c r="F154" s="119">
        <v>0</v>
      </c>
      <c r="G154" s="119">
        <v>0</v>
      </c>
      <c r="H154" s="119">
        <v>0</v>
      </c>
      <c r="I154" s="120">
        <v>11000</v>
      </c>
      <c r="J154" s="119">
        <v>19308</v>
      </c>
      <c r="K154" s="119">
        <v>5293</v>
      </c>
      <c r="L154" s="119">
        <v>90133</v>
      </c>
      <c r="M154" s="119">
        <v>0</v>
      </c>
      <c r="N154" s="119">
        <v>114734</v>
      </c>
    </row>
    <row r="155" spans="1:14" ht="15.75" thickBot="1" x14ac:dyDescent="0.3">
      <c r="A155" s="44" t="s">
        <v>848</v>
      </c>
      <c r="B155" s="107" t="s">
        <v>849</v>
      </c>
      <c r="C155" s="118" t="s">
        <v>808</v>
      </c>
      <c r="D155" s="119">
        <v>0</v>
      </c>
      <c r="E155" s="119">
        <v>0</v>
      </c>
      <c r="F155" s="119">
        <v>0</v>
      </c>
      <c r="G155" s="119">
        <v>0</v>
      </c>
      <c r="H155" s="119">
        <v>0</v>
      </c>
      <c r="I155" s="120">
        <v>7172</v>
      </c>
      <c r="J155" s="119">
        <v>0</v>
      </c>
      <c r="K155" s="119">
        <v>5750</v>
      </c>
      <c r="L155" s="119">
        <v>0</v>
      </c>
      <c r="M155" s="119">
        <v>0</v>
      </c>
      <c r="N155" s="119">
        <v>5750</v>
      </c>
    </row>
    <row r="156" spans="1:14" ht="15.75" thickBot="1" x14ac:dyDescent="0.3">
      <c r="A156" s="44" t="s">
        <v>859</v>
      </c>
      <c r="B156" s="107" t="s">
        <v>860</v>
      </c>
      <c r="C156" s="118" t="s">
        <v>808</v>
      </c>
      <c r="D156" s="119">
        <v>0</v>
      </c>
      <c r="E156" s="119">
        <v>0</v>
      </c>
      <c r="F156" s="119">
        <v>0</v>
      </c>
      <c r="G156" s="119">
        <v>0</v>
      </c>
      <c r="H156" s="119">
        <v>0</v>
      </c>
      <c r="I156" s="120">
        <v>11598</v>
      </c>
      <c r="J156" s="119">
        <v>40000</v>
      </c>
      <c r="K156" s="119">
        <v>3375</v>
      </c>
      <c r="L156" s="119">
        <v>10160</v>
      </c>
      <c r="M156" s="121">
        <v>0</v>
      </c>
      <c r="N156" s="119">
        <v>53535</v>
      </c>
    </row>
    <row r="157" spans="1:14" ht="15.75" thickBot="1" x14ac:dyDescent="0.3">
      <c r="A157" s="44" t="s">
        <v>879</v>
      </c>
      <c r="B157" s="107" t="s">
        <v>880</v>
      </c>
      <c r="C157" s="118" t="s">
        <v>808</v>
      </c>
      <c r="D157" s="119">
        <v>0</v>
      </c>
      <c r="E157" s="119">
        <v>0</v>
      </c>
      <c r="F157" s="119">
        <v>0</v>
      </c>
      <c r="G157" s="119">
        <v>0</v>
      </c>
      <c r="H157" s="119">
        <v>0</v>
      </c>
      <c r="I157" s="120">
        <v>9197</v>
      </c>
      <c r="J157" s="119">
        <v>0</v>
      </c>
      <c r="K157" s="119">
        <v>0</v>
      </c>
      <c r="L157" s="119">
        <v>0</v>
      </c>
      <c r="M157" s="119">
        <v>0</v>
      </c>
      <c r="N157" s="119">
        <v>0</v>
      </c>
    </row>
    <row r="158" spans="1:14" ht="15.75" thickBot="1" x14ac:dyDescent="0.3">
      <c r="A158" s="44" t="s">
        <v>889</v>
      </c>
      <c r="B158" s="107" t="s">
        <v>890</v>
      </c>
      <c r="C158" s="118" t="s">
        <v>808</v>
      </c>
      <c r="D158" s="119">
        <v>0</v>
      </c>
      <c r="E158" s="119">
        <v>0</v>
      </c>
      <c r="F158" s="119">
        <v>0</v>
      </c>
      <c r="G158" s="119">
        <v>0</v>
      </c>
      <c r="H158" s="119">
        <v>0</v>
      </c>
      <c r="I158" s="120">
        <v>11825</v>
      </c>
      <c r="J158" s="119">
        <v>0</v>
      </c>
      <c r="K158" s="119">
        <v>0</v>
      </c>
      <c r="L158" s="119">
        <v>0</v>
      </c>
      <c r="M158" s="119">
        <v>0</v>
      </c>
      <c r="N158" s="119">
        <v>0</v>
      </c>
    </row>
    <row r="159" spans="1:14" ht="15.75" thickBot="1" x14ac:dyDescent="0.3">
      <c r="A159" s="44" t="s">
        <v>893</v>
      </c>
      <c r="B159" s="107" t="s">
        <v>894</v>
      </c>
      <c r="C159" s="118" t="s">
        <v>808</v>
      </c>
      <c r="D159" s="119">
        <v>0</v>
      </c>
      <c r="E159" s="119">
        <v>0</v>
      </c>
      <c r="F159" s="119">
        <v>0</v>
      </c>
      <c r="G159" s="119">
        <v>0</v>
      </c>
      <c r="H159" s="119">
        <v>0</v>
      </c>
      <c r="I159" s="120">
        <v>7226</v>
      </c>
      <c r="J159" s="119">
        <v>4000</v>
      </c>
      <c r="K159" s="119">
        <v>8000</v>
      </c>
      <c r="L159" s="119">
        <v>31188</v>
      </c>
      <c r="M159" s="119">
        <v>228824</v>
      </c>
      <c r="N159" s="119">
        <v>272012</v>
      </c>
    </row>
    <row r="160" spans="1:14" ht="15.75" thickBot="1" x14ac:dyDescent="0.3">
      <c r="A160" s="44" t="s">
        <v>911</v>
      </c>
      <c r="B160" s="107" t="s">
        <v>912</v>
      </c>
      <c r="C160" s="118" t="s">
        <v>808</v>
      </c>
      <c r="D160" s="119">
        <v>0</v>
      </c>
      <c r="E160" s="119">
        <v>0</v>
      </c>
      <c r="F160" s="119">
        <v>0</v>
      </c>
      <c r="G160" s="119">
        <v>29446</v>
      </c>
      <c r="H160" s="119">
        <v>29446</v>
      </c>
      <c r="I160" s="120">
        <v>10090</v>
      </c>
      <c r="J160" s="121">
        <v>0</v>
      </c>
      <c r="K160" s="119">
        <v>5788</v>
      </c>
      <c r="L160" s="119">
        <v>705092</v>
      </c>
      <c r="M160" s="121">
        <v>0</v>
      </c>
      <c r="N160" s="119">
        <v>710880</v>
      </c>
    </row>
    <row r="161" spans="1:14" ht="15.75" thickBot="1" x14ac:dyDescent="0.3">
      <c r="A161" s="44" t="s">
        <v>913</v>
      </c>
      <c r="B161" s="107" t="s">
        <v>914</v>
      </c>
      <c r="C161" s="118" t="s">
        <v>808</v>
      </c>
      <c r="D161" s="119">
        <v>0</v>
      </c>
      <c r="E161" s="119">
        <v>0</v>
      </c>
      <c r="F161" s="119">
        <v>0</v>
      </c>
      <c r="G161" s="119">
        <v>0</v>
      </c>
      <c r="H161" s="119">
        <v>0</v>
      </c>
      <c r="I161" s="120">
        <v>9705</v>
      </c>
      <c r="J161" s="119">
        <v>14174.66</v>
      </c>
      <c r="K161" s="119">
        <v>1411</v>
      </c>
      <c r="L161" s="119">
        <v>971</v>
      </c>
      <c r="M161" s="121">
        <v>0</v>
      </c>
      <c r="N161" s="119">
        <v>16556.66</v>
      </c>
    </row>
    <row r="162" spans="1:14" ht="15.75" thickBot="1" x14ac:dyDescent="0.3">
      <c r="A162" s="44" t="s">
        <v>919</v>
      </c>
      <c r="B162" s="107" t="s">
        <v>920</v>
      </c>
      <c r="C162" s="118" t="s">
        <v>808</v>
      </c>
      <c r="D162" s="119">
        <v>0</v>
      </c>
      <c r="E162" s="119">
        <v>0</v>
      </c>
      <c r="F162" s="119">
        <v>0</v>
      </c>
      <c r="G162" s="119">
        <v>0</v>
      </c>
      <c r="H162" s="119">
        <v>0</v>
      </c>
      <c r="I162" s="120">
        <v>8692</v>
      </c>
      <c r="J162" s="121">
        <v>0</v>
      </c>
      <c r="K162" s="119">
        <v>0</v>
      </c>
      <c r="L162" s="121">
        <v>0</v>
      </c>
      <c r="M162" s="121">
        <v>0</v>
      </c>
      <c r="N162" s="119">
        <v>0</v>
      </c>
    </row>
    <row r="163" spans="1:14" ht="15.75" thickBot="1" x14ac:dyDescent="0.3">
      <c r="A163" s="44" t="s">
        <v>927</v>
      </c>
      <c r="B163" s="107" t="s">
        <v>928</v>
      </c>
      <c r="C163" s="118" t="s">
        <v>808</v>
      </c>
      <c r="D163" s="119">
        <v>0</v>
      </c>
      <c r="E163" s="119">
        <v>0</v>
      </c>
      <c r="F163" s="119">
        <v>0</v>
      </c>
      <c r="G163" s="119">
        <v>0</v>
      </c>
      <c r="H163" s="119">
        <v>0</v>
      </c>
      <c r="I163" s="120">
        <v>11833</v>
      </c>
      <c r="J163" s="119">
        <v>0</v>
      </c>
      <c r="K163" s="119">
        <v>0</v>
      </c>
      <c r="L163" s="119">
        <v>6208</v>
      </c>
      <c r="M163" s="119">
        <v>0</v>
      </c>
      <c r="N163" s="119">
        <v>6208</v>
      </c>
    </row>
    <row r="164" spans="1:14" ht="15.75" thickBot="1" x14ac:dyDescent="0.3">
      <c r="A164" s="44" t="s">
        <v>931</v>
      </c>
      <c r="B164" s="107" t="s">
        <v>932</v>
      </c>
      <c r="C164" s="118" t="s">
        <v>808</v>
      </c>
      <c r="D164" s="119">
        <v>0</v>
      </c>
      <c r="E164" s="119">
        <v>0</v>
      </c>
      <c r="F164" s="119">
        <v>0</v>
      </c>
      <c r="G164" s="119">
        <v>0</v>
      </c>
      <c r="H164" s="119">
        <v>0</v>
      </c>
      <c r="I164" s="120">
        <v>10857</v>
      </c>
      <c r="J164" s="119">
        <v>0</v>
      </c>
      <c r="K164" s="119">
        <v>0</v>
      </c>
      <c r="L164" s="119">
        <v>0</v>
      </c>
      <c r="M164" s="119">
        <v>0</v>
      </c>
      <c r="N164" s="119">
        <v>0</v>
      </c>
    </row>
    <row r="165" spans="1:14" ht="15.75" thickBot="1" x14ac:dyDescent="0.3">
      <c r="A165" s="44" t="s">
        <v>935</v>
      </c>
      <c r="B165" s="107" t="s">
        <v>936</v>
      </c>
      <c r="C165" s="118" t="s">
        <v>808</v>
      </c>
      <c r="D165" s="119">
        <v>0</v>
      </c>
      <c r="E165" s="119">
        <v>1500</v>
      </c>
      <c r="F165" s="119">
        <v>0</v>
      </c>
      <c r="G165" s="119">
        <v>18590</v>
      </c>
      <c r="H165" s="119">
        <v>20090</v>
      </c>
      <c r="I165" s="120">
        <v>9483</v>
      </c>
      <c r="J165" s="119">
        <v>0</v>
      </c>
      <c r="K165" s="119">
        <v>0</v>
      </c>
      <c r="L165" s="119">
        <v>0</v>
      </c>
      <c r="M165" s="119">
        <v>15255</v>
      </c>
      <c r="N165" s="119">
        <v>15255</v>
      </c>
    </row>
    <row r="166" spans="1:14" ht="15.75" thickBot="1" x14ac:dyDescent="0.3">
      <c r="A166" s="44" t="s">
        <v>937</v>
      </c>
      <c r="B166" s="107" t="s">
        <v>938</v>
      </c>
      <c r="C166" s="118" t="s">
        <v>808</v>
      </c>
      <c r="D166" s="119">
        <v>0</v>
      </c>
      <c r="E166" s="119">
        <v>0</v>
      </c>
      <c r="F166" s="119">
        <v>0</v>
      </c>
      <c r="G166" s="119">
        <v>0</v>
      </c>
      <c r="H166" s="119">
        <v>0</v>
      </c>
      <c r="I166" s="120">
        <v>8257</v>
      </c>
      <c r="J166" s="119">
        <v>0</v>
      </c>
      <c r="K166" s="119">
        <v>0</v>
      </c>
      <c r="L166" s="119">
        <v>0</v>
      </c>
      <c r="M166" s="119">
        <v>0</v>
      </c>
      <c r="N166" s="119">
        <v>0</v>
      </c>
    </row>
    <row r="167" spans="1:14" ht="15.75" thickBot="1" x14ac:dyDescent="0.3">
      <c r="A167" s="44" t="s">
        <v>943</v>
      </c>
      <c r="B167" s="107" t="s">
        <v>944</v>
      </c>
      <c r="C167" s="118" t="s">
        <v>808</v>
      </c>
      <c r="D167" s="119">
        <v>0</v>
      </c>
      <c r="E167" s="119">
        <v>0</v>
      </c>
      <c r="F167" s="119">
        <v>0</v>
      </c>
      <c r="G167" s="119">
        <v>0</v>
      </c>
      <c r="H167" s="119">
        <v>0</v>
      </c>
      <c r="I167" s="120">
        <v>9810</v>
      </c>
      <c r="J167" s="119">
        <v>0</v>
      </c>
      <c r="K167" s="119">
        <v>20500</v>
      </c>
      <c r="L167" s="119">
        <v>0</v>
      </c>
      <c r="M167" s="119">
        <v>0</v>
      </c>
      <c r="N167" s="119">
        <v>20500</v>
      </c>
    </row>
    <row r="168" spans="1:14" ht="15.75" thickBot="1" x14ac:dyDescent="0.3">
      <c r="A168" s="44" t="s">
        <v>979</v>
      </c>
      <c r="B168" s="107" t="s">
        <v>980</v>
      </c>
      <c r="C168" s="118" t="s">
        <v>808</v>
      </c>
      <c r="D168" s="119">
        <v>0</v>
      </c>
      <c r="E168" s="119">
        <v>0</v>
      </c>
      <c r="F168" s="119">
        <v>0</v>
      </c>
      <c r="G168" s="119">
        <v>0</v>
      </c>
      <c r="H168" s="119">
        <v>0</v>
      </c>
      <c r="I168" s="120">
        <v>11862</v>
      </c>
      <c r="J168" s="119">
        <v>0</v>
      </c>
      <c r="K168" s="119">
        <v>1227</v>
      </c>
      <c r="L168" s="119">
        <v>2148</v>
      </c>
      <c r="M168" s="119">
        <v>1404</v>
      </c>
      <c r="N168" s="119">
        <v>4779</v>
      </c>
    </row>
    <row r="169" spans="1:14" ht="15.75" thickBot="1" x14ac:dyDescent="0.3">
      <c r="A169" s="44" t="s">
        <v>1003</v>
      </c>
      <c r="B169" s="107" t="s">
        <v>1004</v>
      </c>
      <c r="C169" s="118" t="s">
        <v>808</v>
      </c>
      <c r="D169" s="119">
        <v>0</v>
      </c>
      <c r="E169" s="119">
        <v>0</v>
      </c>
      <c r="F169" s="119">
        <v>0</v>
      </c>
      <c r="G169" s="119">
        <v>0</v>
      </c>
      <c r="H169" s="119">
        <v>0</v>
      </c>
      <c r="I169" s="120">
        <v>10021</v>
      </c>
      <c r="J169" s="119">
        <v>0</v>
      </c>
      <c r="K169" s="119">
        <v>0</v>
      </c>
      <c r="L169" s="119">
        <v>0</v>
      </c>
      <c r="M169" s="119">
        <v>0</v>
      </c>
      <c r="N169" s="119">
        <v>0</v>
      </c>
    </row>
    <row r="170" spans="1:14" ht="15.75" thickBot="1" x14ac:dyDescent="0.3">
      <c r="A170" s="44" t="s">
        <v>1015</v>
      </c>
      <c r="B170" s="107" t="s">
        <v>1016</v>
      </c>
      <c r="C170" s="118" t="s">
        <v>808</v>
      </c>
      <c r="D170" s="119">
        <v>0</v>
      </c>
      <c r="E170" s="119">
        <v>0</v>
      </c>
      <c r="F170" s="119">
        <v>6389</v>
      </c>
      <c r="G170" s="119">
        <v>0</v>
      </c>
      <c r="H170" s="119">
        <v>6389</v>
      </c>
      <c r="I170" s="120">
        <v>7439</v>
      </c>
      <c r="J170" s="119">
        <v>0</v>
      </c>
      <c r="K170" s="119">
        <v>0</v>
      </c>
      <c r="L170" s="119">
        <v>0</v>
      </c>
      <c r="M170" s="119">
        <v>0</v>
      </c>
      <c r="N170" s="119">
        <v>0</v>
      </c>
    </row>
    <row r="171" spans="1:14" ht="15.75" thickBot="1" x14ac:dyDescent="0.3">
      <c r="A171" s="44" t="s">
        <v>1029</v>
      </c>
      <c r="B171" s="107" t="s">
        <v>1030</v>
      </c>
      <c r="C171" s="118" t="s">
        <v>808</v>
      </c>
      <c r="D171" s="119">
        <v>0</v>
      </c>
      <c r="E171" s="119">
        <v>0</v>
      </c>
      <c r="F171" s="119">
        <v>0</v>
      </c>
      <c r="G171" s="119">
        <v>0</v>
      </c>
      <c r="H171" s="119">
        <v>0</v>
      </c>
      <c r="I171" s="120">
        <v>7392</v>
      </c>
      <c r="J171" s="119">
        <v>788</v>
      </c>
      <c r="K171" s="119">
        <v>0</v>
      </c>
      <c r="L171" s="119">
        <v>27785</v>
      </c>
      <c r="M171" s="119">
        <v>0</v>
      </c>
      <c r="N171" s="119">
        <v>28573</v>
      </c>
    </row>
    <row r="172" spans="1:14" ht="15.75" thickBot="1" x14ac:dyDescent="0.3">
      <c r="A172" s="44" t="s">
        <v>1033</v>
      </c>
      <c r="B172" s="107" t="s">
        <v>1034</v>
      </c>
      <c r="C172" s="118" t="s">
        <v>808</v>
      </c>
      <c r="D172" s="119">
        <v>0</v>
      </c>
      <c r="E172" s="119">
        <v>0</v>
      </c>
      <c r="F172" s="119">
        <v>0</v>
      </c>
      <c r="G172" s="119">
        <v>0</v>
      </c>
      <c r="H172" s="119">
        <v>0</v>
      </c>
      <c r="I172" s="120">
        <v>9512</v>
      </c>
      <c r="J172" s="119">
        <v>0</v>
      </c>
      <c r="K172" s="119">
        <v>0</v>
      </c>
      <c r="L172" s="119">
        <v>0</v>
      </c>
      <c r="M172" s="119">
        <v>0</v>
      </c>
      <c r="N172" s="119">
        <v>0</v>
      </c>
    </row>
    <row r="173" spans="1:14" ht="15.75" thickBot="1" x14ac:dyDescent="0.3">
      <c r="A173" s="44" t="s">
        <v>1045</v>
      </c>
      <c r="B173" s="107" t="s">
        <v>1046</v>
      </c>
      <c r="C173" s="118" t="s">
        <v>808</v>
      </c>
      <c r="D173" s="119">
        <v>0</v>
      </c>
      <c r="E173" s="119">
        <v>0</v>
      </c>
      <c r="F173" s="119">
        <v>0</v>
      </c>
      <c r="G173" s="119">
        <v>0</v>
      </c>
      <c r="H173" s="119">
        <v>0</v>
      </c>
      <c r="I173" s="120">
        <v>7717</v>
      </c>
      <c r="J173" s="121">
        <v>0</v>
      </c>
      <c r="K173" s="119">
        <v>0</v>
      </c>
      <c r="L173" s="119">
        <v>0</v>
      </c>
      <c r="M173" s="119">
        <v>0</v>
      </c>
      <c r="N173" s="119">
        <v>0</v>
      </c>
    </row>
    <row r="174" spans="1:14" ht="15.75" thickBot="1" x14ac:dyDescent="0.3">
      <c r="A174" s="44" t="s">
        <v>1069</v>
      </c>
      <c r="B174" s="107" t="s">
        <v>1070</v>
      </c>
      <c r="C174" s="118" t="s">
        <v>808</v>
      </c>
      <c r="D174" s="119">
        <v>0</v>
      </c>
      <c r="E174" s="119">
        <v>0</v>
      </c>
      <c r="F174" s="119">
        <v>0</v>
      </c>
      <c r="G174" s="119">
        <v>0</v>
      </c>
      <c r="H174" s="119">
        <v>0</v>
      </c>
      <c r="I174" s="120">
        <v>7824</v>
      </c>
      <c r="J174" s="119">
        <v>2872</v>
      </c>
      <c r="K174" s="119">
        <v>8457</v>
      </c>
      <c r="L174" s="119">
        <v>0</v>
      </c>
      <c r="M174" s="121">
        <v>0</v>
      </c>
      <c r="N174" s="119">
        <v>11329</v>
      </c>
    </row>
    <row r="175" spans="1:14" ht="15.75" thickBot="1" x14ac:dyDescent="0.3">
      <c r="A175" s="44" t="s">
        <v>1081</v>
      </c>
      <c r="B175" s="107" t="s">
        <v>1082</v>
      </c>
      <c r="C175" s="118" t="s">
        <v>808</v>
      </c>
      <c r="D175" s="119">
        <v>0</v>
      </c>
      <c r="E175" s="119">
        <v>0</v>
      </c>
      <c r="F175" s="119">
        <v>0</v>
      </c>
      <c r="G175" s="119">
        <v>0</v>
      </c>
      <c r="H175" s="119">
        <v>0</v>
      </c>
      <c r="I175" s="120">
        <v>9476</v>
      </c>
      <c r="J175" s="119">
        <v>3978</v>
      </c>
      <c r="K175" s="119">
        <v>1151</v>
      </c>
      <c r="L175" s="119">
        <v>4867</v>
      </c>
      <c r="M175" s="121">
        <v>0</v>
      </c>
      <c r="N175" s="119">
        <v>9996</v>
      </c>
    </row>
    <row r="176" spans="1:14" ht="15.75" thickBot="1" x14ac:dyDescent="0.3">
      <c r="A176" s="44" t="s">
        <v>1087</v>
      </c>
      <c r="B176" s="107" t="s">
        <v>1088</v>
      </c>
      <c r="C176" s="118" t="s">
        <v>808</v>
      </c>
      <c r="D176" s="119">
        <v>0</v>
      </c>
      <c r="E176" s="119">
        <v>0</v>
      </c>
      <c r="F176" s="119">
        <v>0</v>
      </c>
      <c r="G176" s="119">
        <v>0</v>
      </c>
      <c r="H176" s="119">
        <v>0</v>
      </c>
      <c r="I176" s="120">
        <v>10983</v>
      </c>
      <c r="J176" s="119">
        <v>7919</v>
      </c>
      <c r="K176" s="119">
        <v>2998</v>
      </c>
      <c r="L176" s="119">
        <v>30973</v>
      </c>
      <c r="M176" s="121">
        <v>0</v>
      </c>
      <c r="N176" s="119">
        <v>41890</v>
      </c>
    </row>
    <row r="177" spans="1:14" ht="15.75" thickBot="1" x14ac:dyDescent="0.3">
      <c r="A177" s="44" t="s">
        <v>1095</v>
      </c>
      <c r="B177" s="107" t="s">
        <v>1096</v>
      </c>
      <c r="C177" s="118" t="s">
        <v>808</v>
      </c>
      <c r="D177" s="119">
        <v>0</v>
      </c>
      <c r="E177" s="119">
        <v>0</v>
      </c>
      <c r="F177" s="119">
        <v>0</v>
      </c>
      <c r="G177" s="119">
        <v>0</v>
      </c>
      <c r="H177" s="119">
        <v>0</v>
      </c>
      <c r="I177" s="120">
        <v>11239</v>
      </c>
      <c r="J177" s="121">
        <v>0</v>
      </c>
      <c r="K177" s="121">
        <v>0</v>
      </c>
      <c r="L177" s="121">
        <v>0</v>
      </c>
      <c r="M177" s="121">
        <v>0</v>
      </c>
      <c r="N177" s="121">
        <v>0</v>
      </c>
    </row>
    <row r="178" spans="1:14" ht="15.75" thickBot="1" x14ac:dyDescent="0.3">
      <c r="A178" s="44" t="s">
        <v>1109</v>
      </c>
      <c r="B178" s="107" t="s">
        <v>1110</v>
      </c>
      <c r="C178" s="118" t="s">
        <v>808</v>
      </c>
      <c r="D178" s="119">
        <v>0</v>
      </c>
      <c r="E178" s="119">
        <v>0</v>
      </c>
      <c r="F178" s="119">
        <v>125922</v>
      </c>
      <c r="G178" s="119">
        <v>0</v>
      </c>
      <c r="H178" s="119">
        <v>125922</v>
      </c>
      <c r="I178" s="120">
        <v>8875</v>
      </c>
      <c r="J178" s="119">
        <v>0</v>
      </c>
      <c r="K178" s="119">
        <v>0</v>
      </c>
      <c r="L178" s="119">
        <v>0</v>
      </c>
      <c r="M178" s="119">
        <v>0</v>
      </c>
      <c r="N178" s="119">
        <v>0</v>
      </c>
    </row>
    <row r="179" spans="1:14" ht="15.75" thickBot="1" x14ac:dyDescent="0.3">
      <c r="A179" s="44" t="s">
        <v>1127</v>
      </c>
      <c r="B179" s="107" t="s">
        <v>1128</v>
      </c>
      <c r="C179" s="118" t="s">
        <v>808</v>
      </c>
      <c r="D179" s="119">
        <v>0</v>
      </c>
      <c r="E179" s="119">
        <v>0</v>
      </c>
      <c r="F179" s="119">
        <v>1450</v>
      </c>
      <c r="G179" s="119">
        <v>1000</v>
      </c>
      <c r="H179" s="119">
        <v>2450</v>
      </c>
      <c r="I179" s="120">
        <v>8133</v>
      </c>
      <c r="J179" s="119">
        <v>5757</v>
      </c>
      <c r="K179" s="119">
        <v>6890</v>
      </c>
      <c r="L179" s="119">
        <v>74500</v>
      </c>
      <c r="M179" s="119">
        <v>12824</v>
      </c>
      <c r="N179" s="119">
        <v>99971</v>
      </c>
    </row>
    <row r="180" spans="1:14" ht="15.75" thickBot="1" x14ac:dyDescent="0.3">
      <c r="A180" s="44" t="s">
        <v>1135</v>
      </c>
      <c r="B180" s="107" t="s">
        <v>1136</v>
      </c>
      <c r="C180" s="118" t="s">
        <v>808</v>
      </c>
      <c r="D180" s="119">
        <v>0</v>
      </c>
      <c r="E180" s="119">
        <v>0</v>
      </c>
      <c r="F180" s="119">
        <v>0</v>
      </c>
      <c r="G180" s="119">
        <v>0</v>
      </c>
      <c r="H180" s="119">
        <v>0</v>
      </c>
      <c r="I180" s="120">
        <v>7135</v>
      </c>
      <c r="J180" s="119">
        <v>5000</v>
      </c>
      <c r="K180" s="119">
        <v>4000</v>
      </c>
      <c r="L180" s="119">
        <v>3000</v>
      </c>
      <c r="M180" s="121">
        <v>0</v>
      </c>
      <c r="N180" s="119">
        <v>12000</v>
      </c>
    </row>
    <row r="181" spans="1:14" ht="15.75" thickBot="1" x14ac:dyDescent="0.3">
      <c r="A181" s="44" t="s">
        <v>1143</v>
      </c>
      <c r="B181" s="107" t="s">
        <v>1144</v>
      </c>
      <c r="C181" s="118" t="s">
        <v>808</v>
      </c>
      <c r="D181" s="119">
        <v>0</v>
      </c>
      <c r="E181" s="119">
        <v>0</v>
      </c>
      <c r="F181" s="119">
        <v>43663</v>
      </c>
      <c r="G181" s="119">
        <v>0</v>
      </c>
      <c r="H181" s="119">
        <v>43663</v>
      </c>
      <c r="I181" s="120">
        <v>11870</v>
      </c>
      <c r="J181" s="119">
        <v>28469</v>
      </c>
      <c r="K181" s="119">
        <v>959</v>
      </c>
      <c r="L181" s="119">
        <v>1800</v>
      </c>
      <c r="M181" s="119">
        <v>43663</v>
      </c>
      <c r="N181" s="119">
        <v>74891</v>
      </c>
    </row>
    <row r="182" spans="1:14" ht="15.75" thickBot="1" x14ac:dyDescent="0.3">
      <c r="A182" s="44" t="s">
        <v>1163</v>
      </c>
      <c r="B182" s="107" t="s">
        <v>1164</v>
      </c>
      <c r="C182" s="118" t="s">
        <v>808</v>
      </c>
      <c r="D182" s="119">
        <v>0</v>
      </c>
      <c r="E182" s="119">
        <v>0</v>
      </c>
      <c r="F182" s="119">
        <v>0</v>
      </c>
      <c r="G182" s="119">
        <v>0</v>
      </c>
      <c r="H182" s="119">
        <v>0</v>
      </c>
      <c r="I182" s="120">
        <v>8764</v>
      </c>
      <c r="J182" s="119">
        <v>0</v>
      </c>
      <c r="K182" s="119">
        <v>0</v>
      </c>
      <c r="L182" s="119">
        <v>35217</v>
      </c>
      <c r="M182" s="119">
        <v>0</v>
      </c>
      <c r="N182" s="119">
        <v>35217</v>
      </c>
    </row>
    <row r="183" spans="1:14" ht="15.75" thickBot="1" x14ac:dyDescent="0.3">
      <c r="A183" s="44" t="s">
        <v>1193</v>
      </c>
      <c r="B183" s="107" t="s">
        <v>1194</v>
      </c>
      <c r="C183" s="118" t="s">
        <v>808</v>
      </c>
      <c r="D183" s="119">
        <v>0</v>
      </c>
      <c r="E183" s="119">
        <v>0</v>
      </c>
      <c r="F183" s="119">
        <v>28700</v>
      </c>
      <c r="G183" s="119">
        <v>3000</v>
      </c>
      <c r="H183" s="119">
        <v>31700</v>
      </c>
      <c r="I183" s="120">
        <v>9555</v>
      </c>
      <c r="J183" s="119">
        <v>2000</v>
      </c>
      <c r="K183" s="119">
        <v>0</v>
      </c>
      <c r="L183" s="119">
        <v>0</v>
      </c>
      <c r="M183" s="119">
        <v>0</v>
      </c>
      <c r="N183" s="119">
        <v>2000</v>
      </c>
    </row>
    <row r="184" spans="1:14" ht="15.75" thickBot="1" x14ac:dyDescent="0.3">
      <c r="A184" s="44" t="s">
        <v>1199</v>
      </c>
      <c r="B184" s="107" t="s">
        <v>1200</v>
      </c>
      <c r="C184" s="118" t="s">
        <v>808</v>
      </c>
      <c r="D184" s="119">
        <v>0</v>
      </c>
      <c r="E184" s="119">
        <v>0</v>
      </c>
      <c r="F184" s="119">
        <v>0</v>
      </c>
      <c r="G184" s="119">
        <v>0</v>
      </c>
      <c r="H184" s="119">
        <v>0</v>
      </c>
      <c r="I184" s="120">
        <v>9533</v>
      </c>
      <c r="J184" s="119">
        <v>8166</v>
      </c>
      <c r="K184" s="121">
        <v>0</v>
      </c>
      <c r="L184" s="121">
        <v>0</v>
      </c>
      <c r="M184" s="121">
        <v>0</v>
      </c>
      <c r="N184" s="119">
        <v>8166</v>
      </c>
    </row>
    <row r="185" spans="1:14" ht="15.75" thickBot="1" x14ac:dyDescent="0.3">
      <c r="A185" s="44" t="s">
        <v>1217</v>
      </c>
      <c r="B185" s="107" t="s">
        <v>1218</v>
      </c>
      <c r="C185" s="118" t="s">
        <v>808</v>
      </c>
      <c r="D185" s="119">
        <v>0</v>
      </c>
      <c r="E185" s="119">
        <v>0</v>
      </c>
      <c r="F185" s="119">
        <v>0</v>
      </c>
      <c r="G185" s="119">
        <v>0</v>
      </c>
      <c r="H185" s="119">
        <v>0</v>
      </c>
      <c r="I185" s="120">
        <v>10470</v>
      </c>
      <c r="J185" s="119">
        <v>0</v>
      </c>
      <c r="K185" s="119">
        <v>3547</v>
      </c>
      <c r="L185" s="119">
        <v>265003</v>
      </c>
      <c r="M185" s="119">
        <v>64506</v>
      </c>
      <c r="N185" s="119">
        <v>333056</v>
      </c>
    </row>
    <row r="186" spans="1:14" ht="15.75" thickBot="1" x14ac:dyDescent="0.3">
      <c r="A186" s="44" t="s">
        <v>1229</v>
      </c>
      <c r="B186" s="107" t="s">
        <v>1230</v>
      </c>
      <c r="C186" s="118" t="s">
        <v>808</v>
      </c>
      <c r="D186" s="119">
        <v>0</v>
      </c>
      <c r="E186" s="119">
        <v>0</v>
      </c>
      <c r="F186" s="119">
        <v>0</v>
      </c>
      <c r="G186" s="119">
        <v>0</v>
      </c>
      <c r="H186" s="119">
        <v>0</v>
      </c>
      <c r="I186" s="120">
        <v>11581</v>
      </c>
      <c r="J186" s="119">
        <v>0</v>
      </c>
      <c r="K186" s="119">
        <v>0</v>
      </c>
      <c r="L186" s="119">
        <v>0</v>
      </c>
      <c r="M186" s="119">
        <v>0</v>
      </c>
      <c r="N186" s="119">
        <v>0</v>
      </c>
    </row>
    <row r="187" spans="1:14" ht="15.75" thickBot="1" x14ac:dyDescent="0.3">
      <c r="A187" s="44" t="s">
        <v>1251</v>
      </c>
      <c r="B187" s="107" t="s">
        <v>1252</v>
      </c>
      <c r="C187" s="118" t="s">
        <v>808</v>
      </c>
      <c r="D187" s="119">
        <v>0</v>
      </c>
      <c r="E187" s="119">
        <v>0</v>
      </c>
      <c r="F187" s="119">
        <v>0</v>
      </c>
      <c r="G187" s="119">
        <v>0</v>
      </c>
      <c r="H187" s="119">
        <v>0</v>
      </c>
      <c r="I187" s="120">
        <v>7312</v>
      </c>
      <c r="J187" s="119">
        <v>0</v>
      </c>
      <c r="K187" s="119">
        <v>0</v>
      </c>
      <c r="L187" s="119">
        <v>0</v>
      </c>
      <c r="M187" s="119">
        <v>0</v>
      </c>
      <c r="N187" s="119">
        <v>0</v>
      </c>
    </row>
    <row r="188" spans="1:14" ht="15.75" thickBot="1" x14ac:dyDescent="0.3">
      <c r="A188" s="44" t="s">
        <v>1257</v>
      </c>
      <c r="B188" s="107" t="s">
        <v>1258</v>
      </c>
      <c r="C188" s="118" t="s">
        <v>808</v>
      </c>
      <c r="D188" s="119">
        <v>0</v>
      </c>
      <c r="E188" s="119">
        <v>0</v>
      </c>
      <c r="F188" s="119">
        <v>0</v>
      </c>
      <c r="G188" s="119">
        <v>0</v>
      </c>
      <c r="H188" s="119">
        <v>0</v>
      </c>
      <c r="I188" s="120">
        <v>8344</v>
      </c>
      <c r="J188" s="119">
        <v>0</v>
      </c>
      <c r="K188" s="119">
        <v>0</v>
      </c>
      <c r="L188" s="119">
        <v>0</v>
      </c>
      <c r="M188" s="119">
        <v>0</v>
      </c>
      <c r="N188" s="119">
        <v>0</v>
      </c>
    </row>
    <row r="189" spans="1:14" ht="15.75" thickBot="1" x14ac:dyDescent="0.3">
      <c r="A189" s="44" t="s">
        <v>1277</v>
      </c>
      <c r="B189" s="107" t="s">
        <v>1278</v>
      </c>
      <c r="C189" s="118" t="s">
        <v>808</v>
      </c>
      <c r="D189" s="119">
        <v>0</v>
      </c>
      <c r="E189" s="119">
        <v>0</v>
      </c>
      <c r="F189" s="119">
        <v>0</v>
      </c>
      <c r="G189" s="119">
        <v>0</v>
      </c>
      <c r="H189" s="119">
        <v>0</v>
      </c>
      <c r="I189" s="120">
        <v>10715</v>
      </c>
      <c r="J189" s="121">
        <v>0</v>
      </c>
      <c r="K189" s="121">
        <v>0</v>
      </c>
      <c r="L189" s="121">
        <v>0</v>
      </c>
      <c r="M189" s="121">
        <v>0</v>
      </c>
      <c r="N189" s="121">
        <v>0</v>
      </c>
    </row>
    <row r="190" spans="1:14" ht="15.75" thickBot="1" x14ac:dyDescent="0.3">
      <c r="A190" s="44" t="s">
        <v>1289</v>
      </c>
      <c r="B190" s="107" t="s">
        <v>1290</v>
      </c>
      <c r="C190" s="118" t="s">
        <v>808</v>
      </c>
      <c r="D190" s="119">
        <v>0</v>
      </c>
      <c r="E190" s="119">
        <v>0</v>
      </c>
      <c r="F190" s="119">
        <v>0</v>
      </c>
      <c r="G190" s="119">
        <v>4940</v>
      </c>
      <c r="H190" s="119">
        <v>4940</v>
      </c>
      <c r="I190" s="120">
        <v>7424</v>
      </c>
      <c r="J190" s="121">
        <v>0</v>
      </c>
      <c r="K190" s="121">
        <v>0</v>
      </c>
      <c r="L190" s="119">
        <v>3645</v>
      </c>
      <c r="M190" s="119">
        <v>4940</v>
      </c>
      <c r="N190" s="119">
        <v>8585</v>
      </c>
    </row>
    <row r="191" spans="1:14" ht="15.75" thickBot="1" x14ac:dyDescent="0.3">
      <c r="A191" s="44" t="s">
        <v>1295</v>
      </c>
      <c r="B191" s="107" t="s">
        <v>1296</v>
      </c>
      <c r="C191" s="118" t="s">
        <v>808</v>
      </c>
      <c r="D191" s="119">
        <v>0</v>
      </c>
      <c r="E191" s="119">
        <v>0</v>
      </c>
      <c r="F191" s="119">
        <v>0</v>
      </c>
      <c r="G191" s="119">
        <v>0</v>
      </c>
      <c r="H191" s="119">
        <v>0</v>
      </c>
      <c r="I191" s="120">
        <v>9765</v>
      </c>
      <c r="J191" s="119">
        <v>0</v>
      </c>
      <c r="K191" s="119">
        <v>21606</v>
      </c>
      <c r="L191" s="119">
        <v>22786</v>
      </c>
      <c r="M191" s="119">
        <v>0</v>
      </c>
      <c r="N191" s="119">
        <v>44392</v>
      </c>
    </row>
    <row r="192" spans="1:14" ht="15.75" thickBot="1" x14ac:dyDescent="0.3">
      <c r="A192" s="44" t="s">
        <v>1305</v>
      </c>
      <c r="B192" s="107" t="s">
        <v>1306</v>
      </c>
      <c r="C192" s="118" t="s">
        <v>808</v>
      </c>
      <c r="D192" s="119">
        <v>0</v>
      </c>
      <c r="E192" s="119">
        <v>0</v>
      </c>
      <c r="F192" s="119">
        <v>0</v>
      </c>
      <c r="G192" s="119">
        <v>0</v>
      </c>
      <c r="H192" s="119">
        <v>0</v>
      </c>
      <c r="I192" s="120">
        <v>9623</v>
      </c>
      <c r="J192" s="119">
        <v>0</v>
      </c>
      <c r="K192" s="119">
        <v>1400</v>
      </c>
      <c r="L192" s="119">
        <v>0</v>
      </c>
      <c r="M192" s="119">
        <v>0</v>
      </c>
      <c r="N192" s="119">
        <v>1400</v>
      </c>
    </row>
    <row r="193" spans="1:14" ht="15.75" thickBot="1" x14ac:dyDescent="0.3">
      <c r="A193" s="44" t="s">
        <v>1309</v>
      </c>
      <c r="B193" s="107" t="s">
        <v>1310</v>
      </c>
      <c r="C193" s="118" t="s">
        <v>808</v>
      </c>
      <c r="D193" s="119">
        <v>0</v>
      </c>
      <c r="E193" s="119">
        <v>0</v>
      </c>
      <c r="F193" s="119">
        <v>0</v>
      </c>
      <c r="G193" s="119">
        <v>0</v>
      </c>
      <c r="H193" s="119">
        <v>0</v>
      </c>
      <c r="I193" s="120">
        <v>7656</v>
      </c>
      <c r="J193" s="119">
        <v>597</v>
      </c>
      <c r="K193" s="119">
        <v>254</v>
      </c>
      <c r="L193" s="119">
        <v>0</v>
      </c>
      <c r="M193" s="119">
        <v>0</v>
      </c>
      <c r="N193" s="119">
        <v>851</v>
      </c>
    </row>
    <row r="194" spans="1:14" ht="15.75" thickBot="1" x14ac:dyDescent="0.3">
      <c r="A194" s="44" t="s">
        <v>1321</v>
      </c>
      <c r="B194" s="107" t="s">
        <v>1322</v>
      </c>
      <c r="C194" s="118" t="s">
        <v>808</v>
      </c>
      <c r="D194" s="119">
        <v>0</v>
      </c>
      <c r="E194" s="119">
        <v>0</v>
      </c>
      <c r="F194" s="119">
        <v>0</v>
      </c>
      <c r="G194" s="119">
        <v>0</v>
      </c>
      <c r="H194" s="119">
        <v>0</v>
      </c>
      <c r="I194" s="120">
        <v>8354</v>
      </c>
      <c r="J194" s="119">
        <v>13400</v>
      </c>
      <c r="K194" s="119">
        <v>0</v>
      </c>
      <c r="L194" s="119">
        <v>51090</v>
      </c>
      <c r="M194" s="119">
        <v>9025</v>
      </c>
      <c r="N194" s="119">
        <v>73515</v>
      </c>
    </row>
    <row r="195" spans="1:14" ht="15.75" thickBot="1" x14ac:dyDescent="0.3">
      <c r="A195" s="44" t="s">
        <v>1339</v>
      </c>
      <c r="B195" s="107" t="s">
        <v>1340</v>
      </c>
      <c r="C195" s="118" t="s">
        <v>808</v>
      </c>
      <c r="D195" s="119">
        <v>0</v>
      </c>
      <c r="E195" s="119">
        <v>0</v>
      </c>
      <c r="F195" s="119">
        <v>15135</v>
      </c>
      <c r="G195" s="119">
        <v>0</v>
      </c>
      <c r="H195" s="119">
        <v>15135</v>
      </c>
      <c r="I195" s="120">
        <v>8640</v>
      </c>
      <c r="J195" s="119">
        <v>0</v>
      </c>
      <c r="K195" s="119">
        <v>0</v>
      </c>
      <c r="L195" s="119">
        <v>86850</v>
      </c>
      <c r="M195" s="119">
        <v>0</v>
      </c>
      <c r="N195" s="119">
        <v>86850</v>
      </c>
    </row>
    <row r="196" spans="1:14" ht="15.75" thickBot="1" x14ac:dyDescent="0.3">
      <c r="A196" s="44" t="s">
        <v>1349</v>
      </c>
      <c r="B196" s="107" t="s">
        <v>1350</v>
      </c>
      <c r="C196" s="118" t="s">
        <v>808</v>
      </c>
      <c r="D196" s="119">
        <v>0</v>
      </c>
      <c r="E196" s="119">
        <v>0</v>
      </c>
      <c r="F196" s="119">
        <v>0</v>
      </c>
      <c r="G196" s="119">
        <v>0</v>
      </c>
      <c r="H196" s="119">
        <v>0</v>
      </c>
      <c r="I196" s="120">
        <v>9969</v>
      </c>
      <c r="J196" s="119">
        <v>0</v>
      </c>
      <c r="K196" s="119">
        <v>7343</v>
      </c>
      <c r="L196" s="119">
        <v>0</v>
      </c>
      <c r="M196" s="119">
        <v>0</v>
      </c>
      <c r="N196" s="119">
        <v>7343</v>
      </c>
    </row>
    <row r="197" spans="1:14" ht="15.75" thickBot="1" x14ac:dyDescent="0.3">
      <c r="A197" s="44" t="s">
        <v>1353</v>
      </c>
      <c r="B197" s="107" t="s">
        <v>1354</v>
      </c>
      <c r="C197" s="118" t="s">
        <v>808</v>
      </c>
      <c r="D197" s="119">
        <v>0</v>
      </c>
      <c r="E197" s="119">
        <v>0</v>
      </c>
      <c r="F197" s="119">
        <v>40000</v>
      </c>
      <c r="G197" s="119">
        <v>0</v>
      </c>
      <c r="H197" s="119">
        <v>40000</v>
      </c>
      <c r="I197" s="120">
        <v>7034</v>
      </c>
      <c r="J197" s="119">
        <v>1910</v>
      </c>
      <c r="K197" s="119">
        <v>7314</v>
      </c>
      <c r="L197" s="119">
        <v>83</v>
      </c>
      <c r="M197" s="119">
        <v>0</v>
      </c>
      <c r="N197" s="119">
        <v>9307</v>
      </c>
    </row>
    <row r="198" spans="1:14" ht="15.75" thickBot="1" x14ac:dyDescent="0.3">
      <c r="A198" s="44" t="s">
        <v>1361</v>
      </c>
      <c r="B198" s="107" t="s">
        <v>1362</v>
      </c>
      <c r="C198" s="118" t="s">
        <v>808</v>
      </c>
      <c r="D198" s="119">
        <v>0</v>
      </c>
      <c r="E198" s="119">
        <v>0</v>
      </c>
      <c r="F198" s="119">
        <v>0</v>
      </c>
      <c r="G198" s="119">
        <v>0</v>
      </c>
      <c r="H198" s="119">
        <v>0</v>
      </c>
      <c r="I198" s="120">
        <v>8833</v>
      </c>
      <c r="J198" s="119">
        <v>0</v>
      </c>
      <c r="K198" s="119">
        <v>0</v>
      </c>
      <c r="L198" s="119">
        <v>0</v>
      </c>
      <c r="M198" s="119">
        <v>0</v>
      </c>
      <c r="N198" s="119">
        <v>0</v>
      </c>
    </row>
    <row r="199" spans="1:14" ht="15.75" thickBot="1" x14ac:dyDescent="0.3">
      <c r="A199" s="44" t="s">
        <v>1369</v>
      </c>
      <c r="B199" s="107" t="s">
        <v>1370</v>
      </c>
      <c r="C199" s="118" t="s">
        <v>808</v>
      </c>
      <c r="D199" s="119">
        <v>0</v>
      </c>
      <c r="E199" s="119">
        <v>0</v>
      </c>
      <c r="F199" s="119">
        <v>0</v>
      </c>
      <c r="G199" s="119">
        <v>0</v>
      </c>
      <c r="H199" s="119">
        <v>0</v>
      </c>
      <c r="I199" s="120">
        <v>11503</v>
      </c>
      <c r="J199" s="119">
        <v>10176</v>
      </c>
      <c r="K199" s="119">
        <v>2554</v>
      </c>
      <c r="L199" s="119">
        <v>1184</v>
      </c>
      <c r="M199" s="119">
        <v>1350</v>
      </c>
      <c r="N199" s="119">
        <v>15264</v>
      </c>
    </row>
    <row r="200" spans="1:14" ht="15.75" thickBot="1" x14ac:dyDescent="0.3">
      <c r="A200" s="44" t="s">
        <v>1395</v>
      </c>
      <c r="B200" s="107" t="s">
        <v>1396</v>
      </c>
      <c r="C200" s="118" t="s">
        <v>808</v>
      </c>
      <c r="D200" s="119">
        <v>0</v>
      </c>
      <c r="E200" s="119">
        <v>0</v>
      </c>
      <c r="F200" s="119">
        <v>0</v>
      </c>
      <c r="G200" s="119">
        <v>0</v>
      </c>
      <c r="H200" s="119">
        <v>0</v>
      </c>
      <c r="I200" s="120">
        <v>8891</v>
      </c>
      <c r="J200" s="119">
        <v>0</v>
      </c>
      <c r="K200" s="119">
        <v>0</v>
      </c>
      <c r="L200" s="119">
        <v>0</v>
      </c>
      <c r="M200" s="119">
        <v>0</v>
      </c>
      <c r="N200" s="119">
        <v>0</v>
      </c>
    </row>
    <row r="201" spans="1:14" ht="15.75" thickBot="1" x14ac:dyDescent="0.3">
      <c r="A201" s="44" t="s">
        <v>1403</v>
      </c>
      <c r="B201" s="107" t="s">
        <v>1404</v>
      </c>
      <c r="C201" s="118" t="s">
        <v>808</v>
      </c>
      <c r="D201" s="119">
        <v>0</v>
      </c>
      <c r="E201" s="119">
        <v>0</v>
      </c>
      <c r="F201" s="119">
        <v>8110</v>
      </c>
      <c r="G201" s="119">
        <v>14104</v>
      </c>
      <c r="H201" s="119">
        <v>22214</v>
      </c>
      <c r="I201" s="120">
        <v>8543</v>
      </c>
      <c r="J201" s="119">
        <v>2500</v>
      </c>
      <c r="K201" s="119">
        <v>8250</v>
      </c>
      <c r="L201" s="119">
        <v>0</v>
      </c>
      <c r="M201" s="119">
        <v>2200</v>
      </c>
      <c r="N201" s="119">
        <v>12950</v>
      </c>
    </row>
    <row r="202" spans="1:14" ht="15.75" thickBot="1" x14ac:dyDescent="0.3">
      <c r="A202" s="44" t="s">
        <v>1411</v>
      </c>
      <c r="B202" s="107" t="s">
        <v>1412</v>
      </c>
      <c r="C202" s="118" t="s">
        <v>808</v>
      </c>
      <c r="D202" s="119">
        <v>0</v>
      </c>
      <c r="E202" s="119">
        <v>0</v>
      </c>
      <c r="F202" s="119">
        <v>0</v>
      </c>
      <c r="G202" s="119">
        <v>0</v>
      </c>
      <c r="H202" s="119">
        <v>0</v>
      </c>
      <c r="I202" s="120">
        <v>7580</v>
      </c>
      <c r="J202" s="119">
        <v>0</v>
      </c>
      <c r="K202" s="119">
        <v>40150</v>
      </c>
      <c r="L202" s="119">
        <v>70352</v>
      </c>
      <c r="M202" s="119">
        <v>81250</v>
      </c>
      <c r="N202" s="119">
        <v>191752</v>
      </c>
    </row>
    <row r="203" spans="1:14" ht="15.75" thickBot="1" x14ac:dyDescent="0.3">
      <c r="A203" s="44" t="s">
        <v>1419</v>
      </c>
      <c r="B203" s="107" t="s">
        <v>1420</v>
      </c>
      <c r="C203" s="118" t="s">
        <v>808</v>
      </c>
      <c r="D203" s="119">
        <v>0</v>
      </c>
      <c r="E203" s="119">
        <v>0</v>
      </c>
      <c r="F203" s="119">
        <v>0</v>
      </c>
      <c r="G203" s="119">
        <v>0</v>
      </c>
      <c r="H203" s="119">
        <v>0</v>
      </c>
      <c r="I203" s="120">
        <v>7903</v>
      </c>
      <c r="J203" s="121">
        <v>0</v>
      </c>
      <c r="K203" s="121">
        <v>0</v>
      </c>
      <c r="L203" s="121">
        <v>0</v>
      </c>
      <c r="M203" s="121">
        <v>0</v>
      </c>
      <c r="N203" s="121">
        <v>0</v>
      </c>
    </row>
    <row r="204" spans="1:14" ht="15.75" thickBot="1" x14ac:dyDescent="0.3">
      <c r="A204" s="44" t="s">
        <v>1435</v>
      </c>
      <c r="B204" s="107" t="s">
        <v>1436</v>
      </c>
      <c r="C204" s="118" t="s">
        <v>808</v>
      </c>
      <c r="D204" s="119">
        <v>0</v>
      </c>
      <c r="E204" s="119">
        <v>0</v>
      </c>
      <c r="F204" s="119">
        <v>0</v>
      </c>
      <c r="G204" s="119">
        <v>0</v>
      </c>
      <c r="H204" s="119">
        <v>0</v>
      </c>
      <c r="I204" s="120">
        <v>11480</v>
      </c>
      <c r="J204" s="119">
        <v>0</v>
      </c>
      <c r="K204" s="119">
        <v>0</v>
      </c>
      <c r="L204" s="119">
        <v>0</v>
      </c>
      <c r="M204" s="119">
        <v>0</v>
      </c>
      <c r="N204" s="119">
        <v>0</v>
      </c>
    </row>
    <row r="205" spans="1:14" ht="15.75" thickBot="1" x14ac:dyDescent="0.3">
      <c r="A205" s="44" t="s">
        <v>1437</v>
      </c>
      <c r="B205" s="107" t="s">
        <v>1438</v>
      </c>
      <c r="C205" s="118" t="s">
        <v>808</v>
      </c>
      <c r="D205" s="119">
        <v>0</v>
      </c>
      <c r="E205" s="119">
        <v>0</v>
      </c>
      <c r="F205" s="119">
        <v>28000</v>
      </c>
      <c r="G205" s="119">
        <v>14389</v>
      </c>
      <c r="H205" s="119">
        <v>42389</v>
      </c>
      <c r="I205" s="120">
        <v>7798</v>
      </c>
      <c r="J205" s="119">
        <v>2083</v>
      </c>
      <c r="K205" s="119">
        <v>9323</v>
      </c>
      <c r="L205" s="119">
        <v>97806</v>
      </c>
      <c r="M205" s="119">
        <v>4568</v>
      </c>
      <c r="N205" s="119">
        <v>113780</v>
      </c>
    </row>
    <row r="206" spans="1:14" ht="15.75" thickBot="1" x14ac:dyDescent="0.3">
      <c r="A206" s="44" t="s">
        <v>1445</v>
      </c>
      <c r="B206" s="107" t="s">
        <v>1446</v>
      </c>
      <c r="C206" s="118" t="s">
        <v>808</v>
      </c>
      <c r="D206" s="119">
        <v>0</v>
      </c>
      <c r="E206" s="119">
        <v>0</v>
      </c>
      <c r="F206" s="119">
        <v>0</v>
      </c>
      <c r="G206" s="119">
        <v>0</v>
      </c>
      <c r="H206" s="119">
        <v>0</v>
      </c>
      <c r="I206" s="120">
        <v>7357</v>
      </c>
      <c r="J206" s="119">
        <v>13803</v>
      </c>
      <c r="K206" s="119">
        <v>3324</v>
      </c>
      <c r="L206" s="119">
        <v>4545</v>
      </c>
      <c r="M206" s="119">
        <v>20000</v>
      </c>
      <c r="N206" s="119">
        <v>41672</v>
      </c>
    </row>
    <row r="207" spans="1:14" ht="15.75" thickBot="1" x14ac:dyDescent="0.3">
      <c r="A207" s="44" t="s">
        <v>1451</v>
      </c>
      <c r="B207" s="107" t="s">
        <v>1452</v>
      </c>
      <c r="C207" s="118" t="s">
        <v>808</v>
      </c>
      <c r="D207" s="119">
        <v>0</v>
      </c>
      <c r="E207" s="119">
        <v>0</v>
      </c>
      <c r="F207" s="119">
        <v>0</v>
      </c>
      <c r="G207" s="119">
        <v>0</v>
      </c>
      <c r="H207" s="119">
        <v>0</v>
      </c>
      <c r="I207" s="120">
        <v>7103</v>
      </c>
      <c r="J207" s="119">
        <v>0</v>
      </c>
      <c r="K207" s="119">
        <v>0</v>
      </c>
      <c r="L207" s="119">
        <v>1006</v>
      </c>
      <c r="M207" s="119">
        <v>0</v>
      </c>
      <c r="N207" s="119">
        <v>1006</v>
      </c>
    </row>
    <row r="208" spans="1:14" ht="15.75" thickBot="1" x14ac:dyDescent="0.3">
      <c r="A208" s="44" t="s">
        <v>1455</v>
      </c>
      <c r="B208" s="107" t="s">
        <v>1456</v>
      </c>
      <c r="C208" s="118" t="s">
        <v>808</v>
      </c>
      <c r="D208" s="119">
        <v>0</v>
      </c>
      <c r="E208" s="119">
        <v>0</v>
      </c>
      <c r="F208" s="119">
        <v>0</v>
      </c>
      <c r="G208" s="119">
        <v>0</v>
      </c>
      <c r="H208" s="119">
        <v>0</v>
      </c>
      <c r="I208" s="120">
        <v>10017</v>
      </c>
      <c r="J208" s="119">
        <v>6000</v>
      </c>
      <c r="K208" s="119">
        <v>20000</v>
      </c>
      <c r="L208" s="119">
        <v>198678</v>
      </c>
      <c r="M208" s="119">
        <v>0</v>
      </c>
      <c r="N208" s="119">
        <v>224678</v>
      </c>
    </row>
    <row r="209" spans="1:14" ht="15.75" thickBot="1" x14ac:dyDescent="0.3">
      <c r="A209" s="44" t="s">
        <v>1461</v>
      </c>
      <c r="B209" s="107" t="s">
        <v>1462</v>
      </c>
      <c r="C209" s="118" t="s">
        <v>808</v>
      </c>
      <c r="D209" s="119">
        <v>0</v>
      </c>
      <c r="E209" s="119">
        <v>0</v>
      </c>
      <c r="F209" s="119">
        <v>0</v>
      </c>
      <c r="G209" s="119">
        <v>0</v>
      </c>
      <c r="H209" s="119">
        <v>0</v>
      </c>
      <c r="I209" s="120">
        <v>7272</v>
      </c>
      <c r="J209" s="119">
        <v>0</v>
      </c>
      <c r="K209" s="119">
        <v>0</v>
      </c>
      <c r="L209" s="119">
        <v>0</v>
      </c>
      <c r="M209" s="119">
        <v>0</v>
      </c>
      <c r="N209" s="119">
        <v>0</v>
      </c>
    </row>
    <row r="210" spans="1:14" ht="15.75" thickBot="1" x14ac:dyDescent="0.3">
      <c r="A210" s="44" t="s">
        <v>1467</v>
      </c>
      <c r="B210" s="107" t="s">
        <v>1468</v>
      </c>
      <c r="C210" s="118" t="s">
        <v>808</v>
      </c>
      <c r="D210" s="119">
        <v>0</v>
      </c>
      <c r="E210" s="119">
        <v>0</v>
      </c>
      <c r="F210" s="119">
        <v>0</v>
      </c>
      <c r="G210" s="119">
        <v>0</v>
      </c>
      <c r="H210" s="119">
        <v>0</v>
      </c>
      <c r="I210" s="120">
        <v>11377</v>
      </c>
      <c r="J210" s="119">
        <v>0</v>
      </c>
      <c r="K210" s="119">
        <v>0</v>
      </c>
      <c r="L210" s="119">
        <v>0</v>
      </c>
      <c r="M210" s="119">
        <v>0</v>
      </c>
      <c r="N210" s="119">
        <v>0</v>
      </c>
    </row>
    <row r="211" spans="1:14" ht="15.75" thickBot="1" x14ac:dyDescent="0.3">
      <c r="A211" s="44" t="s">
        <v>1480</v>
      </c>
      <c r="B211" s="107" t="s">
        <v>1481</v>
      </c>
      <c r="C211" s="118" t="s">
        <v>808</v>
      </c>
      <c r="D211" s="119">
        <v>0</v>
      </c>
      <c r="E211" s="119">
        <v>0</v>
      </c>
      <c r="F211" s="119">
        <v>161175</v>
      </c>
      <c r="G211" s="119">
        <v>0</v>
      </c>
      <c r="H211" s="119">
        <v>161175</v>
      </c>
      <c r="I211" s="120">
        <v>8386</v>
      </c>
      <c r="J211" s="119">
        <v>0</v>
      </c>
      <c r="K211" s="119">
        <v>0</v>
      </c>
      <c r="L211" s="119">
        <v>0</v>
      </c>
      <c r="M211" s="119">
        <v>0</v>
      </c>
      <c r="N211" s="119">
        <v>0</v>
      </c>
    </row>
    <row r="212" spans="1:14" ht="15.75" thickBot="1" x14ac:dyDescent="0.3">
      <c r="A212" s="44" t="s">
        <v>1486</v>
      </c>
      <c r="B212" s="107" t="s">
        <v>1487</v>
      </c>
      <c r="C212" s="118" t="s">
        <v>808</v>
      </c>
      <c r="D212" s="119">
        <v>0</v>
      </c>
      <c r="E212" s="119">
        <v>0</v>
      </c>
      <c r="F212" s="119">
        <v>0</v>
      </c>
      <c r="G212" s="119">
        <v>0</v>
      </c>
      <c r="H212" s="119">
        <v>0</v>
      </c>
      <c r="I212" s="120">
        <v>9110</v>
      </c>
      <c r="J212" s="119">
        <v>4543</v>
      </c>
      <c r="K212" s="119">
        <v>4282</v>
      </c>
      <c r="L212" s="119">
        <v>0</v>
      </c>
      <c r="M212" s="119">
        <v>0</v>
      </c>
      <c r="N212" s="119">
        <v>8825</v>
      </c>
    </row>
    <row r="213" spans="1:14" ht="15.75" thickBot="1" x14ac:dyDescent="0.3">
      <c r="A213" s="44" t="s">
        <v>1488</v>
      </c>
      <c r="B213" s="107" t="s">
        <v>1489</v>
      </c>
      <c r="C213" s="118" t="s">
        <v>808</v>
      </c>
      <c r="D213" s="119">
        <v>0</v>
      </c>
      <c r="E213" s="119">
        <v>0</v>
      </c>
      <c r="F213" s="119">
        <v>0</v>
      </c>
      <c r="G213" s="119">
        <v>0</v>
      </c>
      <c r="H213" s="119">
        <v>0</v>
      </c>
      <c r="I213" s="120">
        <v>9645</v>
      </c>
      <c r="J213" s="119">
        <v>0</v>
      </c>
      <c r="K213" s="119">
        <v>0</v>
      </c>
      <c r="L213" s="119">
        <v>13780</v>
      </c>
      <c r="M213" s="119">
        <v>0</v>
      </c>
      <c r="N213" s="119">
        <v>13780</v>
      </c>
    </row>
    <row r="214" spans="1:14" ht="15.75" thickBot="1" x14ac:dyDescent="0.3">
      <c r="A214" s="44" t="s">
        <v>1504</v>
      </c>
      <c r="B214" s="107" t="s">
        <v>1505</v>
      </c>
      <c r="C214" s="118" t="s">
        <v>808</v>
      </c>
      <c r="D214" s="119">
        <v>0</v>
      </c>
      <c r="E214" s="119">
        <v>0</v>
      </c>
      <c r="F214" s="119">
        <v>0</v>
      </c>
      <c r="G214" s="119">
        <v>0</v>
      </c>
      <c r="H214" s="119">
        <v>0</v>
      </c>
      <c r="I214" s="120">
        <v>9301</v>
      </c>
      <c r="J214" s="119">
        <v>4851</v>
      </c>
      <c r="K214" s="119">
        <v>3734</v>
      </c>
      <c r="L214" s="121">
        <v>0</v>
      </c>
      <c r="M214" s="119">
        <v>1500</v>
      </c>
      <c r="N214" s="119">
        <v>10085</v>
      </c>
    </row>
    <row r="215" spans="1:14" ht="15.75" thickBot="1" x14ac:dyDescent="0.3">
      <c r="A215" s="44" t="s">
        <v>1508</v>
      </c>
      <c r="B215" s="107" t="s">
        <v>1509</v>
      </c>
      <c r="C215" s="118" t="s">
        <v>808</v>
      </c>
      <c r="D215" s="119">
        <v>1999</v>
      </c>
      <c r="E215" s="119">
        <v>3675</v>
      </c>
      <c r="F215" s="119">
        <v>0</v>
      </c>
      <c r="G215" s="119">
        <v>0</v>
      </c>
      <c r="H215" s="119">
        <v>5674</v>
      </c>
      <c r="I215" s="120">
        <v>7851</v>
      </c>
      <c r="J215" s="119">
        <v>5105</v>
      </c>
      <c r="K215" s="119">
        <v>0</v>
      </c>
      <c r="L215" s="119">
        <v>0</v>
      </c>
      <c r="M215" s="119">
        <v>12585</v>
      </c>
      <c r="N215" s="119">
        <v>17690</v>
      </c>
    </row>
    <row r="216" spans="1:14" ht="15.75" thickBot="1" x14ac:dyDescent="0.3">
      <c r="A216" s="44" t="s">
        <v>1510</v>
      </c>
      <c r="B216" s="107" t="s">
        <v>1511</v>
      </c>
      <c r="C216" s="118" t="s">
        <v>808</v>
      </c>
      <c r="D216" s="119">
        <v>0</v>
      </c>
      <c r="E216" s="119">
        <v>0</v>
      </c>
      <c r="F216" s="119">
        <v>125864</v>
      </c>
      <c r="G216" s="119">
        <v>3633</v>
      </c>
      <c r="H216" s="119">
        <v>129497</v>
      </c>
      <c r="I216" s="120">
        <v>10250</v>
      </c>
      <c r="J216" s="119">
        <v>7114</v>
      </c>
      <c r="K216" s="119">
        <v>1426</v>
      </c>
      <c r="L216" s="119">
        <v>34200</v>
      </c>
      <c r="M216" s="119">
        <v>14465</v>
      </c>
      <c r="N216" s="119">
        <v>57205</v>
      </c>
    </row>
    <row r="217" spans="1:14" ht="15.75" thickBot="1" x14ac:dyDescent="0.3">
      <c r="A217" s="44" t="s">
        <v>1520</v>
      </c>
      <c r="B217" s="107" t="s">
        <v>1521</v>
      </c>
      <c r="C217" s="118" t="s">
        <v>808</v>
      </c>
      <c r="D217" s="119">
        <v>0</v>
      </c>
      <c r="E217" s="119">
        <v>0</v>
      </c>
      <c r="F217" s="119">
        <v>0</v>
      </c>
      <c r="G217" s="119">
        <v>0</v>
      </c>
      <c r="H217" s="119">
        <v>0</v>
      </c>
      <c r="I217" s="120">
        <v>10662</v>
      </c>
      <c r="J217" s="119">
        <v>0</v>
      </c>
      <c r="K217" s="119">
        <v>7360</v>
      </c>
      <c r="L217" s="119">
        <v>1000</v>
      </c>
      <c r="M217" s="119">
        <v>0</v>
      </c>
      <c r="N217" s="119">
        <v>8360</v>
      </c>
    </row>
    <row r="218" spans="1:14" ht="15.75" thickBot="1" x14ac:dyDescent="0.3">
      <c r="A218" s="44" t="s">
        <v>1524</v>
      </c>
      <c r="B218" s="107" t="s">
        <v>1525</v>
      </c>
      <c r="C218" s="118" t="s">
        <v>808</v>
      </c>
      <c r="D218" s="119">
        <v>0</v>
      </c>
      <c r="E218" s="119">
        <v>0</v>
      </c>
      <c r="F218" s="119">
        <v>0</v>
      </c>
      <c r="G218" s="119">
        <v>0</v>
      </c>
      <c r="H218" s="119">
        <v>0</v>
      </c>
      <c r="I218" s="120">
        <v>11985</v>
      </c>
      <c r="J218" s="119">
        <v>0</v>
      </c>
      <c r="K218" s="119">
        <v>0</v>
      </c>
      <c r="L218" s="119">
        <v>0</v>
      </c>
      <c r="M218" s="119">
        <v>0</v>
      </c>
      <c r="N218" s="119">
        <v>0</v>
      </c>
    </row>
    <row r="219" spans="1:14" ht="15.75" thickBot="1" x14ac:dyDescent="0.3">
      <c r="A219" s="44" t="s">
        <v>1526</v>
      </c>
      <c r="B219" s="107" t="s">
        <v>1527</v>
      </c>
      <c r="C219" s="118" t="s">
        <v>808</v>
      </c>
      <c r="D219" s="119">
        <v>0</v>
      </c>
      <c r="E219" s="119">
        <v>0</v>
      </c>
      <c r="F219" s="119">
        <v>0</v>
      </c>
      <c r="G219" s="119">
        <v>0</v>
      </c>
      <c r="H219" s="119">
        <v>0</v>
      </c>
      <c r="I219" s="120">
        <v>8147</v>
      </c>
      <c r="J219" s="121">
        <v>0</v>
      </c>
      <c r="K219" s="121">
        <v>0</v>
      </c>
      <c r="L219" s="119">
        <v>17347</v>
      </c>
      <c r="M219" s="121">
        <v>0</v>
      </c>
      <c r="N219" s="119">
        <v>17347</v>
      </c>
    </row>
    <row r="220" spans="1:14" ht="15.75" thickBot="1" x14ac:dyDescent="0.3">
      <c r="A220" s="44" t="s">
        <v>1534</v>
      </c>
      <c r="B220" s="107" t="s">
        <v>1535</v>
      </c>
      <c r="C220" s="118" t="s">
        <v>808</v>
      </c>
      <c r="D220" s="119">
        <v>0</v>
      </c>
      <c r="E220" s="119">
        <v>0</v>
      </c>
      <c r="F220" s="119">
        <v>0</v>
      </c>
      <c r="G220" s="119">
        <v>0</v>
      </c>
      <c r="H220" s="119">
        <v>0</v>
      </c>
      <c r="I220" s="120">
        <v>9714</v>
      </c>
      <c r="J220" s="119">
        <v>0</v>
      </c>
      <c r="K220" s="119">
        <v>0</v>
      </c>
      <c r="L220" s="119">
        <v>0</v>
      </c>
      <c r="M220" s="119">
        <v>0</v>
      </c>
      <c r="N220" s="119">
        <v>0</v>
      </c>
    </row>
    <row r="221" spans="1:14" ht="15.75" thickBot="1" x14ac:dyDescent="0.3">
      <c r="A221" s="44" t="s">
        <v>1562</v>
      </c>
      <c r="B221" s="107" t="s">
        <v>1563</v>
      </c>
      <c r="C221" s="118" t="s">
        <v>808</v>
      </c>
      <c r="D221" s="119">
        <v>0</v>
      </c>
      <c r="E221" s="119">
        <v>0</v>
      </c>
      <c r="F221" s="119">
        <v>0</v>
      </c>
      <c r="G221" s="119">
        <v>2000</v>
      </c>
      <c r="H221" s="119">
        <v>2000</v>
      </c>
      <c r="I221" s="120">
        <v>9514</v>
      </c>
      <c r="J221" s="119">
        <v>1790</v>
      </c>
      <c r="K221" s="119">
        <v>1885</v>
      </c>
      <c r="L221" s="121">
        <v>0</v>
      </c>
      <c r="M221" s="121">
        <v>0</v>
      </c>
      <c r="N221" s="119">
        <v>3675</v>
      </c>
    </row>
    <row r="222" spans="1:14" ht="15.75" thickBot="1" x14ac:dyDescent="0.3">
      <c r="A222" s="44" t="s">
        <v>1576</v>
      </c>
      <c r="B222" s="107" t="s">
        <v>1577</v>
      </c>
      <c r="C222" s="118" t="s">
        <v>808</v>
      </c>
      <c r="D222" s="119">
        <v>0</v>
      </c>
      <c r="E222" s="119">
        <v>0</v>
      </c>
      <c r="F222" s="119">
        <v>0</v>
      </c>
      <c r="G222" s="119">
        <v>0</v>
      </c>
      <c r="H222" s="119">
        <v>0</v>
      </c>
      <c r="I222" s="120">
        <v>9138</v>
      </c>
      <c r="J222" s="119">
        <v>7125</v>
      </c>
      <c r="K222" s="121">
        <v>0</v>
      </c>
      <c r="L222" s="121">
        <v>0</v>
      </c>
      <c r="M222" s="121">
        <v>0</v>
      </c>
      <c r="N222" s="119">
        <v>7125</v>
      </c>
    </row>
    <row r="223" spans="1:14" ht="15.75" thickBot="1" x14ac:dyDescent="0.3">
      <c r="A223" s="44" t="s">
        <v>1578</v>
      </c>
      <c r="B223" s="107" t="s">
        <v>1579</v>
      </c>
      <c r="C223" s="118" t="s">
        <v>808</v>
      </c>
      <c r="D223" s="119">
        <v>0</v>
      </c>
      <c r="E223" s="119">
        <v>0</v>
      </c>
      <c r="F223" s="119">
        <v>0</v>
      </c>
      <c r="G223" s="119">
        <v>0</v>
      </c>
      <c r="H223" s="119">
        <v>0</v>
      </c>
      <c r="I223" s="120">
        <v>7370</v>
      </c>
      <c r="J223" s="119">
        <v>0</v>
      </c>
      <c r="K223" s="119">
        <v>2000</v>
      </c>
      <c r="L223" s="119">
        <v>0</v>
      </c>
      <c r="M223" s="119">
        <v>0</v>
      </c>
      <c r="N223" s="119">
        <v>2000</v>
      </c>
    </row>
    <row r="224" spans="1:14" ht="15.75" thickBot="1" x14ac:dyDescent="0.3">
      <c r="A224" s="44" t="s">
        <v>1582</v>
      </c>
      <c r="B224" s="107" t="s">
        <v>1583</v>
      </c>
      <c r="C224" s="118" t="s">
        <v>808</v>
      </c>
      <c r="D224" s="119">
        <v>0</v>
      </c>
      <c r="E224" s="119">
        <v>0</v>
      </c>
      <c r="F224" s="119">
        <v>0</v>
      </c>
      <c r="G224" s="119">
        <v>0</v>
      </c>
      <c r="H224" s="119">
        <v>0</v>
      </c>
      <c r="I224" s="120">
        <v>8533</v>
      </c>
      <c r="J224" s="119">
        <v>0</v>
      </c>
      <c r="K224" s="119">
        <v>0</v>
      </c>
      <c r="L224" s="119">
        <v>0</v>
      </c>
      <c r="M224" s="119">
        <v>0</v>
      </c>
      <c r="N224" s="119">
        <v>0</v>
      </c>
    </row>
    <row r="225" spans="1:14" ht="15.75" thickBot="1" x14ac:dyDescent="0.3">
      <c r="A225" s="44" t="s">
        <v>1584</v>
      </c>
      <c r="B225" s="107" t="s">
        <v>1585</v>
      </c>
      <c r="C225" s="118" t="s">
        <v>808</v>
      </c>
      <c r="D225" s="119">
        <v>0</v>
      </c>
      <c r="E225" s="119">
        <v>0</v>
      </c>
      <c r="F225" s="119">
        <v>106345</v>
      </c>
      <c r="G225" s="119">
        <v>0</v>
      </c>
      <c r="H225" s="119">
        <v>106345</v>
      </c>
      <c r="I225" s="120">
        <v>11811</v>
      </c>
      <c r="J225" s="119">
        <v>5563</v>
      </c>
      <c r="K225" s="119">
        <v>1916</v>
      </c>
      <c r="L225" s="119">
        <v>132098</v>
      </c>
      <c r="M225" s="119">
        <v>1500</v>
      </c>
      <c r="N225" s="119">
        <v>141077</v>
      </c>
    </row>
    <row r="226" spans="1:14" ht="15.75" thickBot="1" x14ac:dyDescent="0.3">
      <c r="A226" s="44" t="s">
        <v>1590</v>
      </c>
      <c r="B226" s="107" t="s">
        <v>1591</v>
      </c>
      <c r="C226" s="118" t="s">
        <v>808</v>
      </c>
      <c r="D226" s="119">
        <v>0</v>
      </c>
      <c r="E226" s="119">
        <v>0</v>
      </c>
      <c r="F226" s="119">
        <v>0</v>
      </c>
      <c r="G226" s="119">
        <v>0</v>
      </c>
      <c r="H226" s="119">
        <v>0</v>
      </c>
      <c r="I226" s="120">
        <v>10014</v>
      </c>
      <c r="J226" s="119">
        <v>2073</v>
      </c>
      <c r="K226" s="119">
        <v>4265</v>
      </c>
      <c r="L226" s="119">
        <v>107</v>
      </c>
      <c r="M226" s="119">
        <v>136</v>
      </c>
      <c r="N226" s="119">
        <v>6581</v>
      </c>
    </row>
    <row r="227" spans="1:14" ht="15.75" thickBot="1" x14ac:dyDescent="0.3">
      <c r="A227" s="44" t="s">
        <v>801</v>
      </c>
      <c r="B227" s="107" t="s">
        <v>802</v>
      </c>
      <c r="C227" s="118" t="s">
        <v>803</v>
      </c>
      <c r="D227" s="119">
        <v>0</v>
      </c>
      <c r="E227" s="119">
        <v>0</v>
      </c>
      <c r="F227" s="119">
        <v>0</v>
      </c>
      <c r="G227" s="119">
        <v>0</v>
      </c>
      <c r="H227" s="119">
        <v>0</v>
      </c>
      <c r="I227" s="120">
        <v>21133</v>
      </c>
      <c r="J227" s="119">
        <v>8023</v>
      </c>
      <c r="K227" s="119">
        <v>58918</v>
      </c>
      <c r="L227" s="119">
        <v>23450</v>
      </c>
      <c r="M227" s="119">
        <v>31787</v>
      </c>
      <c r="N227" s="119">
        <v>122178</v>
      </c>
    </row>
    <row r="228" spans="1:14" ht="15.75" thickBot="1" x14ac:dyDescent="0.3">
      <c r="A228" s="44" t="s">
        <v>818</v>
      </c>
      <c r="B228" s="107" t="s">
        <v>819</v>
      </c>
      <c r="C228" s="118" t="s">
        <v>803</v>
      </c>
      <c r="D228" s="119">
        <v>4015000</v>
      </c>
      <c r="E228" s="119">
        <v>0</v>
      </c>
      <c r="F228" s="119">
        <v>15000</v>
      </c>
      <c r="G228" s="119">
        <v>15000</v>
      </c>
      <c r="H228" s="119">
        <v>4045000</v>
      </c>
      <c r="I228" s="120">
        <v>17401</v>
      </c>
      <c r="J228" s="119">
        <v>45000</v>
      </c>
      <c r="K228" s="119">
        <v>453864</v>
      </c>
      <c r="L228" s="119">
        <v>3609180</v>
      </c>
      <c r="M228" s="119">
        <v>32235</v>
      </c>
      <c r="N228" s="119">
        <v>4140279</v>
      </c>
    </row>
    <row r="229" spans="1:14" ht="15.75" thickBot="1" x14ac:dyDescent="0.3">
      <c r="A229" s="44" t="s">
        <v>846</v>
      </c>
      <c r="B229" s="107" t="s">
        <v>847</v>
      </c>
      <c r="C229" s="118" t="s">
        <v>803</v>
      </c>
      <c r="D229" s="119">
        <v>0</v>
      </c>
      <c r="E229" s="119">
        <v>0</v>
      </c>
      <c r="F229" s="119">
        <v>0</v>
      </c>
      <c r="G229" s="119">
        <v>0</v>
      </c>
      <c r="H229" s="119">
        <v>0</v>
      </c>
      <c r="I229" s="120">
        <v>21412</v>
      </c>
      <c r="J229" s="119">
        <v>0</v>
      </c>
      <c r="K229" s="119">
        <v>7169</v>
      </c>
      <c r="L229" s="119">
        <v>0</v>
      </c>
      <c r="M229" s="119">
        <v>0</v>
      </c>
      <c r="N229" s="119">
        <v>7169</v>
      </c>
    </row>
    <row r="230" spans="1:14" ht="15.75" thickBot="1" x14ac:dyDescent="0.3">
      <c r="A230" s="44" t="s">
        <v>851</v>
      </c>
      <c r="B230" s="107" t="s">
        <v>852</v>
      </c>
      <c r="C230" s="118" t="s">
        <v>803</v>
      </c>
      <c r="D230" s="119">
        <v>0</v>
      </c>
      <c r="E230" s="119">
        <v>0</v>
      </c>
      <c r="F230" s="119">
        <v>0</v>
      </c>
      <c r="G230" s="119">
        <v>0</v>
      </c>
      <c r="H230" s="119">
        <v>0</v>
      </c>
      <c r="I230" s="120">
        <v>25883</v>
      </c>
      <c r="J230" s="119">
        <v>10000</v>
      </c>
      <c r="K230" s="119">
        <v>8500</v>
      </c>
      <c r="L230" s="119">
        <v>0</v>
      </c>
      <c r="M230" s="119">
        <v>86599</v>
      </c>
      <c r="N230" s="119">
        <v>105099</v>
      </c>
    </row>
    <row r="231" spans="1:14" ht="15.75" thickBot="1" x14ac:dyDescent="0.3">
      <c r="A231" s="44" t="s">
        <v>871</v>
      </c>
      <c r="B231" s="107" t="s">
        <v>872</v>
      </c>
      <c r="C231" s="118" t="s">
        <v>803</v>
      </c>
      <c r="D231" s="119">
        <v>0</v>
      </c>
      <c r="E231" s="119">
        <v>0</v>
      </c>
      <c r="F231" s="119">
        <v>0</v>
      </c>
      <c r="G231" s="119">
        <v>0</v>
      </c>
      <c r="H231" s="119">
        <v>0</v>
      </c>
      <c r="I231" s="120">
        <v>24787</v>
      </c>
      <c r="J231" s="121">
        <v>0</v>
      </c>
      <c r="K231" s="121">
        <v>0</v>
      </c>
      <c r="L231" s="121">
        <v>0</v>
      </c>
      <c r="M231" s="121">
        <v>0</v>
      </c>
      <c r="N231" s="121">
        <v>0</v>
      </c>
    </row>
    <row r="232" spans="1:14" ht="15.75" thickBot="1" x14ac:dyDescent="0.3">
      <c r="A232" s="44" t="s">
        <v>877</v>
      </c>
      <c r="B232" s="107" t="s">
        <v>878</v>
      </c>
      <c r="C232" s="118" t="s">
        <v>803</v>
      </c>
      <c r="D232" s="119">
        <v>0</v>
      </c>
      <c r="E232" s="119">
        <v>0</v>
      </c>
      <c r="F232" s="119">
        <v>0</v>
      </c>
      <c r="G232" s="119">
        <v>0</v>
      </c>
      <c r="H232" s="119">
        <v>0</v>
      </c>
      <c r="I232" s="120">
        <v>14970</v>
      </c>
      <c r="J232" s="119">
        <v>9656</v>
      </c>
      <c r="K232" s="119">
        <v>14037</v>
      </c>
      <c r="L232" s="119">
        <v>3909</v>
      </c>
      <c r="M232" s="119">
        <v>0</v>
      </c>
      <c r="N232" s="119">
        <v>27602</v>
      </c>
    </row>
    <row r="233" spans="1:14" ht="15.75" thickBot="1" x14ac:dyDescent="0.3">
      <c r="A233" s="44" t="s">
        <v>887</v>
      </c>
      <c r="B233" s="107" t="s">
        <v>888</v>
      </c>
      <c r="C233" s="118" t="s">
        <v>803</v>
      </c>
      <c r="D233" s="119">
        <v>0</v>
      </c>
      <c r="E233" s="119">
        <v>0</v>
      </c>
      <c r="F233" s="119">
        <v>0</v>
      </c>
      <c r="G233" s="119">
        <v>0</v>
      </c>
      <c r="H233" s="119">
        <v>0</v>
      </c>
      <c r="I233" s="120">
        <v>20025</v>
      </c>
      <c r="J233" s="121">
        <v>0</v>
      </c>
      <c r="K233" s="121">
        <v>0</v>
      </c>
      <c r="L233" s="119">
        <v>35615</v>
      </c>
      <c r="M233" s="119">
        <v>4738</v>
      </c>
      <c r="N233" s="119">
        <v>40353</v>
      </c>
    </row>
    <row r="234" spans="1:14" ht="15.75" thickBot="1" x14ac:dyDescent="0.3">
      <c r="A234" s="44" t="s">
        <v>899</v>
      </c>
      <c r="B234" s="107" t="s">
        <v>900</v>
      </c>
      <c r="C234" s="118" t="s">
        <v>803</v>
      </c>
      <c r="D234" s="119">
        <v>0</v>
      </c>
      <c r="E234" s="119">
        <v>0</v>
      </c>
      <c r="F234" s="119">
        <v>0</v>
      </c>
      <c r="G234" s="119">
        <v>0</v>
      </c>
      <c r="H234" s="119">
        <v>0</v>
      </c>
      <c r="I234" s="120">
        <v>15175</v>
      </c>
      <c r="J234" s="119">
        <v>15245</v>
      </c>
      <c r="K234" s="119">
        <v>4913</v>
      </c>
      <c r="L234" s="119">
        <v>0</v>
      </c>
      <c r="M234" s="119">
        <v>0</v>
      </c>
      <c r="N234" s="119">
        <v>20158</v>
      </c>
    </row>
    <row r="235" spans="1:14" ht="15.75" thickBot="1" x14ac:dyDescent="0.3">
      <c r="A235" s="44" t="s">
        <v>901</v>
      </c>
      <c r="B235" s="107" t="s">
        <v>902</v>
      </c>
      <c r="C235" s="118" t="s">
        <v>803</v>
      </c>
      <c r="D235" s="119">
        <v>0</v>
      </c>
      <c r="E235" s="119">
        <v>0</v>
      </c>
      <c r="F235" s="119">
        <v>0</v>
      </c>
      <c r="G235" s="119">
        <v>0</v>
      </c>
      <c r="H235" s="119">
        <v>0</v>
      </c>
      <c r="I235" s="120">
        <v>12667</v>
      </c>
      <c r="J235" s="119">
        <v>0</v>
      </c>
      <c r="K235" s="119">
        <v>14036</v>
      </c>
      <c r="L235" s="119">
        <v>0</v>
      </c>
      <c r="M235" s="119">
        <v>0</v>
      </c>
      <c r="N235" s="119">
        <v>14036</v>
      </c>
    </row>
    <row r="236" spans="1:14" ht="15.75" thickBot="1" x14ac:dyDescent="0.3">
      <c r="A236" s="44" t="s">
        <v>905</v>
      </c>
      <c r="B236" s="107" t="s">
        <v>906</v>
      </c>
      <c r="C236" s="118" t="s">
        <v>803</v>
      </c>
      <c r="D236" s="119">
        <v>0</v>
      </c>
      <c r="E236" s="119">
        <v>0</v>
      </c>
      <c r="F236" s="119">
        <v>0</v>
      </c>
      <c r="G236" s="119">
        <v>0</v>
      </c>
      <c r="H236" s="119">
        <v>0</v>
      </c>
      <c r="I236" s="120">
        <v>19336</v>
      </c>
      <c r="J236" s="119">
        <v>0</v>
      </c>
      <c r="K236" s="119">
        <v>0</v>
      </c>
      <c r="L236" s="119">
        <v>0</v>
      </c>
      <c r="M236" s="119">
        <v>0</v>
      </c>
      <c r="N236" s="119">
        <v>0</v>
      </c>
    </row>
    <row r="237" spans="1:14" ht="15.75" thickBot="1" x14ac:dyDescent="0.3">
      <c r="A237" s="44" t="s">
        <v>941</v>
      </c>
      <c r="B237" s="107" t="s">
        <v>942</v>
      </c>
      <c r="C237" s="118" t="s">
        <v>803</v>
      </c>
      <c r="D237" s="119">
        <v>0</v>
      </c>
      <c r="E237" s="119">
        <v>0</v>
      </c>
      <c r="F237" s="119">
        <v>398717</v>
      </c>
      <c r="G237" s="119">
        <v>0</v>
      </c>
      <c r="H237" s="119">
        <v>398717</v>
      </c>
      <c r="I237" s="120">
        <v>15068</v>
      </c>
      <c r="J237" s="119">
        <v>0</v>
      </c>
      <c r="K237" s="119">
        <v>4957</v>
      </c>
      <c r="L237" s="119">
        <v>0</v>
      </c>
      <c r="M237" s="119">
        <v>0</v>
      </c>
      <c r="N237" s="119">
        <v>4957</v>
      </c>
    </row>
    <row r="238" spans="1:14" ht="15.75" thickBot="1" x14ac:dyDescent="0.3">
      <c r="A238" s="44" t="s">
        <v>945</v>
      </c>
      <c r="B238" s="107" t="s">
        <v>946</v>
      </c>
      <c r="C238" s="118" t="s">
        <v>803</v>
      </c>
      <c r="D238" s="119">
        <v>0</v>
      </c>
      <c r="E238" s="119">
        <v>0</v>
      </c>
      <c r="F238" s="119">
        <v>0</v>
      </c>
      <c r="G238" s="119">
        <v>0</v>
      </c>
      <c r="H238" s="119">
        <v>0</v>
      </c>
      <c r="I238" s="120">
        <v>24370</v>
      </c>
      <c r="J238" s="119">
        <v>0</v>
      </c>
      <c r="K238" s="119">
        <v>6650</v>
      </c>
      <c r="L238" s="119">
        <v>0</v>
      </c>
      <c r="M238" s="119">
        <v>0</v>
      </c>
      <c r="N238" s="119">
        <v>6650</v>
      </c>
    </row>
    <row r="239" spans="1:14" ht="15.75" thickBot="1" x14ac:dyDescent="0.3">
      <c r="A239" s="44" t="s">
        <v>949</v>
      </c>
      <c r="B239" s="107" t="s">
        <v>950</v>
      </c>
      <c r="C239" s="118" t="s">
        <v>803</v>
      </c>
      <c r="D239" s="119">
        <v>0</v>
      </c>
      <c r="E239" s="119">
        <v>0</v>
      </c>
      <c r="F239" s="119">
        <v>251913</v>
      </c>
      <c r="G239" s="119">
        <v>0</v>
      </c>
      <c r="H239" s="119">
        <v>251913</v>
      </c>
      <c r="I239" s="120">
        <v>13894</v>
      </c>
      <c r="J239" s="119">
        <v>0</v>
      </c>
      <c r="K239" s="119">
        <v>0</v>
      </c>
      <c r="L239" s="119">
        <v>29765</v>
      </c>
      <c r="M239" s="119">
        <v>0</v>
      </c>
      <c r="N239" s="119">
        <v>29765</v>
      </c>
    </row>
    <row r="240" spans="1:14" ht="15.75" thickBot="1" x14ac:dyDescent="0.3">
      <c r="A240" s="44" t="s">
        <v>951</v>
      </c>
      <c r="B240" s="107" t="s">
        <v>952</v>
      </c>
      <c r="C240" s="118" t="s">
        <v>803</v>
      </c>
      <c r="D240" s="119">
        <v>0</v>
      </c>
      <c r="E240" s="119">
        <v>0</v>
      </c>
      <c r="F240" s="119">
        <v>0</v>
      </c>
      <c r="G240" s="119">
        <v>0</v>
      </c>
      <c r="H240" s="119">
        <v>0</v>
      </c>
      <c r="I240" s="120">
        <v>15010</v>
      </c>
      <c r="J240" s="119">
        <v>8016</v>
      </c>
      <c r="K240" s="119">
        <v>23486</v>
      </c>
      <c r="L240" s="119">
        <v>80178</v>
      </c>
      <c r="M240" s="119">
        <v>0</v>
      </c>
      <c r="N240" s="119">
        <v>111680</v>
      </c>
    </row>
    <row r="241" spans="1:14" ht="15.75" thickBot="1" x14ac:dyDescent="0.3">
      <c r="A241" s="44" t="s">
        <v>965</v>
      </c>
      <c r="B241" s="107" t="s">
        <v>966</v>
      </c>
      <c r="C241" s="118" t="s">
        <v>803</v>
      </c>
      <c r="D241" s="119">
        <v>0</v>
      </c>
      <c r="E241" s="119">
        <v>0</v>
      </c>
      <c r="F241" s="119">
        <v>229607</v>
      </c>
      <c r="G241" s="119">
        <v>1000</v>
      </c>
      <c r="H241" s="119">
        <v>230607</v>
      </c>
      <c r="I241" s="120">
        <v>12982</v>
      </c>
      <c r="J241" s="119">
        <v>3834</v>
      </c>
      <c r="K241" s="119">
        <v>7082</v>
      </c>
      <c r="L241" s="119">
        <v>229607</v>
      </c>
      <c r="M241" s="119">
        <v>0</v>
      </c>
      <c r="N241" s="119">
        <v>240523</v>
      </c>
    </row>
    <row r="242" spans="1:14" ht="15.75" thickBot="1" x14ac:dyDescent="0.3">
      <c r="A242" s="44" t="s">
        <v>975</v>
      </c>
      <c r="B242" s="107" t="s">
        <v>976</v>
      </c>
      <c r="C242" s="118" t="s">
        <v>803</v>
      </c>
      <c r="D242" s="119">
        <v>0</v>
      </c>
      <c r="E242" s="119">
        <v>0</v>
      </c>
      <c r="F242" s="119">
        <v>0</v>
      </c>
      <c r="G242" s="119">
        <v>0</v>
      </c>
      <c r="H242" s="119">
        <v>0</v>
      </c>
      <c r="I242" s="120">
        <v>14854</v>
      </c>
      <c r="J242" s="119">
        <v>20338</v>
      </c>
      <c r="K242" s="119">
        <v>3256</v>
      </c>
      <c r="L242" s="119">
        <v>0</v>
      </c>
      <c r="M242" s="119">
        <v>0</v>
      </c>
      <c r="N242" s="119">
        <v>23594</v>
      </c>
    </row>
    <row r="243" spans="1:14" ht="15.75" thickBot="1" x14ac:dyDescent="0.3">
      <c r="A243" s="44" t="s">
        <v>981</v>
      </c>
      <c r="B243" s="107" t="s">
        <v>982</v>
      </c>
      <c r="C243" s="118" t="s">
        <v>803</v>
      </c>
      <c r="D243" s="119">
        <v>0</v>
      </c>
      <c r="E243" s="119">
        <v>0</v>
      </c>
      <c r="F243" s="119">
        <v>0</v>
      </c>
      <c r="G243" s="119">
        <v>0</v>
      </c>
      <c r="H243" s="119">
        <v>0</v>
      </c>
      <c r="I243" s="120">
        <v>14074</v>
      </c>
      <c r="J243" s="119">
        <v>9659</v>
      </c>
      <c r="K243" s="119">
        <v>0</v>
      </c>
      <c r="L243" s="119">
        <v>14642</v>
      </c>
      <c r="M243" s="119">
        <v>0</v>
      </c>
      <c r="N243" s="119">
        <v>24301</v>
      </c>
    </row>
    <row r="244" spans="1:14" ht="15.75" thickBot="1" x14ac:dyDescent="0.3">
      <c r="A244" s="44" t="s">
        <v>1007</v>
      </c>
      <c r="B244" s="107" t="s">
        <v>1008</v>
      </c>
      <c r="C244" s="118" t="s">
        <v>803</v>
      </c>
      <c r="D244" s="119">
        <v>0</v>
      </c>
      <c r="E244" s="119">
        <v>0</v>
      </c>
      <c r="F244" s="119">
        <v>0</v>
      </c>
      <c r="G244" s="119">
        <v>0</v>
      </c>
      <c r="H244" s="119">
        <v>0</v>
      </c>
      <c r="I244" s="120">
        <v>20542</v>
      </c>
      <c r="J244" s="119">
        <v>1116</v>
      </c>
      <c r="K244" s="119">
        <v>743</v>
      </c>
      <c r="L244" s="119">
        <v>1435</v>
      </c>
      <c r="M244" s="119">
        <v>0</v>
      </c>
      <c r="N244" s="119">
        <v>3294</v>
      </c>
    </row>
    <row r="245" spans="1:14" ht="15.75" thickBot="1" x14ac:dyDescent="0.3">
      <c r="A245" s="44" t="s">
        <v>1009</v>
      </c>
      <c r="B245" s="107" t="s">
        <v>1010</v>
      </c>
      <c r="C245" s="118" t="s">
        <v>803</v>
      </c>
      <c r="D245" s="119">
        <v>0</v>
      </c>
      <c r="E245" s="119">
        <v>0</v>
      </c>
      <c r="F245" s="119">
        <v>0</v>
      </c>
      <c r="G245" s="119">
        <v>0</v>
      </c>
      <c r="H245" s="119">
        <v>0</v>
      </c>
      <c r="I245" s="120">
        <v>19591</v>
      </c>
      <c r="J245" s="119">
        <v>10051</v>
      </c>
      <c r="K245" s="119">
        <v>12488</v>
      </c>
      <c r="L245" s="119">
        <v>11157</v>
      </c>
      <c r="M245" s="119">
        <v>0</v>
      </c>
      <c r="N245" s="119">
        <v>33696</v>
      </c>
    </row>
    <row r="246" spans="1:14" ht="15.75" thickBot="1" x14ac:dyDescent="0.3">
      <c r="A246" s="44" t="s">
        <v>1017</v>
      </c>
      <c r="B246" s="107" t="s">
        <v>1018</v>
      </c>
      <c r="C246" s="118" t="s">
        <v>803</v>
      </c>
      <c r="D246" s="119">
        <v>0</v>
      </c>
      <c r="E246" s="119">
        <v>0</v>
      </c>
      <c r="F246" s="119">
        <v>534615</v>
      </c>
      <c r="G246" s="119">
        <v>0</v>
      </c>
      <c r="H246" s="119">
        <v>534615</v>
      </c>
      <c r="I246" s="120">
        <v>13306</v>
      </c>
      <c r="J246" s="121">
        <v>0</v>
      </c>
      <c r="K246" s="119">
        <v>9176</v>
      </c>
      <c r="L246" s="119">
        <v>0</v>
      </c>
      <c r="M246" s="119">
        <v>0</v>
      </c>
      <c r="N246" s="119">
        <v>9176</v>
      </c>
    </row>
    <row r="247" spans="1:14" ht="15.75" thickBot="1" x14ac:dyDescent="0.3">
      <c r="A247" s="44" t="s">
        <v>1027</v>
      </c>
      <c r="B247" s="107" t="s">
        <v>1028</v>
      </c>
      <c r="C247" s="118" t="s">
        <v>803</v>
      </c>
      <c r="D247" s="119">
        <v>0</v>
      </c>
      <c r="E247" s="119">
        <v>0</v>
      </c>
      <c r="F247" s="119">
        <v>0</v>
      </c>
      <c r="G247" s="119">
        <v>0</v>
      </c>
      <c r="H247" s="119">
        <v>0</v>
      </c>
      <c r="I247" s="120">
        <v>12670</v>
      </c>
      <c r="J247" s="119">
        <v>0</v>
      </c>
      <c r="K247" s="119">
        <v>1</v>
      </c>
      <c r="L247" s="119">
        <v>1</v>
      </c>
      <c r="M247" s="119">
        <v>0</v>
      </c>
      <c r="N247" s="119">
        <v>2</v>
      </c>
    </row>
    <row r="248" spans="1:14" ht="15.75" thickBot="1" x14ac:dyDescent="0.3">
      <c r="A248" s="44" t="s">
        <v>1043</v>
      </c>
      <c r="B248" s="107" t="s">
        <v>1044</v>
      </c>
      <c r="C248" s="118" t="s">
        <v>803</v>
      </c>
      <c r="D248" s="119">
        <v>0</v>
      </c>
      <c r="E248" s="119">
        <v>0</v>
      </c>
      <c r="F248" s="119">
        <v>0</v>
      </c>
      <c r="G248" s="119">
        <v>0</v>
      </c>
      <c r="H248" s="119">
        <v>0</v>
      </c>
      <c r="I248" s="120">
        <v>25830</v>
      </c>
      <c r="J248" s="119">
        <v>0</v>
      </c>
      <c r="K248" s="119">
        <v>0</v>
      </c>
      <c r="L248" s="119">
        <v>0</v>
      </c>
      <c r="M248" s="119">
        <v>0</v>
      </c>
      <c r="N248" s="119">
        <v>0</v>
      </c>
    </row>
    <row r="249" spans="1:14" ht="15.75" thickBot="1" x14ac:dyDescent="0.3">
      <c r="A249" s="44" t="s">
        <v>1053</v>
      </c>
      <c r="B249" s="107" t="s">
        <v>1054</v>
      </c>
      <c r="C249" s="118" t="s">
        <v>803</v>
      </c>
      <c r="D249" s="119">
        <v>0</v>
      </c>
      <c r="E249" s="119">
        <v>0</v>
      </c>
      <c r="F249" s="119">
        <v>0</v>
      </c>
      <c r="G249" s="119">
        <v>0</v>
      </c>
      <c r="H249" s="119">
        <v>0</v>
      </c>
      <c r="I249" s="120">
        <v>14230</v>
      </c>
      <c r="J249" s="119">
        <v>12389</v>
      </c>
      <c r="K249" s="119">
        <v>0</v>
      </c>
      <c r="L249" s="119">
        <v>9114</v>
      </c>
      <c r="M249" s="119">
        <v>0</v>
      </c>
      <c r="N249" s="119">
        <v>21503</v>
      </c>
    </row>
    <row r="250" spans="1:14" ht="15.75" thickBot="1" x14ac:dyDescent="0.3">
      <c r="A250" s="44" t="s">
        <v>1055</v>
      </c>
      <c r="B250" s="107" t="s">
        <v>1056</v>
      </c>
      <c r="C250" s="118" t="s">
        <v>803</v>
      </c>
      <c r="D250" s="119">
        <v>0</v>
      </c>
      <c r="E250" s="119">
        <v>0</v>
      </c>
      <c r="F250" s="119">
        <v>0</v>
      </c>
      <c r="G250" s="119">
        <v>0</v>
      </c>
      <c r="H250" s="119">
        <v>0</v>
      </c>
      <c r="I250" s="120">
        <v>19900</v>
      </c>
      <c r="J250" s="119">
        <v>61285</v>
      </c>
      <c r="K250" s="119">
        <v>61625</v>
      </c>
      <c r="L250" s="119">
        <v>489856</v>
      </c>
      <c r="M250" s="119">
        <v>367206</v>
      </c>
      <c r="N250" s="119">
        <v>979972</v>
      </c>
    </row>
    <row r="251" spans="1:14" ht="15.75" thickBot="1" x14ac:dyDescent="0.3">
      <c r="A251" s="44" t="s">
        <v>1059</v>
      </c>
      <c r="B251" s="107" t="s">
        <v>1060</v>
      </c>
      <c r="C251" s="118" t="s">
        <v>803</v>
      </c>
      <c r="D251" s="119">
        <v>0</v>
      </c>
      <c r="E251" s="119">
        <v>0</v>
      </c>
      <c r="F251" s="119">
        <v>0</v>
      </c>
      <c r="G251" s="119">
        <v>0</v>
      </c>
      <c r="H251" s="119">
        <v>0</v>
      </c>
      <c r="I251" s="120">
        <v>17626</v>
      </c>
      <c r="J251" s="119">
        <v>0</v>
      </c>
      <c r="K251" s="119">
        <v>0</v>
      </c>
      <c r="L251" s="119">
        <v>0</v>
      </c>
      <c r="M251" s="119">
        <v>0</v>
      </c>
      <c r="N251" s="119">
        <v>0</v>
      </c>
    </row>
    <row r="252" spans="1:14" ht="15.75" thickBot="1" x14ac:dyDescent="0.3">
      <c r="A252" s="44" t="s">
        <v>1061</v>
      </c>
      <c r="B252" s="107" t="s">
        <v>1062</v>
      </c>
      <c r="C252" s="118" t="s">
        <v>803</v>
      </c>
      <c r="D252" s="119">
        <v>0</v>
      </c>
      <c r="E252" s="119">
        <v>0</v>
      </c>
      <c r="F252" s="119">
        <v>0</v>
      </c>
      <c r="G252" s="119">
        <v>0</v>
      </c>
      <c r="H252" s="119">
        <v>0</v>
      </c>
      <c r="I252" s="120">
        <v>17823</v>
      </c>
      <c r="J252" s="119">
        <v>0</v>
      </c>
      <c r="K252" s="119">
        <v>251</v>
      </c>
      <c r="L252" s="119">
        <v>59000</v>
      </c>
      <c r="M252" s="119">
        <v>0</v>
      </c>
      <c r="N252" s="119">
        <v>59251</v>
      </c>
    </row>
    <row r="253" spans="1:14" ht="15.75" thickBot="1" x14ac:dyDescent="0.3">
      <c r="A253" s="44" t="s">
        <v>1067</v>
      </c>
      <c r="B253" s="107" t="s">
        <v>1068</v>
      </c>
      <c r="C253" s="118" t="s">
        <v>803</v>
      </c>
      <c r="D253" s="119">
        <v>0</v>
      </c>
      <c r="E253" s="119">
        <v>0</v>
      </c>
      <c r="F253" s="119">
        <v>195427</v>
      </c>
      <c r="G253" s="119">
        <v>0</v>
      </c>
      <c r="H253" s="119">
        <v>195427</v>
      </c>
      <c r="I253" s="120">
        <v>17068</v>
      </c>
      <c r="J253" s="119">
        <v>2500</v>
      </c>
      <c r="K253" s="119">
        <v>10061</v>
      </c>
      <c r="L253" s="119">
        <v>147863</v>
      </c>
      <c r="M253" s="119">
        <v>0</v>
      </c>
      <c r="N253" s="119">
        <v>160424</v>
      </c>
    </row>
    <row r="254" spans="1:14" ht="15.75" thickBot="1" x14ac:dyDescent="0.3">
      <c r="A254" s="44" t="s">
        <v>1073</v>
      </c>
      <c r="B254" s="107" t="s">
        <v>1074</v>
      </c>
      <c r="C254" s="118" t="s">
        <v>803</v>
      </c>
      <c r="D254" s="119">
        <v>0</v>
      </c>
      <c r="E254" s="119">
        <v>0</v>
      </c>
      <c r="F254" s="119">
        <v>0</v>
      </c>
      <c r="G254" s="119">
        <v>0</v>
      </c>
      <c r="H254" s="119">
        <v>0</v>
      </c>
      <c r="I254" s="120">
        <v>14480</v>
      </c>
      <c r="J254" s="119">
        <v>3890</v>
      </c>
      <c r="K254" s="119">
        <v>8714</v>
      </c>
      <c r="L254" s="119">
        <v>0</v>
      </c>
      <c r="M254" s="119">
        <v>0</v>
      </c>
      <c r="N254" s="119">
        <v>12604</v>
      </c>
    </row>
    <row r="255" spans="1:14" ht="15.75" thickBot="1" x14ac:dyDescent="0.3">
      <c r="A255" s="44" t="s">
        <v>1077</v>
      </c>
      <c r="B255" s="107" t="s">
        <v>1078</v>
      </c>
      <c r="C255" s="118" t="s">
        <v>803</v>
      </c>
      <c r="D255" s="119">
        <v>0</v>
      </c>
      <c r="E255" s="119">
        <v>0</v>
      </c>
      <c r="F255" s="119">
        <v>0</v>
      </c>
      <c r="G255" s="119">
        <v>21370</v>
      </c>
      <c r="H255" s="119">
        <v>21370</v>
      </c>
      <c r="I255" s="120">
        <v>13326</v>
      </c>
      <c r="J255" s="119">
        <v>18711</v>
      </c>
      <c r="K255" s="119">
        <v>7078</v>
      </c>
      <c r="L255" s="119">
        <v>19757</v>
      </c>
      <c r="M255" s="119">
        <v>0</v>
      </c>
      <c r="N255" s="119">
        <v>45546</v>
      </c>
    </row>
    <row r="256" spans="1:14" ht="15.75" thickBot="1" x14ac:dyDescent="0.3">
      <c r="A256" s="44" t="s">
        <v>1079</v>
      </c>
      <c r="B256" s="107" t="s">
        <v>1080</v>
      </c>
      <c r="C256" s="118" t="s">
        <v>803</v>
      </c>
      <c r="D256" s="119">
        <v>0</v>
      </c>
      <c r="E256" s="119">
        <v>0</v>
      </c>
      <c r="F256" s="119">
        <v>0</v>
      </c>
      <c r="G256" s="119">
        <v>0</v>
      </c>
      <c r="H256" s="119">
        <v>0</v>
      </c>
      <c r="I256" s="120">
        <v>13598</v>
      </c>
      <c r="J256" s="119">
        <v>853</v>
      </c>
      <c r="K256" s="119">
        <v>0</v>
      </c>
      <c r="L256" s="119">
        <v>0</v>
      </c>
      <c r="M256" s="119">
        <v>0</v>
      </c>
      <c r="N256" s="119">
        <v>853</v>
      </c>
    </row>
    <row r="257" spans="1:14" ht="15.75" thickBot="1" x14ac:dyDescent="0.3">
      <c r="A257" s="44" t="s">
        <v>1097</v>
      </c>
      <c r="B257" s="107" t="s">
        <v>1098</v>
      </c>
      <c r="C257" s="118" t="s">
        <v>803</v>
      </c>
      <c r="D257" s="119">
        <v>0</v>
      </c>
      <c r="E257" s="119">
        <v>0</v>
      </c>
      <c r="F257" s="119">
        <v>0</v>
      </c>
      <c r="G257" s="119">
        <v>0</v>
      </c>
      <c r="H257" s="119">
        <v>0</v>
      </c>
      <c r="I257" s="120">
        <v>25692</v>
      </c>
      <c r="J257" s="121">
        <v>0</v>
      </c>
      <c r="K257" s="121">
        <v>0</v>
      </c>
      <c r="L257" s="121">
        <v>0</v>
      </c>
      <c r="M257" s="121">
        <v>0</v>
      </c>
      <c r="N257" s="121">
        <v>0</v>
      </c>
    </row>
    <row r="258" spans="1:14" ht="15.75" thickBot="1" x14ac:dyDescent="0.3">
      <c r="A258" s="44" t="s">
        <v>1105</v>
      </c>
      <c r="B258" s="107" t="s">
        <v>1106</v>
      </c>
      <c r="C258" s="118" t="s">
        <v>803</v>
      </c>
      <c r="D258" s="119">
        <v>0</v>
      </c>
      <c r="E258" s="119">
        <v>0</v>
      </c>
      <c r="F258" s="119">
        <v>22117</v>
      </c>
      <c r="G258" s="119">
        <v>0</v>
      </c>
      <c r="H258" s="119">
        <v>22117</v>
      </c>
      <c r="I258" s="120">
        <v>15959</v>
      </c>
      <c r="J258" s="119">
        <v>0</v>
      </c>
      <c r="K258" s="119">
        <v>13685</v>
      </c>
      <c r="L258" s="119">
        <v>8432</v>
      </c>
      <c r="M258" s="119">
        <v>0</v>
      </c>
      <c r="N258" s="119">
        <v>22117</v>
      </c>
    </row>
    <row r="259" spans="1:14" ht="15.75" thickBot="1" x14ac:dyDescent="0.3">
      <c r="A259" s="44" t="s">
        <v>1115</v>
      </c>
      <c r="B259" s="107" t="s">
        <v>1116</v>
      </c>
      <c r="C259" s="118" t="s">
        <v>803</v>
      </c>
      <c r="D259" s="119">
        <v>0</v>
      </c>
      <c r="E259" s="119">
        <v>0</v>
      </c>
      <c r="F259" s="119">
        <v>0</v>
      </c>
      <c r="G259" s="119">
        <v>0</v>
      </c>
      <c r="H259" s="119">
        <v>0</v>
      </c>
      <c r="I259" s="120">
        <v>21165</v>
      </c>
      <c r="J259" s="119">
        <v>26434</v>
      </c>
      <c r="K259" s="119">
        <v>3197</v>
      </c>
      <c r="L259" s="119">
        <v>108820</v>
      </c>
      <c r="M259" s="119">
        <v>0</v>
      </c>
      <c r="N259" s="119">
        <v>138451</v>
      </c>
    </row>
    <row r="260" spans="1:14" ht="15.75" thickBot="1" x14ac:dyDescent="0.3">
      <c r="A260" s="44" t="s">
        <v>1117</v>
      </c>
      <c r="B260" s="107" t="s">
        <v>1118</v>
      </c>
      <c r="C260" s="118" t="s">
        <v>803</v>
      </c>
      <c r="D260" s="119">
        <v>0</v>
      </c>
      <c r="E260" s="119">
        <v>0</v>
      </c>
      <c r="F260" s="119">
        <v>0</v>
      </c>
      <c r="G260" s="119">
        <v>0</v>
      </c>
      <c r="H260" s="119">
        <v>0</v>
      </c>
      <c r="I260" s="120">
        <v>22423</v>
      </c>
      <c r="J260" s="119">
        <v>0</v>
      </c>
      <c r="K260" s="119">
        <v>0</v>
      </c>
      <c r="L260" s="119">
        <v>0</v>
      </c>
      <c r="M260" s="119">
        <v>0</v>
      </c>
      <c r="N260" s="119">
        <v>0</v>
      </c>
    </row>
    <row r="261" spans="1:14" ht="15.75" thickBot="1" x14ac:dyDescent="0.3">
      <c r="A261" s="44" t="s">
        <v>1121</v>
      </c>
      <c r="B261" s="107" t="s">
        <v>1122</v>
      </c>
      <c r="C261" s="118" t="s">
        <v>803</v>
      </c>
      <c r="D261" s="119">
        <v>0</v>
      </c>
      <c r="E261" s="119">
        <v>0</v>
      </c>
      <c r="F261" s="119">
        <v>0</v>
      </c>
      <c r="G261" s="119">
        <v>0</v>
      </c>
      <c r="H261" s="119">
        <v>0</v>
      </c>
      <c r="I261" s="120">
        <v>14236</v>
      </c>
      <c r="J261" s="119">
        <v>0</v>
      </c>
      <c r="K261" s="119">
        <v>0</v>
      </c>
      <c r="L261" s="119">
        <v>0</v>
      </c>
      <c r="M261" s="119">
        <v>0</v>
      </c>
      <c r="N261" s="119">
        <v>0</v>
      </c>
    </row>
    <row r="262" spans="1:14" ht="15.75" thickBot="1" x14ac:dyDescent="0.3">
      <c r="A262" s="44" t="s">
        <v>1123</v>
      </c>
      <c r="B262" s="107" t="s">
        <v>1124</v>
      </c>
      <c r="C262" s="118" t="s">
        <v>803</v>
      </c>
      <c r="D262" s="119">
        <v>0</v>
      </c>
      <c r="E262" s="119">
        <v>0</v>
      </c>
      <c r="F262" s="119">
        <v>0</v>
      </c>
      <c r="G262" s="119">
        <v>0</v>
      </c>
      <c r="H262" s="119">
        <v>0</v>
      </c>
      <c r="I262" s="120">
        <v>12920</v>
      </c>
      <c r="J262" s="119">
        <v>0</v>
      </c>
      <c r="K262" s="119">
        <v>0</v>
      </c>
      <c r="L262" s="119">
        <v>0</v>
      </c>
      <c r="M262" s="119">
        <v>0</v>
      </c>
      <c r="N262" s="119">
        <v>0</v>
      </c>
    </row>
    <row r="263" spans="1:14" ht="15.75" thickBot="1" x14ac:dyDescent="0.3">
      <c r="A263" s="44" t="s">
        <v>1125</v>
      </c>
      <c r="B263" s="107" t="s">
        <v>1126</v>
      </c>
      <c r="C263" s="118" t="s">
        <v>803</v>
      </c>
      <c r="D263" s="119">
        <v>0</v>
      </c>
      <c r="E263" s="119">
        <v>0</v>
      </c>
      <c r="F263" s="119">
        <v>0</v>
      </c>
      <c r="G263" s="119">
        <v>0</v>
      </c>
      <c r="H263" s="119">
        <v>0</v>
      </c>
      <c r="I263" s="120">
        <v>24587</v>
      </c>
      <c r="J263" s="119">
        <v>0</v>
      </c>
      <c r="K263" s="119">
        <v>7000</v>
      </c>
      <c r="L263" s="119">
        <v>0</v>
      </c>
      <c r="M263" s="119">
        <v>0</v>
      </c>
      <c r="N263" s="119">
        <v>7000</v>
      </c>
    </row>
    <row r="264" spans="1:14" ht="15.75" thickBot="1" x14ac:dyDescent="0.3">
      <c r="A264" s="44" t="s">
        <v>1131</v>
      </c>
      <c r="B264" s="107" t="s">
        <v>1132</v>
      </c>
      <c r="C264" s="118" t="s">
        <v>803</v>
      </c>
      <c r="D264" s="119">
        <v>0</v>
      </c>
      <c r="E264" s="119">
        <v>0</v>
      </c>
      <c r="F264" s="119">
        <v>0</v>
      </c>
      <c r="G264" s="119">
        <v>0</v>
      </c>
      <c r="H264" s="119">
        <v>0</v>
      </c>
      <c r="I264" s="120">
        <v>13233</v>
      </c>
      <c r="J264" s="119">
        <v>0</v>
      </c>
      <c r="K264" s="119">
        <v>0</v>
      </c>
      <c r="L264" s="119">
        <v>0</v>
      </c>
      <c r="M264" s="119">
        <v>0</v>
      </c>
      <c r="N264" s="119">
        <v>0</v>
      </c>
    </row>
    <row r="265" spans="1:14" ht="15.75" thickBot="1" x14ac:dyDescent="0.3">
      <c r="A265" s="44" t="s">
        <v>1133</v>
      </c>
      <c r="B265" s="107" t="s">
        <v>1134</v>
      </c>
      <c r="C265" s="118" t="s">
        <v>803</v>
      </c>
      <c r="D265" s="119">
        <v>0</v>
      </c>
      <c r="E265" s="119">
        <v>0</v>
      </c>
      <c r="F265" s="119">
        <v>0</v>
      </c>
      <c r="G265" s="119">
        <v>0</v>
      </c>
      <c r="H265" s="119">
        <v>0</v>
      </c>
      <c r="I265" s="120">
        <v>16422</v>
      </c>
      <c r="J265" s="119">
        <v>6869</v>
      </c>
      <c r="K265" s="119">
        <v>0</v>
      </c>
      <c r="L265" s="119">
        <v>0</v>
      </c>
      <c r="M265" s="119">
        <v>0</v>
      </c>
      <c r="N265" s="119">
        <v>6869</v>
      </c>
    </row>
    <row r="266" spans="1:14" ht="15.75" thickBot="1" x14ac:dyDescent="0.3">
      <c r="A266" s="44" t="s">
        <v>1141</v>
      </c>
      <c r="B266" s="107" t="s">
        <v>1142</v>
      </c>
      <c r="C266" s="118" t="s">
        <v>803</v>
      </c>
      <c r="D266" s="119">
        <v>0</v>
      </c>
      <c r="E266" s="119">
        <v>0</v>
      </c>
      <c r="F266" s="119">
        <v>0</v>
      </c>
      <c r="G266" s="119">
        <v>0</v>
      </c>
      <c r="H266" s="119">
        <v>0</v>
      </c>
      <c r="I266" s="120">
        <v>19202</v>
      </c>
      <c r="J266" s="121">
        <v>0</v>
      </c>
      <c r="K266" s="119">
        <v>9682</v>
      </c>
      <c r="L266" s="119">
        <v>41643</v>
      </c>
      <c r="M266" s="121">
        <v>0</v>
      </c>
      <c r="N266" s="119">
        <v>51325</v>
      </c>
    </row>
    <row r="267" spans="1:14" ht="15.75" thickBot="1" x14ac:dyDescent="0.3">
      <c r="A267" s="44" t="s">
        <v>1145</v>
      </c>
      <c r="B267" s="107" t="s">
        <v>1146</v>
      </c>
      <c r="C267" s="118" t="s">
        <v>803</v>
      </c>
      <c r="D267" s="119">
        <v>0</v>
      </c>
      <c r="E267" s="119">
        <v>0</v>
      </c>
      <c r="F267" s="119">
        <v>0</v>
      </c>
      <c r="G267" s="119">
        <v>0</v>
      </c>
      <c r="H267" s="119">
        <v>0</v>
      </c>
      <c r="I267" s="120">
        <v>23088</v>
      </c>
      <c r="J267" s="119">
        <v>10961</v>
      </c>
      <c r="K267" s="119">
        <v>1000</v>
      </c>
      <c r="L267" s="119">
        <v>0</v>
      </c>
      <c r="M267" s="119">
        <v>0</v>
      </c>
      <c r="N267" s="119">
        <v>11961</v>
      </c>
    </row>
    <row r="268" spans="1:14" ht="15.75" thickBot="1" x14ac:dyDescent="0.3">
      <c r="A268" s="44" t="s">
        <v>1153</v>
      </c>
      <c r="B268" s="107" t="s">
        <v>1154</v>
      </c>
      <c r="C268" s="118" t="s">
        <v>803</v>
      </c>
      <c r="D268" s="119">
        <v>0</v>
      </c>
      <c r="E268" s="119">
        <v>0</v>
      </c>
      <c r="F268" s="119">
        <v>0</v>
      </c>
      <c r="G268" s="119">
        <v>0</v>
      </c>
      <c r="H268" s="119">
        <v>0</v>
      </c>
      <c r="I268" s="120">
        <v>15322</v>
      </c>
      <c r="J268" s="119">
        <v>0</v>
      </c>
      <c r="K268" s="119">
        <v>18787</v>
      </c>
      <c r="L268" s="119">
        <v>52650</v>
      </c>
      <c r="M268" s="121">
        <v>0</v>
      </c>
      <c r="N268" s="119">
        <v>71437</v>
      </c>
    </row>
    <row r="269" spans="1:14" ht="15.75" thickBot="1" x14ac:dyDescent="0.3">
      <c r="A269" s="44" t="s">
        <v>1155</v>
      </c>
      <c r="B269" s="107" t="s">
        <v>1156</v>
      </c>
      <c r="C269" s="118" t="s">
        <v>803</v>
      </c>
      <c r="D269" s="119">
        <v>0</v>
      </c>
      <c r="E269" s="119">
        <v>0</v>
      </c>
      <c r="F269" s="119">
        <v>0</v>
      </c>
      <c r="G269" s="119">
        <v>6143</v>
      </c>
      <c r="H269" s="119">
        <v>6143</v>
      </c>
      <c r="I269" s="120">
        <v>22115</v>
      </c>
      <c r="J269" s="119">
        <v>0</v>
      </c>
      <c r="K269" s="119">
        <v>0</v>
      </c>
      <c r="L269" s="119">
        <v>0</v>
      </c>
      <c r="M269" s="119">
        <v>0</v>
      </c>
      <c r="N269" s="119">
        <v>0</v>
      </c>
    </row>
    <row r="270" spans="1:14" ht="15.75" thickBot="1" x14ac:dyDescent="0.3">
      <c r="A270" s="44" t="s">
        <v>1169</v>
      </c>
      <c r="B270" s="107" t="s">
        <v>1170</v>
      </c>
      <c r="C270" s="118" t="s">
        <v>803</v>
      </c>
      <c r="D270" s="119">
        <v>0</v>
      </c>
      <c r="E270" s="119">
        <v>0</v>
      </c>
      <c r="F270" s="119">
        <v>0</v>
      </c>
      <c r="G270" s="119">
        <v>0</v>
      </c>
      <c r="H270" s="119">
        <v>0</v>
      </c>
      <c r="I270" s="120">
        <v>21871</v>
      </c>
      <c r="J270" s="119">
        <v>19203</v>
      </c>
      <c r="K270" s="119">
        <v>6000</v>
      </c>
      <c r="L270" s="119">
        <v>0</v>
      </c>
      <c r="M270" s="119">
        <v>0</v>
      </c>
      <c r="N270" s="119">
        <v>25203</v>
      </c>
    </row>
    <row r="271" spans="1:14" ht="15.75" thickBot="1" x14ac:dyDescent="0.3">
      <c r="A271" s="44" t="s">
        <v>1175</v>
      </c>
      <c r="B271" s="107" t="s">
        <v>1176</v>
      </c>
      <c r="C271" s="118" t="s">
        <v>803</v>
      </c>
      <c r="D271" s="119">
        <v>0</v>
      </c>
      <c r="E271" s="119">
        <v>0</v>
      </c>
      <c r="F271" s="119">
        <v>0</v>
      </c>
      <c r="G271" s="119">
        <v>6128</v>
      </c>
      <c r="H271" s="119">
        <v>6128</v>
      </c>
      <c r="I271" s="120">
        <v>13600</v>
      </c>
      <c r="J271" s="119">
        <v>0</v>
      </c>
      <c r="K271" s="119">
        <v>1000</v>
      </c>
      <c r="L271" s="119">
        <v>11304</v>
      </c>
      <c r="M271" s="119">
        <v>0</v>
      </c>
      <c r="N271" s="119">
        <v>12304</v>
      </c>
    </row>
    <row r="272" spans="1:14" ht="15.75" thickBot="1" x14ac:dyDescent="0.3">
      <c r="A272" s="44" t="s">
        <v>1189</v>
      </c>
      <c r="B272" s="107" t="s">
        <v>1190</v>
      </c>
      <c r="C272" s="118" t="s">
        <v>803</v>
      </c>
      <c r="D272" s="119">
        <v>0</v>
      </c>
      <c r="E272" s="119">
        <v>0</v>
      </c>
      <c r="F272" s="119">
        <v>0</v>
      </c>
      <c r="G272" s="119">
        <v>0</v>
      </c>
      <c r="H272" s="119">
        <v>0</v>
      </c>
      <c r="I272" s="120">
        <v>17153</v>
      </c>
      <c r="J272" s="119">
        <v>0</v>
      </c>
      <c r="K272" s="119">
        <v>3241</v>
      </c>
      <c r="L272" s="119">
        <v>0</v>
      </c>
      <c r="M272" s="119">
        <v>7868</v>
      </c>
      <c r="N272" s="119">
        <v>11109</v>
      </c>
    </row>
    <row r="273" spans="1:14" ht="15.75" thickBot="1" x14ac:dyDescent="0.3">
      <c r="A273" s="44" t="s">
        <v>1207</v>
      </c>
      <c r="B273" s="107" t="s">
        <v>1208</v>
      </c>
      <c r="C273" s="118" t="s">
        <v>803</v>
      </c>
      <c r="D273" s="119">
        <v>0</v>
      </c>
      <c r="E273" s="119">
        <v>0</v>
      </c>
      <c r="F273" s="119">
        <v>0</v>
      </c>
      <c r="G273" s="119">
        <v>0</v>
      </c>
      <c r="H273" s="119">
        <v>0</v>
      </c>
      <c r="I273" s="120">
        <v>25369</v>
      </c>
      <c r="J273" s="121">
        <v>0</v>
      </c>
      <c r="K273" s="121">
        <v>0</v>
      </c>
      <c r="L273" s="119">
        <v>151414</v>
      </c>
      <c r="M273" s="121">
        <v>0</v>
      </c>
      <c r="N273" s="119">
        <v>151414</v>
      </c>
    </row>
    <row r="274" spans="1:14" ht="15.75" thickBot="1" x14ac:dyDescent="0.3">
      <c r="A274" s="44" t="s">
        <v>1223</v>
      </c>
      <c r="B274" s="107" t="s">
        <v>1224</v>
      </c>
      <c r="C274" s="118" t="s">
        <v>803</v>
      </c>
      <c r="D274" s="119">
        <v>0</v>
      </c>
      <c r="E274" s="119">
        <v>0</v>
      </c>
      <c r="F274" s="119">
        <v>0</v>
      </c>
      <c r="G274" s="119">
        <v>0</v>
      </c>
      <c r="H274" s="119">
        <v>0</v>
      </c>
      <c r="I274" s="120">
        <v>22258</v>
      </c>
      <c r="J274" s="119">
        <v>21591</v>
      </c>
      <c r="K274" s="119">
        <v>22823</v>
      </c>
      <c r="L274" s="119">
        <v>49764</v>
      </c>
      <c r="M274" s="119">
        <v>13340</v>
      </c>
      <c r="N274" s="119">
        <v>107518</v>
      </c>
    </row>
    <row r="275" spans="1:14" ht="15.75" thickBot="1" x14ac:dyDescent="0.3">
      <c r="A275" s="44" t="s">
        <v>1235</v>
      </c>
      <c r="B275" s="107" t="s">
        <v>1236</v>
      </c>
      <c r="C275" s="118" t="s">
        <v>803</v>
      </c>
      <c r="D275" s="119">
        <v>0</v>
      </c>
      <c r="E275" s="119">
        <v>0</v>
      </c>
      <c r="F275" s="119">
        <v>0</v>
      </c>
      <c r="G275" s="119">
        <v>0</v>
      </c>
      <c r="H275" s="119">
        <v>0</v>
      </c>
      <c r="I275" s="120">
        <v>14545</v>
      </c>
      <c r="J275" s="119">
        <v>0</v>
      </c>
      <c r="K275" s="119">
        <v>0</v>
      </c>
      <c r="L275" s="119">
        <v>0</v>
      </c>
      <c r="M275" s="119">
        <v>0</v>
      </c>
      <c r="N275" s="119">
        <v>0</v>
      </c>
    </row>
    <row r="276" spans="1:14" ht="15.75" thickBot="1" x14ac:dyDescent="0.3">
      <c r="A276" s="44" t="s">
        <v>1241</v>
      </c>
      <c r="B276" s="107" t="s">
        <v>1242</v>
      </c>
      <c r="C276" s="118" t="s">
        <v>803</v>
      </c>
      <c r="D276" s="119">
        <v>0</v>
      </c>
      <c r="E276" s="119">
        <v>0</v>
      </c>
      <c r="F276" s="119">
        <v>0</v>
      </c>
      <c r="G276" s="119">
        <v>0</v>
      </c>
      <c r="H276" s="119">
        <v>0</v>
      </c>
      <c r="I276" s="120">
        <v>13452</v>
      </c>
      <c r="J276" s="119">
        <v>30473</v>
      </c>
      <c r="K276" s="119">
        <v>7213</v>
      </c>
      <c r="L276" s="119">
        <v>11230</v>
      </c>
      <c r="M276" s="119">
        <v>0</v>
      </c>
      <c r="N276" s="119">
        <v>48916</v>
      </c>
    </row>
    <row r="277" spans="1:14" ht="15.75" thickBot="1" x14ac:dyDescent="0.3">
      <c r="A277" s="44" t="s">
        <v>1255</v>
      </c>
      <c r="B277" s="107" t="s">
        <v>1256</v>
      </c>
      <c r="C277" s="118" t="s">
        <v>803</v>
      </c>
      <c r="D277" s="119">
        <v>0</v>
      </c>
      <c r="E277" s="119">
        <v>0</v>
      </c>
      <c r="F277" s="119">
        <v>0</v>
      </c>
      <c r="G277" s="119">
        <v>51843</v>
      </c>
      <c r="H277" s="119">
        <v>51843</v>
      </c>
      <c r="I277" s="120">
        <v>22995</v>
      </c>
      <c r="J277" s="119">
        <v>18374</v>
      </c>
      <c r="K277" s="119">
        <v>59868</v>
      </c>
      <c r="L277" s="119">
        <v>0</v>
      </c>
      <c r="M277" s="119">
        <v>0</v>
      </c>
      <c r="N277" s="119">
        <v>78242</v>
      </c>
    </row>
    <row r="278" spans="1:14" ht="15.75" thickBot="1" x14ac:dyDescent="0.3">
      <c r="A278" s="44" t="s">
        <v>1265</v>
      </c>
      <c r="B278" s="107" t="s">
        <v>1266</v>
      </c>
      <c r="C278" s="118" t="s">
        <v>803</v>
      </c>
      <c r="D278" s="119">
        <v>0</v>
      </c>
      <c r="E278" s="119">
        <v>0</v>
      </c>
      <c r="F278" s="119">
        <v>0</v>
      </c>
      <c r="G278" s="119">
        <v>0</v>
      </c>
      <c r="H278" s="119">
        <v>0</v>
      </c>
      <c r="I278" s="120">
        <v>14948</v>
      </c>
      <c r="J278" s="119">
        <v>0</v>
      </c>
      <c r="K278" s="119">
        <v>3870</v>
      </c>
      <c r="L278" s="119">
        <v>0</v>
      </c>
      <c r="M278" s="119">
        <v>0</v>
      </c>
      <c r="N278" s="119">
        <v>3870</v>
      </c>
    </row>
    <row r="279" spans="1:14" ht="15.75" thickBot="1" x14ac:dyDescent="0.3">
      <c r="A279" s="44" t="s">
        <v>1269</v>
      </c>
      <c r="B279" s="107" t="s">
        <v>1270</v>
      </c>
      <c r="C279" s="118" t="s">
        <v>803</v>
      </c>
      <c r="D279" s="119">
        <v>0</v>
      </c>
      <c r="E279" s="119">
        <v>0</v>
      </c>
      <c r="F279" s="119">
        <v>0</v>
      </c>
      <c r="G279" s="119">
        <v>265100</v>
      </c>
      <c r="H279" s="119">
        <v>265100</v>
      </c>
      <c r="I279" s="120">
        <v>18393</v>
      </c>
      <c r="J279" s="119">
        <v>0</v>
      </c>
      <c r="K279" s="119">
        <v>0</v>
      </c>
      <c r="L279" s="119">
        <v>20571</v>
      </c>
      <c r="M279" s="119">
        <v>9000</v>
      </c>
      <c r="N279" s="119">
        <v>29571</v>
      </c>
    </row>
    <row r="280" spans="1:14" ht="15.75" thickBot="1" x14ac:dyDescent="0.3">
      <c r="A280" s="44" t="s">
        <v>1281</v>
      </c>
      <c r="B280" s="107" t="s">
        <v>1282</v>
      </c>
      <c r="C280" s="118" t="s">
        <v>803</v>
      </c>
      <c r="D280" s="119">
        <v>0</v>
      </c>
      <c r="E280" s="119">
        <v>0</v>
      </c>
      <c r="F280" s="119">
        <v>4975</v>
      </c>
      <c r="G280" s="119">
        <v>850</v>
      </c>
      <c r="H280" s="119">
        <v>5825</v>
      </c>
      <c r="I280" s="120">
        <v>14384</v>
      </c>
      <c r="J280" s="119">
        <v>0</v>
      </c>
      <c r="K280" s="119">
        <v>3788</v>
      </c>
      <c r="L280" s="119">
        <v>4995</v>
      </c>
      <c r="M280" s="119">
        <v>0</v>
      </c>
      <c r="N280" s="119">
        <v>8783</v>
      </c>
    </row>
    <row r="281" spans="1:14" ht="15.75" thickBot="1" x14ac:dyDescent="0.3">
      <c r="A281" s="44" t="s">
        <v>1285</v>
      </c>
      <c r="B281" s="107" t="s">
        <v>1286</v>
      </c>
      <c r="C281" s="118" t="s">
        <v>803</v>
      </c>
      <c r="D281" s="119">
        <v>0</v>
      </c>
      <c r="E281" s="119">
        <v>0</v>
      </c>
      <c r="F281" s="119">
        <v>0</v>
      </c>
      <c r="G281" s="119">
        <v>0</v>
      </c>
      <c r="H281" s="119">
        <v>0</v>
      </c>
      <c r="I281" s="120">
        <v>17511</v>
      </c>
      <c r="J281" s="119">
        <v>0</v>
      </c>
      <c r="K281" s="119">
        <v>4511</v>
      </c>
      <c r="L281" s="119">
        <v>0</v>
      </c>
      <c r="M281" s="119">
        <v>0</v>
      </c>
      <c r="N281" s="119">
        <v>4511</v>
      </c>
    </row>
    <row r="282" spans="1:14" ht="15.75" thickBot="1" x14ac:dyDescent="0.3">
      <c r="A282" s="44" t="s">
        <v>1287</v>
      </c>
      <c r="B282" s="107" t="s">
        <v>1288</v>
      </c>
      <c r="C282" s="118" t="s">
        <v>803</v>
      </c>
      <c r="D282" s="119">
        <v>0</v>
      </c>
      <c r="E282" s="119">
        <v>0</v>
      </c>
      <c r="F282" s="119">
        <v>0</v>
      </c>
      <c r="G282" s="119">
        <v>0</v>
      </c>
      <c r="H282" s="119">
        <v>0</v>
      </c>
      <c r="I282" s="120">
        <v>15736</v>
      </c>
      <c r="J282" s="119">
        <v>16961</v>
      </c>
      <c r="K282" s="119">
        <v>3150</v>
      </c>
      <c r="L282" s="119">
        <v>8965</v>
      </c>
      <c r="M282" s="119">
        <v>0</v>
      </c>
      <c r="N282" s="119">
        <v>29076</v>
      </c>
    </row>
    <row r="283" spans="1:14" ht="15.75" thickBot="1" x14ac:dyDescent="0.3">
      <c r="A283" s="44" t="s">
        <v>1291</v>
      </c>
      <c r="B283" s="107" t="s">
        <v>1292</v>
      </c>
      <c r="C283" s="118" t="s">
        <v>803</v>
      </c>
      <c r="D283" s="119">
        <v>0</v>
      </c>
      <c r="E283" s="119">
        <v>0</v>
      </c>
      <c r="F283" s="119">
        <v>0</v>
      </c>
      <c r="G283" s="119">
        <v>0</v>
      </c>
      <c r="H283" s="119">
        <v>0</v>
      </c>
      <c r="I283" s="120">
        <v>13097</v>
      </c>
      <c r="J283" s="121">
        <v>0</v>
      </c>
      <c r="K283" s="121">
        <v>0</v>
      </c>
      <c r="L283" s="119">
        <v>34798</v>
      </c>
      <c r="M283" s="121">
        <v>0</v>
      </c>
      <c r="N283" s="119">
        <v>34798</v>
      </c>
    </row>
    <row r="284" spans="1:14" ht="15.75" thickBot="1" x14ac:dyDescent="0.3">
      <c r="A284" s="44" t="s">
        <v>1301</v>
      </c>
      <c r="B284" s="107" t="s">
        <v>1302</v>
      </c>
      <c r="C284" s="118" t="s">
        <v>803</v>
      </c>
      <c r="D284" s="119">
        <v>0</v>
      </c>
      <c r="E284" s="119">
        <v>0</v>
      </c>
      <c r="F284" s="119">
        <v>0</v>
      </c>
      <c r="G284" s="119">
        <v>0</v>
      </c>
      <c r="H284" s="119">
        <v>0</v>
      </c>
      <c r="I284" s="120">
        <v>22857</v>
      </c>
      <c r="J284" s="119">
        <v>2100</v>
      </c>
      <c r="K284" s="119">
        <v>0</v>
      </c>
      <c r="L284" s="119">
        <v>13347</v>
      </c>
      <c r="M284" s="119">
        <v>13426</v>
      </c>
      <c r="N284" s="119">
        <v>28873</v>
      </c>
    </row>
    <row r="285" spans="1:14" ht="15.75" thickBot="1" x14ac:dyDescent="0.3">
      <c r="A285" s="44" t="s">
        <v>1315</v>
      </c>
      <c r="B285" s="107" t="s">
        <v>1316</v>
      </c>
      <c r="C285" s="118" t="s">
        <v>803</v>
      </c>
      <c r="D285" s="119">
        <v>0</v>
      </c>
      <c r="E285" s="119">
        <v>0</v>
      </c>
      <c r="F285" s="119">
        <v>0</v>
      </c>
      <c r="G285" s="119">
        <v>0</v>
      </c>
      <c r="H285" s="119">
        <v>0</v>
      </c>
      <c r="I285" s="120">
        <v>25686</v>
      </c>
      <c r="J285" s="119">
        <v>0</v>
      </c>
      <c r="K285" s="119">
        <v>0</v>
      </c>
      <c r="L285" s="119">
        <v>0</v>
      </c>
      <c r="M285" s="119">
        <v>0</v>
      </c>
      <c r="N285" s="119">
        <v>0</v>
      </c>
    </row>
    <row r="286" spans="1:14" ht="15.75" thickBot="1" x14ac:dyDescent="0.3">
      <c r="A286" s="44" t="s">
        <v>1331</v>
      </c>
      <c r="B286" s="107" t="s">
        <v>1332</v>
      </c>
      <c r="C286" s="118" t="s">
        <v>803</v>
      </c>
      <c r="D286" s="119">
        <v>0</v>
      </c>
      <c r="E286" s="119">
        <v>0</v>
      </c>
      <c r="F286" s="119">
        <v>0</v>
      </c>
      <c r="G286" s="119">
        <v>0</v>
      </c>
      <c r="H286" s="119">
        <v>0</v>
      </c>
      <c r="I286" s="120">
        <v>12561</v>
      </c>
      <c r="J286" s="119">
        <v>1200</v>
      </c>
      <c r="K286" s="119">
        <v>522</v>
      </c>
      <c r="L286" s="119">
        <v>0</v>
      </c>
      <c r="M286" s="119">
        <v>0</v>
      </c>
      <c r="N286" s="119">
        <v>1722</v>
      </c>
    </row>
    <row r="287" spans="1:14" ht="15.75" thickBot="1" x14ac:dyDescent="0.3">
      <c r="A287" s="44" t="s">
        <v>1341</v>
      </c>
      <c r="B287" s="107" t="s">
        <v>1342</v>
      </c>
      <c r="C287" s="118" t="s">
        <v>803</v>
      </c>
      <c r="D287" s="119">
        <v>5092</v>
      </c>
      <c r="E287" s="119">
        <v>0</v>
      </c>
      <c r="F287" s="119">
        <v>0</v>
      </c>
      <c r="G287" s="119">
        <v>10800</v>
      </c>
      <c r="H287" s="119">
        <v>15892</v>
      </c>
      <c r="I287" s="120">
        <v>24164</v>
      </c>
      <c r="J287" s="119">
        <v>11875</v>
      </c>
      <c r="K287" s="119">
        <v>5198</v>
      </c>
      <c r="L287" s="119">
        <v>802002</v>
      </c>
      <c r="M287" s="121">
        <v>0</v>
      </c>
      <c r="N287" s="119">
        <v>819075</v>
      </c>
    </row>
    <row r="288" spans="1:14" ht="15.75" thickBot="1" x14ac:dyDescent="0.3">
      <c r="A288" s="44" t="s">
        <v>1343</v>
      </c>
      <c r="B288" s="107" t="s">
        <v>1344</v>
      </c>
      <c r="C288" s="118" t="s">
        <v>803</v>
      </c>
      <c r="D288" s="119">
        <v>0</v>
      </c>
      <c r="E288" s="119">
        <v>0</v>
      </c>
      <c r="F288" s="119">
        <v>0</v>
      </c>
      <c r="G288" s="119">
        <v>0</v>
      </c>
      <c r="H288" s="119">
        <v>0</v>
      </c>
      <c r="I288" s="120">
        <v>14230</v>
      </c>
      <c r="J288" s="119">
        <v>0</v>
      </c>
      <c r="K288" s="119">
        <v>10430</v>
      </c>
      <c r="L288" s="119">
        <v>18289</v>
      </c>
      <c r="M288" s="119">
        <v>0</v>
      </c>
      <c r="N288" s="119">
        <v>28719</v>
      </c>
    </row>
    <row r="289" spans="1:14" ht="15.75" thickBot="1" x14ac:dyDescent="0.3">
      <c r="A289" s="44" t="s">
        <v>1347</v>
      </c>
      <c r="B289" s="107" t="s">
        <v>1348</v>
      </c>
      <c r="C289" s="118" t="s">
        <v>803</v>
      </c>
      <c r="D289" s="119">
        <v>0</v>
      </c>
      <c r="E289" s="119">
        <v>0</v>
      </c>
      <c r="F289" s="119">
        <v>0</v>
      </c>
      <c r="G289" s="119">
        <v>0</v>
      </c>
      <c r="H289" s="119">
        <v>0</v>
      </c>
      <c r="I289" s="120">
        <v>20526</v>
      </c>
      <c r="J289" s="119">
        <v>49654</v>
      </c>
      <c r="K289" s="119">
        <v>0</v>
      </c>
      <c r="L289" s="119">
        <v>18302</v>
      </c>
      <c r="M289" s="119">
        <v>26425</v>
      </c>
      <c r="N289" s="119">
        <v>94381</v>
      </c>
    </row>
    <row r="290" spans="1:14" ht="15.75" thickBot="1" x14ac:dyDescent="0.3">
      <c r="A290" s="44" t="s">
        <v>1355</v>
      </c>
      <c r="B290" s="107" t="s">
        <v>1356</v>
      </c>
      <c r="C290" s="118" t="s">
        <v>803</v>
      </c>
      <c r="D290" s="119">
        <v>0</v>
      </c>
      <c r="E290" s="119">
        <v>0</v>
      </c>
      <c r="F290" s="119">
        <v>200267</v>
      </c>
      <c r="G290" s="119">
        <v>0</v>
      </c>
      <c r="H290" s="119">
        <v>200267</v>
      </c>
      <c r="I290" s="120">
        <v>13579</v>
      </c>
      <c r="J290" s="119">
        <v>0</v>
      </c>
      <c r="K290" s="119">
        <v>0</v>
      </c>
      <c r="L290" s="119">
        <v>0</v>
      </c>
      <c r="M290" s="119">
        <v>0</v>
      </c>
      <c r="N290" s="119">
        <v>0</v>
      </c>
    </row>
    <row r="291" spans="1:14" ht="15.75" thickBot="1" x14ac:dyDescent="0.3">
      <c r="A291" s="44" t="s">
        <v>1365</v>
      </c>
      <c r="B291" s="107" t="s">
        <v>1366</v>
      </c>
      <c r="C291" s="118" t="s">
        <v>803</v>
      </c>
      <c r="D291" s="119">
        <v>0</v>
      </c>
      <c r="E291" s="119">
        <v>0</v>
      </c>
      <c r="F291" s="119">
        <v>65128</v>
      </c>
      <c r="G291" s="119">
        <v>0</v>
      </c>
      <c r="H291" s="119">
        <v>65128</v>
      </c>
      <c r="I291" s="120">
        <v>16709</v>
      </c>
      <c r="J291" s="119">
        <v>52358</v>
      </c>
      <c r="K291" s="119">
        <v>12770</v>
      </c>
      <c r="L291" s="119">
        <v>113000</v>
      </c>
      <c r="M291" s="121">
        <v>0</v>
      </c>
      <c r="N291" s="119">
        <v>178128</v>
      </c>
    </row>
    <row r="292" spans="1:14" ht="15.75" thickBot="1" x14ac:dyDescent="0.3">
      <c r="A292" s="44" t="s">
        <v>1381</v>
      </c>
      <c r="B292" s="107" t="s">
        <v>1382</v>
      </c>
      <c r="C292" s="118" t="s">
        <v>803</v>
      </c>
      <c r="D292" s="119">
        <v>0</v>
      </c>
      <c r="E292" s="119">
        <v>0</v>
      </c>
      <c r="F292" s="119">
        <v>0</v>
      </c>
      <c r="G292" s="119">
        <v>0</v>
      </c>
      <c r="H292" s="119">
        <v>0</v>
      </c>
      <c r="I292" s="120">
        <v>19629</v>
      </c>
      <c r="J292" s="119">
        <v>2063</v>
      </c>
      <c r="K292" s="119">
        <v>1339</v>
      </c>
      <c r="L292" s="119">
        <v>3336</v>
      </c>
      <c r="M292" s="119">
        <v>0</v>
      </c>
      <c r="N292" s="119">
        <v>6738</v>
      </c>
    </row>
    <row r="293" spans="1:14" ht="15.75" thickBot="1" x14ac:dyDescent="0.3">
      <c r="A293" s="44" t="s">
        <v>1383</v>
      </c>
      <c r="B293" s="107" t="s">
        <v>1384</v>
      </c>
      <c r="C293" s="118" t="s">
        <v>803</v>
      </c>
      <c r="D293" s="119">
        <v>0</v>
      </c>
      <c r="E293" s="119">
        <v>0</v>
      </c>
      <c r="F293" s="119">
        <v>222516</v>
      </c>
      <c r="G293" s="119">
        <v>0</v>
      </c>
      <c r="H293" s="119">
        <v>222516</v>
      </c>
      <c r="I293" s="120">
        <v>13912</v>
      </c>
      <c r="J293" s="119">
        <v>12669</v>
      </c>
      <c r="K293" s="119">
        <v>5688</v>
      </c>
      <c r="L293" s="119">
        <v>219595</v>
      </c>
      <c r="M293" s="119">
        <v>0</v>
      </c>
      <c r="N293" s="119">
        <v>237952</v>
      </c>
    </row>
    <row r="294" spans="1:14" ht="15.75" thickBot="1" x14ac:dyDescent="0.3">
      <c r="A294" s="44" t="s">
        <v>1387</v>
      </c>
      <c r="B294" s="107" t="s">
        <v>1388</v>
      </c>
      <c r="C294" s="118" t="s">
        <v>803</v>
      </c>
      <c r="D294" s="119">
        <v>0</v>
      </c>
      <c r="E294" s="119">
        <v>2765</v>
      </c>
      <c r="F294" s="119">
        <v>0</v>
      </c>
      <c r="G294" s="119">
        <v>5887</v>
      </c>
      <c r="H294" s="119">
        <v>8652</v>
      </c>
      <c r="I294" s="120">
        <v>14878</v>
      </c>
      <c r="J294" s="119">
        <v>11606</v>
      </c>
      <c r="K294" s="119">
        <v>5305</v>
      </c>
      <c r="L294" s="119">
        <v>11842</v>
      </c>
      <c r="M294" s="119">
        <v>4975</v>
      </c>
      <c r="N294" s="119">
        <v>33728</v>
      </c>
    </row>
    <row r="295" spans="1:14" ht="15.75" thickBot="1" x14ac:dyDescent="0.3">
      <c r="A295" s="44" t="s">
        <v>1421</v>
      </c>
      <c r="B295" s="107" t="s">
        <v>1422</v>
      </c>
      <c r="C295" s="118" t="s">
        <v>803</v>
      </c>
      <c r="D295" s="119">
        <v>0</v>
      </c>
      <c r="E295" s="119">
        <v>0</v>
      </c>
      <c r="F295" s="119">
        <v>0</v>
      </c>
      <c r="G295" s="119">
        <v>0</v>
      </c>
      <c r="H295" s="119">
        <v>0</v>
      </c>
      <c r="I295" s="120">
        <v>12486</v>
      </c>
      <c r="J295" s="121">
        <v>0</v>
      </c>
      <c r="K295" s="121">
        <v>0</v>
      </c>
      <c r="L295" s="121">
        <v>0</v>
      </c>
      <c r="M295" s="121">
        <v>0</v>
      </c>
      <c r="N295" s="121">
        <v>0</v>
      </c>
    </row>
    <row r="296" spans="1:14" ht="15.75" thickBot="1" x14ac:dyDescent="0.3">
      <c r="A296" s="44" t="s">
        <v>1447</v>
      </c>
      <c r="B296" s="107" t="s">
        <v>1448</v>
      </c>
      <c r="C296" s="118" t="s">
        <v>803</v>
      </c>
      <c r="D296" s="119">
        <v>0</v>
      </c>
      <c r="E296" s="119">
        <v>0</v>
      </c>
      <c r="F296" s="119">
        <v>900000</v>
      </c>
      <c r="G296" s="119">
        <v>0</v>
      </c>
      <c r="H296" s="119">
        <v>900000</v>
      </c>
      <c r="I296" s="120">
        <v>16753</v>
      </c>
      <c r="J296" s="119">
        <v>57827</v>
      </c>
      <c r="K296" s="119">
        <v>14548</v>
      </c>
      <c r="L296" s="119">
        <v>1165073</v>
      </c>
      <c r="M296" s="119">
        <v>83056</v>
      </c>
      <c r="N296" s="119">
        <v>1320504</v>
      </c>
    </row>
    <row r="297" spans="1:14" ht="15.75" thickBot="1" x14ac:dyDescent="0.3">
      <c r="A297" s="44" t="s">
        <v>1490</v>
      </c>
      <c r="B297" s="107" t="s">
        <v>1491</v>
      </c>
      <c r="C297" s="118" t="s">
        <v>803</v>
      </c>
      <c r="D297" s="119">
        <v>0</v>
      </c>
      <c r="E297" s="119">
        <v>0</v>
      </c>
      <c r="F297" s="119">
        <v>0</v>
      </c>
      <c r="G297" s="119">
        <v>0</v>
      </c>
      <c r="H297" s="119">
        <v>0</v>
      </c>
      <c r="I297" s="120">
        <v>18260</v>
      </c>
      <c r="J297" s="119">
        <v>16151</v>
      </c>
      <c r="K297" s="119">
        <v>5896</v>
      </c>
      <c r="L297" s="119">
        <v>1653</v>
      </c>
      <c r="M297" s="121">
        <v>0</v>
      </c>
      <c r="N297" s="119">
        <v>23700</v>
      </c>
    </row>
    <row r="298" spans="1:14" ht="15.75" thickBot="1" x14ac:dyDescent="0.3">
      <c r="A298" s="44" t="s">
        <v>1492</v>
      </c>
      <c r="B298" s="107" t="s">
        <v>1493</v>
      </c>
      <c r="C298" s="118" t="s">
        <v>803</v>
      </c>
      <c r="D298" s="119">
        <v>0</v>
      </c>
      <c r="E298" s="119">
        <v>0</v>
      </c>
      <c r="F298" s="119">
        <v>0</v>
      </c>
      <c r="G298" s="119">
        <v>0</v>
      </c>
      <c r="H298" s="119">
        <v>0</v>
      </c>
      <c r="I298" s="120">
        <v>13940</v>
      </c>
      <c r="J298" s="119">
        <v>0</v>
      </c>
      <c r="K298" s="119">
        <v>4000</v>
      </c>
      <c r="L298" s="119">
        <v>0</v>
      </c>
      <c r="M298" s="119">
        <v>0</v>
      </c>
      <c r="N298" s="119">
        <v>4000</v>
      </c>
    </row>
    <row r="299" spans="1:14" ht="15.75" thickBot="1" x14ac:dyDescent="0.3">
      <c r="A299" s="44" t="s">
        <v>1498</v>
      </c>
      <c r="B299" s="107" t="s">
        <v>1499</v>
      </c>
      <c r="C299" s="118" t="s">
        <v>803</v>
      </c>
      <c r="D299" s="119">
        <v>0</v>
      </c>
      <c r="E299" s="119">
        <v>0</v>
      </c>
      <c r="F299" s="119">
        <v>0</v>
      </c>
      <c r="G299" s="119">
        <v>0</v>
      </c>
      <c r="H299" s="119">
        <v>0</v>
      </c>
      <c r="I299" s="120">
        <v>17937</v>
      </c>
      <c r="J299" s="119">
        <v>6747</v>
      </c>
      <c r="K299" s="119">
        <v>3583</v>
      </c>
      <c r="L299" s="119">
        <v>0</v>
      </c>
      <c r="M299" s="119">
        <v>39563</v>
      </c>
      <c r="N299" s="119">
        <v>49893</v>
      </c>
    </row>
    <row r="300" spans="1:14" ht="15.75" thickBot="1" x14ac:dyDescent="0.3">
      <c r="A300" s="44" t="s">
        <v>1516</v>
      </c>
      <c r="B300" s="107" t="s">
        <v>1517</v>
      </c>
      <c r="C300" s="118" t="s">
        <v>803</v>
      </c>
      <c r="D300" s="119">
        <v>0</v>
      </c>
      <c r="E300" s="119">
        <v>0</v>
      </c>
      <c r="F300" s="119">
        <v>0</v>
      </c>
      <c r="G300" s="119">
        <v>0</v>
      </c>
      <c r="H300" s="119">
        <v>0</v>
      </c>
      <c r="I300" s="120">
        <v>18134</v>
      </c>
      <c r="J300" s="119">
        <v>0</v>
      </c>
      <c r="K300" s="119">
        <v>2853</v>
      </c>
      <c r="L300" s="119">
        <v>0</v>
      </c>
      <c r="M300" s="119">
        <v>0</v>
      </c>
      <c r="N300" s="119">
        <v>2853</v>
      </c>
    </row>
    <row r="301" spans="1:14" ht="15.75" thickBot="1" x14ac:dyDescent="0.3">
      <c r="A301" s="44" t="s">
        <v>1528</v>
      </c>
      <c r="B301" s="107" t="s">
        <v>1529</v>
      </c>
      <c r="C301" s="118" t="s">
        <v>803</v>
      </c>
      <c r="D301" s="119">
        <v>0</v>
      </c>
      <c r="E301" s="119">
        <v>0</v>
      </c>
      <c r="F301" s="119">
        <v>0</v>
      </c>
      <c r="G301" s="119">
        <v>0</v>
      </c>
      <c r="H301" s="119">
        <v>0</v>
      </c>
      <c r="I301" s="120">
        <v>15497</v>
      </c>
      <c r="J301" s="119">
        <v>0</v>
      </c>
      <c r="K301" s="119">
        <v>0</v>
      </c>
      <c r="L301" s="119">
        <v>0</v>
      </c>
      <c r="M301" s="119">
        <v>0</v>
      </c>
      <c r="N301" s="119">
        <v>0</v>
      </c>
    </row>
    <row r="302" spans="1:14" ht="15.75" thickBot="1" x14ac:dyDescent="0.3">
      <c r="A302" s="44" t="s">
        <v>1532</v>
      </c>
      <c r="B302" s="107" t="s">
        <v>1533</v>
      </c>
      <c r="C302" s="118" t="s">
        <v>803</v>
      </c>
      <c r="D302" s="119">
        <v>0</v>
      </c>
      <c r="E302" s="119">
        <v>0</v>
      </c>
      <c r="F302" s="119">
        <v>0</v>
      </c>
      <c r="G302" s="119">
        <v>0</v>
      </c>
      <c r="H302" s="119">
        <v>0</v>
      </c>
      <c r="I302" s="120">
        <v>14253</v>
      </c>
      <c r="J302" s="119">
        <v>32684</v>
      </c>
      <c r="K302" s="119">
        <v>4993</v>
      </c>
      <c r="L302" s="119">
        <v>40928</v>
      </c>
      <c r="M302" s="119">
        <v>0</v>
      </c>
      <c r="N302" s="119">
        <v>78605</v>
      </c>
    </row>
    <row r="303" spans="1:14" ht="15.75" thickBot="1" x14ac:dyDescent="0.3">
      <c r="A303" s="44" t="s">
        <v>1552</v>
      </c>
      <c r="B303" s="107" t="s">
        <v>1553</v>
      </c>
      <c r="C303" s="118" t="s">
        <v>803</v>
      </c>
      <c r="D303" s="119">
        <v>0</v>
      </c>
      <c r="E303" s="119">
        <v>0</v>
      </c>
      <c r="F303" s="119">
        <v>0</v>
      </c>
      <c r="G303" s="119">
        <v>26900</v>
      </c>
      <c r="H303" s="119">
        <v>26900</v>
      </c>
      <c r="I303" s="120">
        <v>12238</v>
      </c>
      <c r="J303" s="119">
        <v>0</v>
      </c>
      <c r="K303" s="119">
        <v>0</v>
      </c>
      <c r="L303" s="119">
        <v>0</v>
      </c>
      <c r="M303" s="119">
        <v>0</v>
      </c>
      <c r="N303" s="119">
        <v>0</v>
      </c>
    </row>
    <row r="304" spans="1:14" ht="15.75" thickBot="1" x14ac:dyDescent="0.3">
      <c r="A304" s="44" t="s">
        <v>1572</v>
      </c>
      <c r="B304" s="107" t="s">
        <v>1573</v>
      </c>
      <c r="C304" s="118" t="s">
        <v>803</v>
      </c>
      <c r="D304" s="119">
        <v>0</v>
      </c>
      <c r="E304" s="119">
        <v>0</v>
      </c>
      <c r="F304" s="119">
        <v>0</v>
      </c>
      <c r="G304" s="119">
        <v>0</v>
      </c>
      <c r="H304" s="119">
        <v>0</v>
      </c>
      <c r="I304" s="120">
        <v>17593</v>
      </c>
      <c r="J304" s="119">
        <v>0</v>
      </c>
      <c r="K304" s="119">
        <v>0</v>
      </c>
      <c r="L304" s="119">
        <v>68008</v>
      </c>
      <c r="M304" s="119">
        <v>0</v>
      </c>
      <c r="N304" s="119">
        <v>68008</v>
      </c>
    </row>
    <row r="305" spans="1:14" ht="15.75" thickBot="1" x14ac:dyDescent="0.3">
      <c r="A305" s="44" t="s">
        <v>1598</v>
      </c>
      <c r="B305" s="107" t="s">
        <v>1599</v>
      </c>
      <c r="C305" s="118" t="s">
        <v>803</v>
      </c>
      <c r="D305" s="119">
        <v>0</v>
      </c>
      <c r="E305" s="119">
        <v>0</v>
      </c>
      <c r="F305" s="119">
        <v>0</v>
      </c>
      <c r="G305" s="119">
        <v>0</v>
      </c>
      <c r="H305" s="119">
        <v>0</v>
      </c>
      <c r="I305" s="120">
        <v>13498</v>
      </c>
      <c r="J305" s="119">
        <v>0</v>
      </c>
      <c r="K305" s="119">
        <v>0</v>
      </c>
      <c r="L305" s="119">
        <v>0</v>
      </c>
      <c r="M305" s="119">
        <v>0</v>
      </c>
      <c r="N305" s="119">
        <v>0</v>
      </c>
    </row>
    <row r="306" spans="1:14" ht="15.75" thickBot="1" x14ac:dyDescent="0.3">
      <c r="A306" s="44" t="s">
        <v>820</v>
      </c>
      <c r="B306" s="107" t="s">
        <v>821</v>
      </c>
      <c r="C306" s="118" t="s">
        <v>822</v>
      </c>
      <c r="D306" s="119">
        <v>0</v>
      </c>
      <c r="E306" s="119">
        <v>0</v>
      </c>
      <c r="F306" s="119">
        <v>0</v>
      </c>
      <c r="G306" s="119">
        <v>0</v>
      </c>
      <c r="H306" s="119">
        <v>0</v>
      </c>
      <c r="I306" s="120">
        <v>28210</v>
      </c>
      <c r="J306" s="119">
        <v>0</v>
      </c>
      <c r="K306" s="119">
        <v>0</v>
      </c>
      <c r="L306" s="119">
        <v>0</v>
      </c>
      <c r="M306" s="119">
        <v>0</v>
      </c>
      <c r="N306" s="119">
        <v>0</v>
      </c>
    </row>
    <row r="307" spans="1:14" ht="15.75" thickBot="1" x14ac:dyDescent="0.3">
      <c r="A307" s="44" t="s">
        <v>823</v>
      </c>
      <c r="B307" s="107" t="s">
        <v>824</v>
      </c>
      <c r="C307" s="118" t="s">
        <v>822</v>
      </c>
      <c r="D307" s="119">
        <v>0</v>
      </c>
      <c r="E307" s="119">
        <v>0</v>
      </c>
      <c r="F307" s="119">
        <v>0</v>
      </c>
      <c r="G307" s="119">
        <v>0</v>
      </c>
      <c r="H307" s="119">
        <v>0</v>
      </c>
      <c r="I307" s="120">
        <v>28283</v>
      </c>
      <c r="J307" s="119">
        <v>4202</v>
      </c>
      <c r="K307" s="119">
        <v>2061</v>
      </c>
      <c r="L307" s="119">
        <v>0</v>
      </c>
      <c r="M307" s="119">
        <v>0</v>
      </c>
      <c r="N307" s="119">
        <v>6263</v>
      </c>
    </row>
    <row r="308" spans="1:14" ht="15.75" thickBot="1" x14ac:dyDescent="0.3">
      <c r="A308" s="44" t="s">
        <v>831</v>
      </c>
      <c r="B308" s="107" t="s">
        <v>832</v>
      </c>
      <c r="C308" s="118" t="s">
        <v>822</v>
      </c>
      <c r="D308" s="119">
        <v>0</v>
      </c>
      <c r="E308" s="119">
        <v>0</v>
      </c>
      <c r="F308" s="119">
        <v>0</v>
      </c>
      <c r="G308" s="119">
        <v>200</v>
      </c>
      <c r="H308" s="119">
        <v>200</v>
      </c>
      <c r="I308" s="120">
        <v>29598</v>
      </c>
      <c r="J308" s="119">
        <v>0</v>
      </c>
      <c r="K308" s="119">
        <v>0</v>
      </c>
      <c r="L308" s="119">
        <v>91903</v>
      </c>
      <c r="M308" s="119">
        <v>0</v>
      </c>
      <c r="N308" s="119">
        <v>91903</v>
      </c>
    </row>
    <row r="309" spans="1:14" ht="15.75" thickBot="1" x14ac:dyDescent="0.3">
      <c r="A309" s="44" t="s">
        <v>855</v>
      </c>
      <c r="B309" s="107" t="s">
        <v>856</v>
      </c>
      <c r="C309" s="118" t="s">
        <v>822</v>
      </c>
      <c r="D309" s="119">
        <v>0</v>
      </c>
      <c r="E309" s="119">
        <v>0</v>
      </c>
      <c r="F309" s="119">
        <v>0</v>
      </c>
      <c r="G309" s="119">
        <v>45000</v>
      </c>
      <c r="H309" s="119">
        <v>45000</v>
      </c>
      <c r="I309" s="120">
        <v>35350</v>
      </c>
      <c r="J309" s="119">
        <v>106987</v>
      </c>
      <c r="K309" s="119">
        <v>208243</v>
      </c>
      <c r="L309" s="119">
        <v>28363</v>
      </c>
      <c r="M309" s="121">
        <v>0</v>
      </c>
      <c r="N309" s="119">
        <v>343593</v>
      </c>
    </row>
    <row r="310" spans="1:14" ht="15.75" thickBot="1" x14ac:dyDescent="0.3">
      <c r="A310" s="44" t="s">
        <v>867</v>
      </c>
      <c r="B310" s="107" t="s">
        <v>868</v>
      </c>
      <c r="C310" s="118" t="s">
        <v>822</v>
      </c>
      <c r="D310" s="119">
        <v>0</v>
      </c>
      <c r="E310" s="119">
        <v>0</v>
      </c>
      <c r="F310" s="119">
        <v>252267</v>
      </c>
      <c r="G310" s="119">
        <v>359050</v>
      </c>
      <c r="H310" s="119">
        <v>611317</v>
      </c>
      <c r="I310" s="120">
        <v>42361</v>
      </c>
      <c r="J310" s="119">
        <v>0</v>
      </c>
      <c r="K310" s="119">
        <v>155958</v>
      </c>
      <c r="L310" s="119">
        <v>4695495</v>
      </c>
      <c r="M310" s="119">
        <v>0</v>
      </c>
      <c r="N310" s="119">
        <v>4851453</v>
      </c>
    </row>
    <row r="311" spans="1:14" ht="15.75" thickBot="1" x14ac:dyDescent="0.3">
      <c r="A311" s="44" t="s">
        <v>891</v>
      </c>
      <c r="B311" s="107" t="s">
        <v>892</v>
      </c>
      <c r="C311" s="118" t="s">
        <v>822</v>
      </c>
      <c r="D311" s="119">
        <v>0</v>
      </c>
      <c r="E311" s="119">
        <v>0</v>
      </c>
      <c r="F311" s="119">
        <v>0</v>
      </c>
      <c r="G311" s="119">
        <v>0</v>
      </c>
      <c r="H311" s="119">
        <v>0</v>
      </c>
      <c r="I311" s="120">
        <v>41070</v>
      </c>
      <c r="J311" s="119">
        <v>0</v>
      </c>
      <c r="K311" s="119">
        <v>0</v>
      </c>
      <c r="L311" s="119">
        <v>863051</v>
      </c>
      <c r="M311" s="121">
        <v>0</v>
      </c>
      <c r="N311" s="119">
        <v>863051</v>
      </c>
    </row>
    <row r="312" spans="1:14" ht="15.75" thickBot="1" x14ac:dyDescent="0.3">
      <c r="A312" s="44" t="s">
        <v>897</v>
      </c>
      <c r="B312" s="107" t="s">
        <v>898</v>
      </c>
      <c r="C312" s="118" t="s">
        <v>822</v>
      </c>
      <c r="D312" s="119">
        <v>0</v>
      </c>
      <c r="E312" s="119">
        <v>0</v>
      </c>
      <c r="F312" s="119">
        <v>0</v>
      </c>
      <c r="G312" s="119">
        <v>0</v>
      </c>
      <c r="H312" s="119">
        <v>0</v>
      </c>
      <c r="I312" s="120">
        <v>46905</v>
      </c>
      <c r="J312" s="119">
        <v>0</v>
      </c>
      <c r="K312" s="119">
        <v>0</v>
      </c>
      <c r="L312" s="119">
        <v>0</v>
      </c>
      <c r="M312" s="119">
        <v>0</v>
      </c>
      <c r="N312" s="119">
        <v>0</v>
      </c>
    </row>
    <row r="313" spans="1:14" ht="15.75" thickBot="1" x14ac:dyDescent="0.3">
      <c r="A313" s="44" t="s">
        <v>907</v>
      </c>
      <c r="B313" s="107" t="s">
        <v>908</v>
      </c>
      <c r="C313" s="118" t="s">
        <v>822</v>
      </c>
      <c r="D313" s="119">
        <v>0</v>
      </c>
      <c r="E313" s="119">
        <v>0</v>
      </c>
      <c r="F313" s="119">
        <v>975</v>
      </c>
      <c r="G313" s="119">
        <v>0</v>
      </c>
      <c r="H313" s="119">
        <v>975</v>
      </c>
      <c r="I313" s="120">
        <v>43254</v>
      </c>
      <c r="J313" s="119">
        <v>0</v>
      </c>
      <c r="K313" s="119">
        <v>0</v>
      </c>
      <c r="L313" s="119">
        <v>349897</v>
      </c>
      <c r="M313" s="119">
        <v>40048</v>
      </c>
      <c r="N313" s="119">
        <v>389945</v>
      </c>
    </row>
    <row r="314" spans="1:14" ht="15.75" thickBot="1" x14ac:dyDescent="0.3">
      <c r="A314" s="44" t="s">
        <v>917</v>
      </c>
      <c r="B314" s="107" t="s">
        <v>918</v>
      </c>
      <c r="C314" s="118" t="s">
        <v>822</v>
      </c>
      <c r="D314" s="119">
        <v>0</v>
      </c>
      <c r="E314" s="119">
        <v>0</v>
      </c>
      <c r="F314" s="119">
        <v>0</v>
      </c>
      <c r="G314" s="119">
        <v>1600</v>
      </c>
      <c r="H314" s="119">
        <v>1600</v>
      </c>
      <c r="I314" s="120">
        <v>35087</v>
      </c>
      <c r="J314" s="119">
        <v>15235</v>
      </c>
      <c r="K314" s="119">
        <v>19420</v>
      </c>
      <c r="L314" s="119">
        <v>98750</v>
      </c>
      <c r="M314" s="119">
        <v>0</v>
      </c>
      <c r="N314" s="119">
        <v>133405</v>
      </c>
    </row>
    <row r="315" spans="1:14" ht="15.75" thickBot="1" x14ac:dyDescent="0.3">
      <c r="A315" s="44" t="s">
        <v>933</v>
      </c>
      <c r="B315" s="107" t="s">
        <v>934</v>
      </c>
      <c r="C315" s="118" t="s">
        <v>822</v>
      </c>
      <c r="D315" s="119">
        <v>0</v>
      </c>
      <c r="E315" s="119">
        <v>0</v>
      </c>
      <c r="F315" s="119">
        <v>0</v>
      </c>
      <c r="G315" s="119">
        <v>0</v>
      </c>
      <c r="H315" s="119">
        <v>0</v>
      </c>
      <c r="I315" s="120">
        <v>38002</v>
      </c>
      <c r="J315" s="119">
        <v>6756</v>
      </c>
      <c r="K315" s="119">
        <v>3557</v>
      </c>
      <c r="L315" s="119">
        <v>0</v>
      </c>
      <c r="M315" s="119">
        <v>33445</v>
      </c>
      <c r="N315" s="119">
        <v>43758</v>
      </c>
    </row>
    <row r="316" spans="1:14" ht="15.75" thickBot="1" x14ac:dyDescent="0.3">
      <c r="A316" s="44" t="s">
        <v>953</v>
      </c>
      <c r="B316" s="107" t="s">
        <v>954</v>
      </c>
      <c r="C316" s="118" t="s">
        <v>822</v>
      </c>
      <c r="D316" s="119">
        <v>0</v>
      </c>
      <c r="E316" s="119">
        <v>0</v>
      </c>
      <c r="F316" s="119">
        <v>0</v>
      </c>
      <c r="G316" s="119">
        <v>13383</v>
      </c>
      <c r="H316" s="119">
        <v>13383</v>
      </c>
      <c r="I316" s="120">
        <v>43381</v>
      </c>
      <c r="J316" s="119">
        <v>31005</v>
      </c>
      <c r="K316" s="119">
        <v>26686</v>
      </c>
      <c r="L316" s="121">
        <v>0</v>
      </c>
      <c r="M316" s="119">
        <v>100000</v>
      </c>
      <c r="N316" s="119">
        <v>157691</v>
      </c>
    </row>
    <row r="317" spans="1:14" ht="15.75" thickBot="1" x14ac:dyDescent="0.3">
      <c r="A317" s="44" t="s">
        <v>957</v>
      </c>
      <c r="B317" s="107" t="s">
        <v>958</v>
      </c>
      <c r="C317" s="118" t="s">
        <v>822</v>
      </c>
      <c r="D317" s="119">
        <v>0</v>
      </c>
      <c r="E317" s="119">
        <v>0</v>
      </c>
      <c r="F317" s="119">
        <v>0</v>
      </c>
      <c r="G317" s="119">
        <v>0</v>
      </c>
      <c r="H317" s="119">
        <v>0</v>
      </c>
      <c r="I317" s="120">
        <v>35563</v>
      </c>
      <c r="J317" s="119">
        <v>0</v>
      </c>
      <c r="K317" s="119">
        <v>65165</v>
      </c>
      <c r="L317" s="119">
        <v>0</v>
      </c>
      <c r="M317" s="119">
        <v>0</v>
      </c>
      <c r="N317" s="119">
        <v>65165</v>
      </c>
    </row>
    <row r="318" spans="1:14" ht="15.75" thickBot="1" x14ac:dyDescent="0.3">
      <c r="A318" s="44" t="s">
        <v>971</v>
      </c>
      <c r="B318" s="107" t="s">
        <v>972</v>
      </c>
      <c r="C318" s="118" t="s">
        <v>822</v>
      </c>
      <c r="D318" s="119">
        <v>0</v>
      </c>
      <c r="E318" s="119">
        <v>0</v>
      </c>
      <c r="F318" s="119">
        <v>0</v>
      </c>
      <c r="G318" s="119">
        <v>0</v>
      </c>
      <c r="H318" s="119">
        <v>0</v>
      </c>
      <c r="I318" s="120">
        <v>40186</v>
      </c>
      <c r="J318" s="119">
        <v>0</v>
      </c>
      <c r="K318" s="119">
        <v>10986</v>
      </c>
      <c r="L318" s="119">
        <v>0</v>
      </c>
      <c r="M318" s="119">
        <v>0</v>
      </c>
      <c r="N318" s="119">
        <v>10986</v>
      </c>
    </row>
    <row r="319" spans="1:14" ht="15.75" thickBot="1" x14ac:dyDescent="0.3">
      <c r="A319" s="44" t="s">
        <v>973</v>
      </c>
      <c r="B319" s="107" t="s">
        <v>974</v>
      </c>
      <c r="C319" s="118" t="s">
        <v>822</v>
      </c>
      <c r="D319" s="119">
        <v>0</v>
      </c>
      <c r="E319" s="119">
        <v>0</v>
      </c>
      <c r="F319" s="119">
        <v>0</v>
      </c>
      <c r="G319" s="119">
        <v>0</v>
      </c>
      <c r="H319" s="119">
        <v>0</v>
      </c>
      <c r="I319" s="120">
        <v>28263</v>
      </c>
      <c r="J319" s="119">
        <v>18442</v>
      </c>
      <c r="K319" s="119">
        <v>6099</v>
      </c>
      <c r="L319" s="121">
        <v>0</v>
      </c>
      <c r="M319" s="121">
        <v>0</v>
      </c>
      <c r="N319" s="119">
        <v>24541</v>
      </c>
    </row>
    <row r="320" spans="1:14" ht="15.75" thickBot="1" x14ac:dyDescent="0.3">
      <c r="A320" s="44" t="s">
        <v>983</v>
      </c>
      <c r="B320" s="107" t="s">
        <v>984</v>
      </c>
      <c r="C320" s="118" t="s">
        <v>822</v>
      </c>
      <c r="D320" s="119">
        <v>0</v>
      </c>
      <c r="E320" s="119">
        <v>0</v>
      </c>
      <c r="F320" s="119">
        <v>0</v>
      </c>
      <c r="G320" s="119">
        <v>0</v>
      </c>
      <c r="H320" s="119">
        <v>0</v>
      </c>
      <c r="I320" s="120">
        <v>26391</v>
      </c>
      <c r="J320" s="119">
        <v>54671</v>
      </c>
      <c r="K320" s="119">
        <v>0</v>
      </c>
      <c r="L320" s="119">
        <v>90551</v>
      </c>
      <c r="M320" s="119">
        <v>0</v>
      </c>
      <c r="N320" s="119">
        <v>145222</v>
      </c>
    </row>
    <row r="321" spans="1:14" ht="15.75" thickBot="1" x14ac:dyDescent="0.3">
      <c r="A321" s="44" t="s">
        <v>1001</v>
      </c>
      <c r="B321" s="107" t="s">
        <v>1002</v>
      </c>
      <c r="C321" s="118" t="s">
        <v>822</v>
      </c>
      <c r="D321" s="119">
        <v>0</v>
      </c>
      <c r="E321" s="119">
        <v>0</v>
      </c>
      <c r="F321" s="119">
        <v>0</v>
      </c>
      <c r="G321" s="119">
        <v>51769</v>
      </c>
      <c r="H321" s="119">
        <v>51769</v>
      </c>
      <c r="I321" s="120">
        <v>32799</v>
      </c>
      <c r="J321" s="121">
        <v>0</v>
      </c>
      <c r="K321" s="121">
        <v>0</v>
      </c>
      <c r="L321" s="121">
        <v>0</v>
      </c>
      <c r="M321" s="121">
        <v>0</v>
      </c>
      <c r="N321" s="121">
        <v>0</v>
      </c>
    </row>
    <row r="322" spans="1:14" ht="15.75" thickBot="1" x14ac:dyDescent="0.3">
      <c r="A322" s="44" t="s">
        <v>1011</v>
      </c>
      <c r="B322" s="107" t="s">
        <v>1012</v>
      </c>
      <c r="C322" s="118" t="s">
        <v>822</v>
      </c>
      <c r="D322" s="119">
        <v>0</v>
      </c>
      <c r="E322" s="119">
        <v>0</v>
      </c>
      <c r="F322" s="119">
        <v>0</v>
      </c>
      <c r="G322" s="119">
        <v>0</v>
      </c>
      <c r="H322" s="119">
        <v>0</v>
      </c>
      <c r="I322" s="120">
        <v>26168</v>
      </c>
      <c r="J322" s="121">
        <v>0</v>
      </c>
      <c r="K322" s="121">
        <v>0</v>
      </c>
      <c r="L322" s="119">
        <v>234675</v>
      </c>
      <c r="M322" s="121">
        <v>0</v>
      </c>
      <c r="N322" s="119">
        <v>234675</v>
      </c>
    </row>
    <row r="323" spans="1:14" ht="15.75" thickBot="1" x14ac:dyDescent="0.3">
      <c r="A323" s="44" t="s">
        <v>1023</v>
      </c>
      <c r="B323" s="107" t="s">
        <v>1024</v>
      </c>
      <c r="C323" s="118" t="s">
        <v>822</v>
      </c>
      <c r="D323" s="119">
        <v>0</v>
      </c>
      <c r="E323" s="119">
        <v>0</v>
      </c>
      <c r="F323" s="119">
        <v>0</v>
      </c>
      <c r="G323" s="119">
        <v>49101</v>
      </c>
      <c r="H323" s="119">
        <v>49101</v>
      </c>
      <c r="I323" s="120">
        <v>48579</v>
      </c>
      <c r="J323" s="119">
        <v>63734</v>
      </c>
      <c r="K323" s="119">
        <v>0</v>
      </c>
      <c r="L323" s="119">
        <v>0</v>
      </c>
      <c r="M323" s="119">
        <v>0</v>
      </c>
      <c r="N323" s="119">
        <v>63734</v>
      </c>
    </row>
    <row r="324" spans="1:14" ht="15.75" thickBot="1" x14ac:dyDescent="0.3">
      <c r="A324" s="44" t="s">
        <v>1025</v>
      </c>
      <c r="B324" s="107" t="s">
        <v>1026</v>
      </c>
      <c r="C324" s="118" t="s">
        <v>822</v>
      </c>
      <c r="D324" s="119">
        <v>0</v>
      </c>
      <c r="E324" s="119">
        <v>0</v>
      </c>
      <c r="F324" s="119">
        <v>0</v>
      </c>
      <c r="G324" s="119">
        <v>0</v>
      </c>
      <c r="H324" s="119">
        <v>0</v>
      </c>
      <c r="I324" s="120">
        <v>32442</v>
      </c>
      <c r="J324" s="119">
        <v>0</v>
      </c>
      <c r="K324" s="119">
        <v>0</v>
      </c>
      <c r="L324" s="119">
        <v>0</v>
      </c>
      <c r="M324" s="119">
        <v>0</v>
      </c>
      <c r="N324" s="119">
        <v>0</v>
      </c>
    </row>
    <row r="325" spans="1:14" ht="15.75" thickBot="1" x14ac:dyDescent="0.3">
      <c r="A325" s="44" t="s">
        <v>1085</v>
      </c>
      <c r="B325" s="107" t="s">
        <v>1086</v>
      </c>
      <c r="C325" s="118" t="s">
        <v>822</v>
      </c>
      <c r="D325" s="119">
        <v>0</v>
      </c>
      <c r="E325" s="119">
        <v>0</v>
      </c>
      <c r="F325" s="119">
        <v>0</v>
      </c>
      <c r="G325" s="119">
        <v>0</v>
      </c>
      <c r="H325" s="119">
        <v>0</v>
      </c>
      <c r="I325" s="120">
        <v>27692</v>
      </c>
      <c r="J325" s="119">
        <v>0</v>
      </c>
      <c r="K325" s="119">
        <v>0</v>
      </c>
      <c r="L325" s="119">
        <v>0</v>
      </c>
      <c r="M325" s="119">
        <v>0</v>
      </c>
      <c r="N325" s="119">
        <v>0</v>
      </c>
    </row>
    <row r="326" spans="1:14" ht="15.75" thickBot="1" x14ac:dyDescent="0.3">
      <c r="A326" s="44" t="s">
        <v>1093</v>
      </c>
      <c r="B326" s="107" t="s">
        <v>1094</v>
      </c>
      <c r="C326" s="118" t="s">
        <v>822</v>
      </c>
      <c r="D326" s="119">
        <v>0</v>
      </c>
      <c r="E326" s="119">
        <v>0</v>
      </c>
      <c r="F326" s="119">
        <v>0</v>
      </c>
      <c r="G326" s="119">
        <v>0</v>
      </c>
      <c r="H326" s="119">
        <v>0</v>
      </c>
      <c r="I326" s="120">
        <v>46985</v>
      </c>
      <c r="J326" s="119">
        <v>0</v>
      </c>
      <c r="K326" s="119">
        <v>9388</v>
      </c>
      <c r="L326" s="119">
        <v>1686890</v>
      </c>
      <c r="M326" s="119">
        <v>0</v>
      </c>
      <c r="N326" s="119">
        <v>1696278</v>
      </c>
    </row>
    <row r="327" spans="1:14" ht="15.75" thickBot="1" x14ac:dyDescent="0.3">
      <c r="A327" s="44" t="s">
        <v>1113</v>
      </c>
      <c r="B327" s="107" t="s">
        <v>1114</v>
      </c>
      <c r="C327" s="118" t="s">
        <v>822</v>
      </c>
      <c r="D327" s="119">
        <v>0</v>
      </c>
      <c r="E327" s="119">
        <v>0</v>
      </c>
      <c r="F327" s="119">
        <v>0</v>
      </c>
      <c r="G327" s="119">
        <v>0</v>
      </c>
      <c r="H327" s="119">
        <v>0</v>
      </c>
      <c r="I327" s="120">
        <v>40898</v>
      </c>
      <c r="J327" s="119">
        <v>0</v>
      </c>
      <c r="K327" s="119">
        <v>0</v>
      </c>
      <c r="L327" s="119">
        <v>72202</v>
      </c>
      <c r="M327" s="119">
        <v>0</v>
      </c>
      <c r="N327" s="119">
        <v>72202</v>
      </c>
    </row>
    <row r="328" spans="1:14" ht="15.75" thickBot="1" x14ac:dyDescent="0.3">
      <c r="A328" s="44" t="s">
        <v>1171</v>
      </c>
      <c r="B328" s="107" t="s">
        <v>1172</v>
      </c>
      <c r="C328" s="118" t="s">
        <v>822</v>
      </c>
      <c r="D328" s="119">
        <v>0</v>
      </c>
      <c r="E328" s="119">
        <v>0</v>
      </c>
      <c r="F328" s="119">
        <v>0</v>
      </c>
      <c r="G328" s="119">
        <v>0</v>
      </c>
      <c r="H328" s="119">
        <v>0</v>
      </c>
      <c r="I328" s="120">
        <v>41786</v>
      </c>
      <c r="J328" s="119">
        <v>0</v>
      </c>
      <c r="K328" s="119">
        <v>97478</v>
      </c>
      <c r="L328" s="119">
        <v>0</v>
      </c>
      <c r="M328" s="119">
        <v>0</v>
      </c>
      <c r="N328" s="119">
        <v>97478</v>
      </c>
    </row>
    <row r="329" spans="1:14" ht="15.75" thickBot="1" x14ac:dyDescent="0.3">
      <c r="A329" s="44" t="s">
        <v>1215</v>
      </c>
      <c r="B329" s="107" t="s">
        <v>1216</v>
      </c>
      <c r="C329" s="118" t="s">
        <v>822</v>
      </c>
      <c r="D329" s="119">
        <v>0</v>
      </c>
      <c r="E329" s="119">
        <v>0</v>
      </c>
      <c r="F329" s="119">
        <v>0</v>
      </c>
      <c r="G329" s="119">
        <v>0</v>
      </c>
      <c r="H329" s="119">
        <v>0</v>
      </c>
      <c r="I329" s="120">
        <v>40771</v>
      </c>
      <c r="J329" s="119">
        <v>36100</v>
      </c>
      <c r="K329" s="119">
        <v>0</v>
      </c>
      <c r="L329" s="119">
        <v>0</v>
      </c>
      <c r="M329" s="119">
        <v>15846</v>
      </c>
      <c r="N329" s="119">
        <v>51946</v>
      </c>
    </row>
    <row r="330" spans="1:14" ht="15.75" thickBot="1" x14ac:dyDescent="0.3">
      <c r="A330" s="44" t="s">
        <v>1221</v>
      </c>
      <c r="B330" s="107" t="s">
        <v>1222</v>
      </c>
      <c r="C330" s="118" t="s">
        <v>822</v>
      </c>
      <c r="D330" s="119">
        <v>0</v>
      </c>
      <c r="E330" s="119">
        <v>0</v>
      </c>
      <c r="F330" s="119">
        <v>0</v>
      </c>
      <c r="G330" s="119">
        <v>0</v>
      </c>
      <c r="H330" s="119">
        <v>0</v>
      </c>
      <c r="I330" s="120">
        <v>38144</v>
      </c>
      <c r="J330" s="119">
        <v>38000</v>
      </c>
      <c r="K330" s="119">
        <v>185</v>
      </c>
      <c r="L330" s="119">
        <v>16679.669999999998</v>
      </c>
      <c r="M330" s="119">
        <v>0</v>
      </c>
      <c r="N330" s="119">
        <v>54864.67</v>
      </c>
    </row>
    <row r="331" spans="1:14" ht="15.75" thickBot="1" x14ac:dyDescent="0.3">
      <c r="A331" s="44" t="s">
        <v>1231</v>
      </c>
      <c r="B331" s="107" t="s">
        <v>1232</v>
      </c>
      <c r="C331" s="118" t="s">
        <v>822</v>
      </c>
      <c r="D331" s="119">
        <v>0</v>
      </c>
      <c r="E331" s="119">
        <v>0</v>
      </c>
      <c r="F331" s="119">
        <v>0</v>
      </c>
      <c r="G331" s="119">
        <v>0</v>
      </c>
      <c r="H331" s="119">
        <v>0</v>
      </c>
      <c r="I331" s="120">
        <v>35540</v>
      </c>
      <c r="J331" s="119">
        <v>12370</v>
      </c>
      <c r="K331" s="119">
        <v>49524</v>
      </c>
      <c r="L331" s="119">
        <v>106707</v>
      </c>
      <c r="M331" s="119">
        <v>0</v>
      </c>
      <c r="N331" s="119">
        <v>168601</v>
      </c>
    </row>
    <row r="332" spans="1:14" ht="15.75" thickBot="1" x14ac:dyDescent="0.3">
      <c r="A332" s="44" t="s">
        <v>1247</v>
      </c>
      <c r="B332" s="107" t="s">
        <v>1248</v>
      </c>
      <c r="C332" s="118" t="s">
        <v>822</v>
      </c>
      <c r="D332" s="119">
        <v>0</v>
      </c>
      <c r="E332" s="119">
        <v>0</v>
      </c>
      <c r="F332" s="119">
        <v>0</v>
      </c>
      <c r="G332" s="119">
        <v>0</v>
      </c>
      <c r="H332" s="119">
        <v>0</v>
      </c>
      <c r="I332" s="120">
        <v>29694</v>
      </c>
      <c r="J332" s="119">
        <v>0</v>
      </c>
      <c r="K332" s="119">
        <v>0</v>
      </c>
      <c r="L332" s="119">
        <v>0</v>
      </c>
      <c r="M332" s="119">
        <v>0</v>
      </c>
      <c r="N332" s="119">
        <v>0</v>
      </c>
    </row>
    <row r="333" spans="1:14" ht="15.75" thickBot="1" x14ac:dyDescent="0.3">
      <c r="A333" s="44" t="s">
        <v>1267</v>
      </c>
      <c r="B333" s="107" t="s">
        <v>1268</v>
      </c>
      <c r="C333" s="118" t="s">
        <v>822</v>
      </c>
      <c r="D333" s="119">
        <v>0</v>
      </c>
      <c r="E333" s="119">
        <v>0</v>
      </c>
      <c r="F333" s="119">
        <v>0</v>
      </c>
      <c r="G333" s="119">
        <v>0</v>
      </c>
      <c r="H333" s="119">
        <v>0</v>
      </c>
      <c r="I333" s="120">
        <v>28646</v>
      </c>
      <c r="J333" s="119">
        <v>0</v>
      </c>
      <c r="K333" s="119">
        <v>15989</v>
      </c>
      <c r="L333" s="119">
        <v>0</v>
      </c>
      <c r="M333" s="119">
        <v>0</v>
      </c>
      <c r="N333" s="119">
        <v>15989</v>
      </c>
    </row>
    <row r="334" spans="1:14" ht="15.75" thickBot="1" x14ac:dyDescent="0.3">
      <c r="A334" s="44" t="s">
        <v>1323</v>
      </c>
      <c r="B334" s="107" t="s">
        <v>1324</v>
      </c>
      <c r="C334" s="118" t="s">
        <v>822</v>
      </c>
      <c r="D334" s="119">
        <v>0</v>
      </c>
      <c r="E334" s="119">
        <v>0</v>
      </c>
      <c r="F334" s="119">
        <v>0</v>
      </c>
      <c r="G334" s="119">
        <v>0</v>
      </c>
      <c r="H334" s="119">
        <v>0</v>
      </c>
      <c r="I334" s="120">
        <v>34467</v>
      </c>
      <c r="J334" s="119">
        <v>23521</v>
      </c>
      <c r="K334" s="119">
        <v>18899</v>
      </c>
      <c r="L334" s="119">
        <v>102695</v>
      </c>
      <c r="M334" s="119">
        <v>4517</v>
      </c>
      <c r="N334" s="119">
        <v>149632</v>
      </c>
    </row>
    <row r="335" spans="1:14" ht="15.75" thickBot="1" x14ac:dyDescent="0.3">
      <c r="A335" s="44" t="s">
        <v>1329</v>
      </c>
      <c r="B335" s="107" t="s">
        <v>1330</v>
      </c>
      <c r="C335" s="118" t="s">
        <v>822</v>
      </c>
      <c r="D335" s="119">
        <v>0</v>
      </c>
      <c r="E335" s="119">
        <v>0</v>
      </c>
      <c r="F335" s="119">
        <v>0</v>
      </c>
      <c r="G335" s="119">
        <v>0</v>
      </c>
      <c r="H335" s="119">
        <v>0</v>
      </c>
      <c r="I335" s="120">
        <v>29319</v>
      </c>
      <c r="J335" s="121">
        <v>0</v>
      </c>
      <c r="K335" s="121">
        <v>0</v>
      </c>
      <c r="L335" s="121">
        <v>0</v>
      </c>
      <c r="M335" s="121">
        <v>0</v>
      </c>
      <c r="N335" s="121">
        <v>0</v>
      </c>
    </row>
    <row r="336" spans="1:14" ht="15.75" thickBot="1" x14ac:dyDescent="0.3">
      <c r="A336" s="44" t="s">
        <v>1335</v>
      </c>
      <c r="B336" s="107" t="s">
        <v>1336</v>
      </c>
      <c r="C336" s="118" t="s">
        <v>822</v>
      </c>
      <c r="D336" s="119">
        <v>0</v>
      </c>
      <c r="E336" s="119">
        <v>0</v>
      </c>
      <c r="F336" s="119">
        <v>0</v>
      </c>
      <c r="G336" s="119">
        <v>0</v>
      </c>
      <c r="H336" s="119">
        <v>0</v>
      </c>
      <c r="I336" s="120">
        <v>35394</v>
      </c>
      <c r="J336" s="119">
        <v>31037</v>
      </c>
      <c r="K336" s="119">
        <v>3578</v>
      </c>
      <c r="L336" s="119">
        <v>4930</v>
      </c>
      <c r="M336" s="119">
        <v>0</v>
      </c>
      <c r="N336" s="119">
        <v>39545</v>
      </c>
    </row>
    <row r="337" spans="1:14" ht="15.75" thickBot="1" x14ac:dyDescent="0.3">
      <c r="A337" s="44" t="s">
        <v>1363</v>
      </c>
      <c r="B337" s="107" t="s">
        <v>1364</v>
      </c>
      <c r="C337" s="118" t="s">
        <v>822</v>
      </c>
      <c r="D337" s="119">
        <v>0</v>
      </c>
      <c r="E337" s="119">
        <v>0</v>
      </c>
      <c r="F337" s="119">
        <v>19264</v>
      </c>
      <c r="G337" s="119">
        <v>0</v>
      </c>
      <c r="H337" s="119">
        <v>19264</v>
      </c>
      <c r="I337" s="120">
        <v>36441</v>
      </c>
      <c r="J337" s="119">
        <v>0</v>
      </c>
      <c r="K337" s="119">
        <v>14890</v>
      </c>
      <c r="L337" s="119">
        <v>1455950</v>
      </c>
      <c r="M337" s="119">
        <v>0</v>
      </c>
      <c r="N337" s="119">
        <v>1470840</v>
      </c>
    </row>
    <row r="338" spans="1:14" ht="15.75" thickBot="1" x14ac:dyDescent="0.3">
      <c r="A338" s="44" t="s">
        <v>1373</v>
      </c>
      <c r="B338" s="107" t="s">
        <v>1374</v>
      </c>
      <c r="C338" s="118" t="s">
        <v>822</v>
      </c>
      <c r="D338" s="119">
        <v>0</v>
      </c>
      <c r="E338" s="119">
        <v>0</v>
      </c>
      <c r="F338" s="119">
        <v>0</v>
      </c>
      <c r="G338" s="119">
        <v>0</v>
      </c>
      <c r="H338" s="119">
        <v>0</v>
      </c>
      <c r="I338" s="120">
        <v>36656</v>
      </c>
      <c r="J338" s="119">
        <v>0</v>
      </c>
      <c r="K338" s="119">
        <v>0</v>
      </c>
      <c r="L338" s="119">
        <v>0</v>
      </c>
      <c r="M338" s="119">
        <v>0</v>
      </c>
      <c r="N338" s="119">
        <v>0</v>
      </c>
    </row>
    <row r="339" spans="1:14" ht="15.75" thickBot="1" x14ac:dyDescent="0.3">
      <c r="A339" s="44" t="s">
        <v>1401</v>
      </c>
      <c r="B339" s="107" t="s">
        <v>1402</v>
      </c>
      <c r="C339" s="118" t="s">
        <v>822</v>
      </c>
      <c r="D339" s="119">
        <v>0</v>
      </c>
      <c r="E339" s="119">
        <v>0</v>
      </c>
      <c r="F339" s="119">
        <v>0</v>
      </c>
      <c r="G339" s="119">
        <v>0</v>
      </c>
      <c r="H339" s="119">
        <v>0</v>
      </c>
      <c r="I339" s="120">
        <v>48362</v>
      </c>
      <c r="J339" s="121">
        <v>0</v>
      </c>
      <c r="K339" s="121">
        <v>0</v>
      </c>
      <c r="L339" s="121">
        <v>0</v>
      </c>
      <c r="M339" s="119">
        <v>220469</v>
      </c>
      <c r="N339" s="119">
        <v>220469</v>
      </c>
    </row>
    <row r="340" spans="1:14" ht="15.75" thickBot="1" x14ac:dyDescent="0.3">
      <c r="A340" s="44" t="s">
        <v>1425</v>
      </c>
      <c r="B340" s="107" t="s">
        <v>1426</v>
      </c>
      <c r="C340" s="118" t="s">
        <v>822</v>
      </c>
      <c r="D340" s="119">
        <v>0</v>
      </c>
      <c r="E340" s="119">
        <v>0</v>
      </c>
      <c r="F340" s="119">
        <v>0</v>
      </c>
      <c r="G340" s="119">
        <v>0</v>
      </c>
      <c r="H340" s="119">
        <v>0</v>
      </c>
      <c r="I340" s="120">
        <v>33839</v>
      </c>
      <c r="J340" s="119">
        <v>20625</v>
      </c>
      <c r="K340" s="119">
        <v>118734</v>
      </c>
      <c r="L340" s="119">
        <v>177860</v>
      </c>
      <c r="M340" s="119">
        <v>88089</v>
      </c>
      <c r="N340" s="119">
        <v>405308</v>
      </c>
    </row>
    <row r="341" spans="1:14" ht="15.75" thickBot="1" x14ac:dyDescent="0.3">
      <c r="A341" s="44" t="s">
        <v>1427</v>
      </c>
      <c r="B341" s="107" t="s">
        <v>1428</v>
      </c>
      <c r="C341" s="118" t="s">
        <v>822</v>
      </c>
      <c r="D341" s="119">
        <v>0</v>
      </c>
      <c r="E341" s="119">
        <v>0</v>
      </c>
      <c r="F341" s="119">
        <v>0</v>
      </c>
      <c r="G341" s="119">
        <v>0</v>
      </c>
      <c r="H341" s="119">
        <v>0</v>
      </c>
      <c r="I341" s="120">
        <v>39868</v>
      </c>
      <c r="J341" s="119">
        <v>0</v>
      </c>
      <c r="K341" s="119">
        <v>0</v>
      </c>
      <c r="L341" s="119">
        <v>11985</v>
      </c>
      <c r="M341" s="119">
        <v>0</v>
      </c>
      <c r="N341" s="119">
        <v>11985</v>
      </c>
    </row>
    <row r="342" spans="1:14" ht="15.75" thickBot="1" x14ac:dyDescent="0.3">
      <c r="A342" s="44" t="s">
        <v>1431</v>
      </c>
      <c r="B342" s="107" t="s">
        <v>1432</v>
      </c>
      <c r="C342" s="118" t="s">
        <v>822</v>
      </c>
      <c r="D342" s="119">
        <v>0</v>
      </c>
      <c r="E342" s="119">
        <v>0</v>
      </c>
      <c r="F342" s="119">
        <v>0</v>
      </c>
      <c r="G342" s="119">
        <v>0</v>
      </c>
      <c r="H342" s="119">
        <v>0</v>
      </c>
      <c r="I342" s="120">
        <v>47299</v>
      </c>
      <c r="J342" s="119">
        <v>86134</v>
      </c>
      <c r="K342" s="119">
        <v>4920</v>
      </c>
      <c r="L342" s="119">
        <v>60988</v>
      </c>
      <c r="M342" s="121">
        <v>0</v>
      </c>
      <c r="N342" s="119">
        <v>152042</v>
      </c>
    </row>
    <row r="343" spans="1:14" ht="15.75" thickBot="1" x14ac:dyDescent="0.3">
      <c r="A343" s="44" t="s">
        <v>1449</v>
      </c>
      <c r="B343" s="107" t="s">
        <v>1450</v>
      </c>
      <c r="C343" s="118" t="s">
        <v>822</v>
      </c>
      <c r="D343" s="119">
        <v>0</v>
      </c>
      <c r="E343" s="119">
        <v>0</v>
      </c>
      <c r="F343" s="119">
        <v>0</v>
      </c>
      <c r="G343" s="119">
        <v>0</v>
      </c>
      <c r="H343" s="119">
        <v>0</v>
      </c>
      <c r="I343" s="120">
        <v>26376</v>
      </c>
      <c r="J343" s="121">
        <v>0</v>
      </c>
      <c r="K343" s="121">
        <v>0</v>
      </c>
      <c r="L343" s="121">
        <v>0</v>
      </c>
      <c r="M343" s="119">
        <v>300443</v>
      </c>
      <c r="N343" s="119">
        <v>300443</v>
      </c>
    </row>
    <row r="344" spans="1:14" ht="15.75" thickBot="1" x14ac:dyDescent="0.3">
      <c r="A344" s="44" t="s">
        <v>1474</v>
      </c>
      <c r="B344" s="107" t="s">
        <v>1475</v>
      </c>
      <c r="C344" s="118" t="s">
        <v>822</v>
      </c>
      <c r="D344" s="119">
        <v>0</v>
      </c>
      <c r="E344" s="119">
        <v>0</v>
      </c>
      <c r="F344" s="119">
        <v>0</v>
      </c>
      <c r="G344" s="119">
        <v>0</v>
      </c>
      <c r="H344" s="119">
        <v>0</v>
      </c>
      <c r="I344" s="120">
        <v>27920</v>
      </c>
      <c r="J344" s="119">
        <v>0</v>
      </c>
      <c r="K344" s="119">
        <v>0</v>
      </c>
      <c r="L344" s="119">
        <v>0</v>
      </c>
      <c r="M344" s="119">
        <v>0</v>
      </c>
      <c r="N344" s="119">
        <v>0</v>
      </c>
    </row>
    <row r="345" spans="1:14" ht="15.75" thickBot="1" x14ac:dyDescent="0.3">
      <c r="A345" s="44" t="s">
        <v>1484</v>
      </c>
      <c r="B345" s="107" t="s">
        <v>1485</v>
      </c>
      <c r="C345" s="118" t="s">
        <v>822</v>
      </c>
      <c r="D345" s="119">
        <v>0</v>
      </c>
      <c r="E345" s="119">
        <v>0</v>
      </c>
      <c r="F345" s="119">
        <v>0</v>
      </c>
      <c r="G345" s="119">
        <v>0</v>
      </c>
      <c r="H345" s="119">
        <v>0</v>
      </c>
      <c r="I345" s="120">
        <v>30047</v>
      </c>
      <c r="J345" s="119">
        <v>0</v>
      </c>
      <c r="K345" s="119">
        <v>330</v>
      </c>
      <c r="L345" s="119">
        <v>0</v>
      </c>
      <c r="M345" s="119">
        <v>0</v>
      </c>
      <c r="N345" s="119">
        <v>330</v>
      </c>
    </row>
    <row r="346" spans="1:14" ht="15.75" thickBot="1" x14ac:dyDescent="0.3">
      <c r="A346" s="44" t="s">
        <v>1502</v>
      </c>
      <c r="B346" s="107" t="s">
        <v>1503</v>
      </c>
      <c r="C346" s="118" t="s">
        <v>822</v>
      </c>
      <c r="D346" s="119">
        <v>0</v>
      </c>
      <c r="E346" s="119">
        <v>0</v>
      </c>
      <c r="F346" s="119">
        <v>0</v>
      </c>
      <c r="G346" s="119">
        <v>0</v>
      </c>
      <c r="H346" s="119">
        <v>0</v>
      </c>
      <c r="I346" s="120">
        <v>43031</v>
      </c>
      <c r="J346" s="119">
        <v>4500</v>
      </c>
      <c r="K346" s="119">
        <v>1600</v>
      </c>
      <c r="L346" s="119">
        <v>41000</v>
      </c>
      <c r="M346" s="119">
        <v>0</v>
      </c>
      <c r="N346" s="119">
        <v>47100</v>
      </c>
    </row>
    <row r="347" spans="1:14" ht="15.75" thickBot="1" x14ac:dyDescent="0.3">
      <c r="A347" s="44" t="s">
        <v>1546</v>
      </c>
      <c r="B347" s="107" t="s">
        <v>1547</v>
      </c>
      <c r="C347" s="118" t="s">
        <v>822</v>
      </c>
      <c r="D347" s="119">
        <v>0</v>
      </c>
      <c r="E347" s="119">
        <v>0</v>
      </c>
      <c r="F347" s="119">
        <v>0</v>
      </c>
      <c r="G347" s="119">
        <v>0</v>
      </c>
      <c r="H347" s="119">
        <v>0</v>
      </c>
      <c r="I347" s="120">
        <v>44265</v>
      </c>
      <c r="J347" s="119">
        <v>38689</v>
      </c>
      <c r="K347" s="119">
        <v>29703</v>
      </c>
      <c r="L347" s="119">
        <v>16300</v>
      </c>
      <c r="M347" s="119">
        <v>8475</v>
      </c>
      <c r="N347" s="119">
        <v>93167</v>
      </c>
    </row>
    <row r="348" spans="1:14" ht="15.75" thickBot="1" x14ac:dyDescent="0.3">
      <c r="A348" s="44" t="s">
        <v>1586</v>
      </c>
      <c r="B348" s="107" t="s">
        <v>1587</v>
      </c>
      <c r="C348" s="118" t="s">
        <v>822</v>
      </c>
      <c r="D348" s="119">
        <v>0</v>
      </c>
      <c r="E348" s="119">
        <v>0</v>
      </c>
      <c r="F348" s="119">
        <v>0</v>
      </c>
      <c r="G348" s="119">
        <v>0</v>
      </c>
      <c r="H348" s="119">
        <v>0</v>
      </c>
      <c r="I348" s="120">
        <v>30019</v>
      </c>
      <c r="J348" s="119">
        <v>0</v>
      </c>
      <c r="K348" s="119">
        <v>0</v>
      </c>
      <c r="L348" s="119">
        <v>0</v>
      </c>
      <c r="M348" s="119">
        <v>0</v>
      </c>
      <c r="N348" s="119">
        <v>0</v>
      </c>
    </row>
    <row r="349" spans="1:14" ht="15.75" thickBot="1" x14ac:dyDescent="0.3">
      <c r="A349" s="44" t="s">
        <v>835</v>
      </c>
      <c r="B349" s="107" t="s">
        <v>836</v>
      </c>
      <c r="C349" s="118" t="s">
        <v>837</v>
      </c>
      <c r="D349" s="119">
        <v>0</v>
      </c>
      <c r="E349" s="119">
        <v>0</v>
      </c>
      <c r="F349" s="119">
        <v>0</v>
      </c>
      <c r="G349" s="119">
        <v>0</v>
      </c>
      <c r="H349" s="119">
        <v>0</v>
      </c>
      <c r="I349" s="120">
        <v>163590</v>
      </c>
      <c r="J349" s="119">
        <v>0</v>
      </c>
      <c r="K349" s="119">
        <v>0</v>
      </c>
      <c r="L349" s="119">
        <v>138458</v>
      </c>
      <c r="M349" s="119">
        <v>86883</v>
      </c>
      <c r="N349" s="119">
        <v>225341</v>
      </c>
    </row>
    <row r="350" spans="1:14" ht="15.75" thickBot="1" x14ac:dyDescent="0.3">
      <c r="A350" s="44" t="s">
        <v>861</v>
      </c>
      <c r="B350" s="107" t="s">
        <v>862</v>
      </c>
      <c r="C350" s="118" t="s">
        <v>837</v>
      </c>
      <c r="D350" s="119">
        <v>0</v>
      </c>
      <c r="E350" s="119">
        <v>0</v>
      </c>
      <c r="F350" s="119">
        <v>0</v>
      </c>
      <c r="G350" s="119">
        <v>0</v>
      </c>
      <c r="H350" s="119">
        <v>0</v>
      </c>
      <c r="I350" s="120">
        <v>107681</v>
      </c>
      <c r="J350" s="119">
        <v>0</v>
      </c>
      <c r="K350" s="119">
        <v>0</v>
      </c>
      <c r="L350" s="119">
        <v>0</v>
      </c>
      <c r="M350" s="119">
        <v>0</v>
      </c>
      <c r="N350" s="119">
        <v>0</v>
      </c>
    </row>
    <row r="351" spans="1:14" ht="15.75" thickBot="1" x14ac:dyDescent="0.3">
      <c r="A351" s="44" t="s">
        <v>923</v>
      </c>
      <c r="B351" s="107" t="s">
        <v>924</v>
      </c>
      <c r="C351" s="118" t="s">
        <v>837</v>
      </c>
      <c r="D351" s="119">
        <v>0</v>
      </c>
      <c r="E351" s="119">
        <v>0</v>
      </c>
      <c r="F351" s="119">
        <v>0</v>
      </c>
      <c r="G351" s="119">
        <v>0</v>
      </c>
      <c r="H351" s="119">
        <v>0</v>
      </c>
      <c r="I351" s="120">
        <v>90173</v>
      </c>
      <c r="J351" s="119">
        <v>122482</v>
      </c>
      <c r="K351" s="119">
        <v>241280</v>
      </c>
      <c r="L351" s="119">
        <v>1364762</v>
      </c>
      <c r="M351" s="119">
        <v>11650</v>
      </c>
      <c r="N351" s="119">
        <v>1740174</v>
      </c>
    </row>
    <row r="352" spans="1:14" ht="15.75" thickBot="1" x14ac:dyDescent="0.3">
      <c r="A352" s="44" t="s">
        <v>925</v>
      </c>
      <c r="B352" s="107" t="s">
        <v>926</v>
      </c>
      <c r="C352" s="118" t="s">
        <v>837</v>
      </c>
      <c r="D352" s="119">
        <v>0</v>
      </c>
      <c r="E352" s="119">
        <v>0</v>
      </c>
      <c r="F352" s="119">
        <v>0</v>
      </c>
      <c r="G352" s="119">
        <v>0</v>
      </c>
      <c r="H352" s="119">
        <v>0</v>
      </c>
      <c r="I352" s="120">
        <v>238859</v>
      </c>
      <c r="J352" s="119">
        <v>328871</v>
      </c>
      <c r="K352" s="119">
        <v>20869</v>
      </c>
      <c r="L352" s="119">
        <v>181588</v>
      </c>
      <c r="M352" s="119">
        <v>52039</v>
      </c>
      <c r="N352" s="119">
        <v>583367</v>
      </c>
    </row>
    <row r="353" spans="1:14" ht="15.75" thickBot="1" x14ac:dyDescent="0.3">
      <c r="A353" s="44" t="s">
        <v>955</v>
      </c>
      <c r="B353" s="107" t="s">
        <v>956</v>
      </c>
      <c r="C353" s="118" t="s">
        <v>837</v>
      </c>
      <c r="D353" s="119">
        <v>0</v>
      </c>
      <c r="E353" s="119">
        <v>0</v>
      </c>
      <c r="F353" s="119">
        <v>0</v>
      </c>
      <c r="G353" s="119">
        <v>0</v>
      </c>
      <c r="H353" s="119">
        <v>0</v>
      </c>
      <c r="I353" s="120">
        <v>51640</v>
      </c>
      <c r="J353" s="119">
        <v>25104</v>
      </c>
      <c r="K353" s="119">
        <v>0</v>
      </c>
      <c r="L353" s="119">
        <v>27520</v>
      </c>
      <c r="M353" s="119">
        <v>0</v>
      </c>
      <c r="N353" s="119">
        <v>52624</v>
      </c>
    </row>
    <row r="354" spans="1:14" ht="15.75" thickBot="1" x14ac:dyDescent="0.3">
      <c r="A354" s="44" t="s">
        <v>961</v>
      </c>
      <c r="B354" s="107" t="s">
        <v>962</v>
      </c>
      <c r="C354" s="118" t="s">
        <v>837</v>
      </c>
      <c r="D354" s="119">
        <v>0</v>
      </c>
      <c r="E354" s="119">
        <v>0</v>
      </c>
      <c r="F354" s="119">
        <v>0</v>
      </c>
      <c r="G354" s="119">
        <v>0</v>
      </c>
      <c r="H354" s="119">
        <v>0</v>
      </c>
      <c r="I354" s="120">
        <v>169833</v>
      </c>
      <c r="J354" s="119">
        <v>211127</v>
      </c>
      <c r="K354" s="119">
        <v>0</v>
      </c>
      <c r="L354" s="119">
        <v>0</v>
      </c>
      <c r="M354" s="119">
        <v>0</v>
      </c>
      <c r="N354" s="119">
        <v>211127</v>
      </c>
    </row>
    <row r="355" spans="1:14" ht="15.75" thickBot="1" x14ac:dyDescent="0.3">
      <c r="A355" s="44" t="s">
        <v>995</v>
      </c>
      <c r="B355" s="107" t="s">
        <v>996</v>
      </c>
      <c r="C355" s="118" t="s">
        <v>837</v>
      </c>
      <c r="D355" s="119">
        <v>0</v>
      </c>
      <c r="E355" s="119">
        <v>0</v>
      </c>
      <c r="F355" s="119">
        <v>0</v>
      </c>
      <c r="G355" s="119">
        <v>0</v>
      </c>
      <c r="H355" s="119">
        <v>0</v>
      </c>
      <c r="I355" s="120">
        <v>57774</v>
      </c>
      <c r="J355" s="119">
        <v>0</v>
      </c>
      <c r="K355" s="119">
        <v>0</v>
      </c>
      <c r="L355" s="119">
        <v>541893</v>
      </c>
      <c r="M355" s="119">
        <v>0</v>
      </c>
      <c r="N355" s="119">
        <v>541893</v>
      </c>
    </row>
    <row r="356" spans="1:14" ht="15.75" thickBot="1" x14ac:dyDescent="0.3">
      <c r="A356" s="44" t="s">
        <v>997</v>
      </c>
      <c r="B356" s="107" t="s">
        <v>998</v>
      </c>
      <c r="C356" s="118" t="s">
        <v>837</v>
      </c>
      <c r="D356" s="119">
        <v>0</v>
      </c>
      <c r="E356" s="119">
        <v>0</v>
      </c>
      <c r="F356" s="119">
        <v>0</v>
      </c>
      <c r="G356" s="119">
        <v>0</v>
      </c>
      <c r="H356" s="119">
        <v>0</v>
      </c>
      <c r="I356" s="120">
        <v>98153</v>
      </c>
      <c r="J356" s="119">
        <v>0</v>
      </c>
      <c r="K356" s="121">
        <v>0</v>
      </c>
      <c r="L356" s="119">
        <v>17319</v>
      </c>
      <c r="M356" s="121">
        <v>0</v>
      </c>
      <c r="N356" s="119">
        <v>17319</v>
      </c>
    </row>
    <row r="357" spans="1:14" ht="15.75" thickBot="1" x14ac:dyDescent="0.3">
      <c r="A357" s="44" t="s">
        <v>1005</v>
      </c>
      <c r="B357" s="107" t="s">
        <v>1006</v>
      </c>
      <c r="C357" s="118" t="s">
        <v>837</v>
      </c>
      <c r="D357" s="119">
        <v>0</v>
      </c>
      <c r="E357" s="119">
        <v>0</v>
      </c>
      <c r="F357" s="119">
        <v>0</v>
      </c>
      <c r="G357" s="119">
        <v>0</v>
      </c>
      <c r="H357" s="119">
        <v>0</v>
      </c>
      <c r="I357" s="120">
        <v>713777</v>
      </c>
      <c r="J357" s="119">
        <v>0</v>
      </c>
      <c r="K357" s="119">
        <v>0</v>
      </c>
      <c r="L357" s="119">
        <v>0</v>
      </c>
      <c r="M357" s="119">
        <v>0</v>
      </c>
      <c r="N357" s="119">
        <v>0</v>
      </c>
    </row>
    <row r="358" spans="1:14" ht="15.75" thickBot="1" x14ac:dyDescent="0.3">
      <c r="A358" s="44" t="s">
        <v>1051</v>
      </c>
      <c r="B358" s="107" t="s">
        <v>1052</v>
      </c>
      <c r="C358" s="118" t="s">
        <v>837</v>
      </c>
      <c r="D358" s="119">
        <v>0</v>
      </c>
      <c r="E358" s="119">
        <v>0</v>
      </c>
      <c r="F358" s="119">
        <v>0</v>
      </c>
      <c r="G358" s="119">
        <v>0</v>
      </c>
      <c r="H358" s="119">
        <v>0</v>
      </c>
      <c r="I358" s="120">
        <v>90112</v>
      </c>
      <c r="J358" s="119">
        <v>150127</v>
      </c>
      <c r="K358" s="119">
        <v>39243</v>
      </c>
      <c r="L358" s="119">
        <v>164593</v>
      </c>
      <c r="M358" s="119">
        <v>8249</v>
      </c>
      <c r="N358" s="119">
        <v>362212</v>
      </c>
    </row>
    <row r="359" spans="1:14" ht="15.75" thickBot="1" x14ac:dyDescent="0.3">
      <c r="A359" s="44" t="s">
        <v>1063</v>
      </c>
      <c r="B359" s="107" t="s">
        <v>1064</v>
      </c>
      <c r="C359" s="118" t="s">
        <v>837</v>
      </c>
      <c r="D359" s="119">
        <v>0</v>
      </c>
      <c r="E359" s="119">
        <v>0</v>
      </c>
      <c r="F359" s="119">
        <v>0</v>
      </c>
      <c r="G359" s="119">
        <v>0</v>
      </c>
      <c r="H359" s="119">
        <v>0</v>
      </c>
      <c r="I359" s="120">
        <v>102434</v>
      </c>
      <c r="J359" s="119">
        <v>53639</v>
      </c>
      <c r="K359" s="119">
        <v>7672</v>
      </c>
      <c r="L359" s="119">
        <v>32850</v>
      </c>
      <c r="M359" s="119">
        <v>68911</v>
      </c>
      <c r="N359" s="119">
        <v>163072</v>
      </c>
    </row>
    <row r="360" spans="1:14" ht="15.75" thickBot="1" x14ac:dyDescent="0.3">
      <c r="A360" s="44" t="s">
        <v>1089</v>
      </c>
      <c r="B360" s="107" t="s">
        <v>1090</v>
      </c>
      <c r="C360" s="118" t="s">
        <v>837</v>
      </c>
      <c r="D360" s="119">
        <v>0</v>
      </c>
      <c r="E360" s="119">
        <v>0</v>
      </c>
      <c r="F360" s="119">
        <v>0</v>
      </c>
      <c r="G360" s="119">
        <v>0</v>
      </c>
      <c r="H360" s="119">
        <v>0</v>
      </c>
      <c r="I360" s="120">
        <v>332567</v>
      </c>
      <c r="J360" s="119">
        <v>0</v>
      </c>
      <c r="K360" s="119">
        <v>30708</v>
      </c>
      <c r="L360" s="119">
        <v>0</v>
      </c>
      <c r="M360" s="119">
        <v>0</v>
      </c>
      <c r="N360" s="119">
        <v>30708</v>
      </c>
    </row>
    <row r="361" spans="1:14" ht="15.75" thickBot="1" x14ac:dyDescent="0.3">
      <c r="A361" s="44" t="s">
        <v>1103</v>
      </c>
      <c r="B361" s="107" t="s">
        <v>1104</v>
      </c>
      <c r="C361" s="118" t="s">
        <v>837</v>
      </c>
      <c r="D361" s="119">
        <v>0</v>
      </c>
      <c r="E361" s="119">
        <v>0</v>
      </c>
      <c r="F361" s="119">
        <v>0</v>
      </c>
      <c r="G361" s="119">
        <v>0</v>
      </c>
      <c r="H361" s="119">
        <v>0</v>
      </c>
      <c r="I361" s="120">
        <v>76707</v>
      </c>
      <c r="J361" s="119">
        <v>13940</v>
      </c>
      <c r="K361" s="119">
        <v>0</v>
      </c>
      <c r="L361" s="119">
        <v>75381</v>
      </c>
      <c r="M361" s="119">
        <v>84704</v>
      </c>
      <c r="N361" s="119">
        <v>174025</v>
      </c>
    </row>
    <row r="362" spans="1:14" ht="15.75" thickBot="1" x14ac:dyDescent="0.3">
      <c r="A362" s="44" t="s">
        <v>1107</v>
      </c>
      <c r="B362" s="107" t="s">
        <v>1108</v>
      </c>
      <c r="C362" s="118" t="s">
        <v>837</v>
      </c>
      <c r="D362" s="119">
        <v>0</v>
      </c>
      <c r="E362" s="119">
        <v>0</v>
      </c>
      <c r="F362" s="119">
        <v>1441106</v>
      </c>
      <c r="G362" s="119">
        <v>0</v>
      </c>
      <c r="H362" s="119">
        <v>1441106</v>
      </c>
      <c r="I362" s="120">
        <v>188040</v>
      </c>
      <c r="J362" s="119">
        <v>0</v>
      </c>
      <c r="K362" s="119">
        <v>127461</v>
      </c>
      <c r="L362" s="119">
        <v>1401543</v>
      </c>
      <c r="M362" s="119">
        <v>648791</v>
      </c>
      <c r="N362" s="119">
        <v>2177795</v>
      </c>
    </row>
    <row r="363" spans="1:14" ht="15.75" thickBot="1" x14ac:dyDescent="0.3">
      <c r="A363" s="44" t="s">
        <v>1111</v>
      </c>
      <c r="B363" s="107" t="s">
        <v>1112</v>
      </c>
      <c r="C363" s="118" t="s">
        <v>837</v>
      </c>
      <c r="D363" s="119">
        <v>0</v>
      </c>
      <c r="E363" s="119">
        <v>0</v>
      </c>
      <c r="F363" s="119">
        <v>0</v>
      </c>
      <c r="G363" s="119">
        <v>0</v>
      </c>
      <c r="H363" s="119">
        <v>0</v>
      </c>
      <c r="I363" s="120">
        <v>51133</v>
      </c>
      <c r="J363" s="121">
        <v>0</v>
      </c>
      <c r="K363" s="119">
        <v>323927</v>
      </c>
      <c r="L363" s="121">
        <v>0</v>
      </c>
      <c r="M363" s="121">
        <v>0</v>
      </c>
      <c r="N363" s="119">
        <v>323927</v>
      </c>
    </row>
    <row r="364" spans="1:14" ht="15.75" thickBot="1" x14ac:dyDescent="0.3">
      <c r="A364" s="44" t="s">
        <v>1137</v>
      </c>
      <c r="B364" s="107" t="s">
        <v>1138</v>
      </c>
      <c r="C364" s="118" t="s">
        <v>837</v>
      </c>
      <c r="D364" s="119">
        <v>0</v>
      </c>
      <c r="E364" s="119">
        <v>0</v>
      </c>
      <c r="F364" s="119">
        <v>0</v>
      </c>
      <c r="G364" s="119">
        <v>0</v>
      </c>
      <c r="H364" s="119">
        <v>0</v>
      </c>
      <c r="I364" s="120">
        <v>102423</v>
      </c>
      <c r="J364" s="121">
        <v>0</v>
      </c>
      <c r="K364" s="121">
        <v>0</v>
      </c>
      <c r="L364" s="119">
        <v>500000</v>
      </c>
      <c r="M364" s="119">
        <v>99345</v>
      </c>
      <c r="N364" s="119">
        <v>599345</v>
      </c>
    </row>
    <row r="365" spans="1:14" ht="15.75" thickBot="1" x14ac:dyDescent="0.3">
      <c r="A365" s="44" t="s">
        <v>1159</v>
      </c>
      <c r="B365" s="107" t="s">
        <v>1160</v>
      </c>
      <c r="C365" s="118" t="s">
        <v>837</v>
      </c>
      <c r="D365" s="119">
        <v>0</v>
      </c>
      <c r="E365" s="119">
        <v>0</v>
      </c>
      <c r="F365" s="119">
        <v>0</v>
      </c>
      <c r="G365" s="119">
        <v>8930</v>
      </c>
      <c r="H365" s="119">
        <v>8930</v>
      </c>
      <c r="I365" s="120">
        <v>52529</v>
      </c>
      <c r="J365" s="119">
        <v>0</v>
      </c>
      <c r="K365" s="119">
        <v>0</v>
      </c>
      <c r="L365" s="119">
        <v>0</v>
      </c>
      <c r="M365" s="119">
        <v>209450</v>
      </c>
      <c r="N365" s="119">
        <v>209450</v>
      </c>
    </row>
    <row r="366" spans="1:14" ht="15.75" thickBot="1" x14ac:dyDescent="0.3">
      <c r="A366" s="44" t="s">
        <v>1179</v>
      </c>
      <c r="B366" s="107" t="s">
        <v>1180</v>
      </c>
      <c r="C366" s="118" t="s">
        <v>837</v>
      </c>
      <c r="D366" s="119">
        <v>0</v>
      </c>
      <c r="E366" s="119">
        <v>0</v>
      </c>
      <c r="F366" s="119">
        <v>0</v>
      </c>
      <c r="G366" s="119">
        <v>0</v>
      </c>
      <c r="H366" s="119">
        <v>0</v>
      </c>
      <c r="I366" s="120">
        <v>160248</v>
      </c>
      <c r="J366" s="119">
        <v>54412</v>
      </c>
      <c r="K366" s="119">
        <v>0</v>
      </c>
      <c r="L366" s="119">
        <v>187999</v>
      </c>
      <c r="M366" s="119">
        <v>0</v>
      </c>
      <c r="N366" s="119">
        <v>242411</v>
      </c>
    </row>
    <row r="367" spans="1:14" ht="15.75" thickBot="1" x14ac:dyDescent="0.3">
      <c r="A367" s="44" t="s">
        <v>1187</v>
      </c>
      <c r="B367" s="107" t="s">
        <v>1188</v>
      </c>
      <c r="C367" s="118" t="s">
        <v>837</v>
      </c>
      <c r="D367" s="119">
        <v>0</v>
      </c>
      <c r="E367" s="119">
        <v>0</v>
      </c>
      <c r="F367" s="119">
        <v>0</v>
      </c>
      <c r="G367" s="119">
        <v>0</v>
      </c>
      <c r="H367" s="119">
        <v>0</v>
      </c>
      <c r="I367" s="120">
        <v>116445</v>
      </c>
      <c r="J367" s="119">
        <v>91602</v>
      </c>
      <c r="K367" s="119">
        <v>55451</v>
      </c>
      <c r="L367" s="119">
        <v>305273</v>
      </c>
      <c r="M367" s="119">
        <v>0</v>
      </c>
      <c r="N367" s="119">
        <v>452326</v>
      </c>
    </row>
    <row r="368" spans="1:14" ht="15.75" thickBot="1" x14ac:dyDescent="0.3">
      <c r="A368" s="44" t="s">
        <v>1191</v>
      </c>
      <c r="B368" s="107" t="s">
        <v>1192</v>
      </c>
      <c r="C368" s="118" t="s">
        <v>837</v>
      </c>
      <c r="D368" s="119">
        <v>0</v>
      </c>
      <c r="E368" s="119">
        <v>0</v>
      </c>
      <c r="F368" s="119">
        <v>0</v>
      </c>
      <c r="G368" s="119">
        <v>0</v>
      </c>
      <c r="H368" s="119">
        <v>0</v>
      </c>
      <c r="I368" s="120">
        <v>395660</v>
      </c>
      <c r="J368" s="119">
        <v>43421</v>
      </c>
      <c r="K368" s="119">
        <v>49534</v>
      </c>
      <c r="L368" s="119">
        <v>360838</v>
      </c>
      <c r="M368" s="119">
        <v>46432</v>
      </c>
      <c r="N368" s="119">
        <v>500225</v>
      </c>
    </row>
    <row r="369" spans="1:14" ht="15.75" thickBot="1" x14ac:dyDescent="0.3">
      <c r="A369" s="44" t="s">
        <v>1201</v>
      </c>
      <c r="B369" s="107" t="s">
        <v>1202</v>
      </c>
      <c r="C369" s="118" t="s">
        <v>837</v>
      </c>
      <c r="D369" s="119">
        <v>0</v>
      </c>
      <c r="E369" s="119">
        <v>0</v>
      </c>
      <c r="F369" s="119">
        <v>0</v>
      </c>
      <c r="G369" s="119">
        <v>0</v>
      </c>
      <c r="H369" s="119">
        <v>0</v>
      </c>
      <c r="I369" s="120">
        <v>60006</v>
      </c>
      <c r="J369" s="119">
        <v>17294</v>
      </c>
      <c r="K369" s="119">
        <v>17142</v>
      </c>
      <c r="L369" s="119">
        <v>0</v>
      </c>
      <c r="M369" s="119">
        <v>13200</v>
      </c>
      <c r="N369" s="119">
        <v>47636</v>
      </c>
    </row>
    <row r="370" spans="1:14" ht="15.75" thickBot="1" x14ac:dyDescent="0.3">
      <c r="A370" s="44" t="s">
        <v>1227</v>
      </c>
      <c r="B370" s="107" t="s">
        <v>1228</v>
      </c>
      <c r="C370" s="118" t="s">
        <v>837</v>
      </c>
      <c r="D370" s="119">
        <v>0</v>
      </c>
      <c r="E370" s="119">
        <v>0</v>
      </c>
      <c r="F370" s="119">
        <v>0</v>
      </c>
      <c r="G370" s="119">
        <v>0</v>
      </c>
      <c r="H370" s="119">
        <v>0</v>
      </c>
      <c r="I370" s="120">
        <v>96942</v>
      </c>
      <c r="J370" s="119">
        <v>1700</v>
      </c>
      <c r="K370" s="119">
        <v>13365</v>
      </c>
      <c r="L370" s="119">
        <v>59203</v>
      </c>
      <c r="M370" s="119">
        <v>0</v>
      </c>
      <c r="N370" s="119">
        <v>74268</v>
      </c>
    </row>
    <row r="371" spans="1:14" ht="15.75" thickBot="1" x14ac:dyDescent="0.3">
      <c r="A371" s="44" t="s">
        <v>1293</v>
      </c>
      <c r="B371" s="107" t="s">
        <v>1294</v>
      </c>
      <c r="C371" s="118" t="s">
        <v>837</v>
      </c>
      <c r="D371" s="119">
        <v>0</v>
      </c>
      <c r="E371" s="119">
        <v>0</v>
      </c>
      <c r="F371" s="119">
        <v>0</v>
      </c>
      <c r="G371" s="119">
        <v>0</v>
      </c>
      <c r="H371" s="119">
        <v>0</v>
      </c>
      <c r="I371" s="120">
        <v>149955</v>
      </c>
      <c r="J371" s="119">
        <v>225168</v>
      </c>
      <c r="K371" s="119">
        <v>333604</v>
      </c>
      <c r="L371" s="119">
        <v>141863</v>
      </c>
      <c r="M371" s="119">
        <v>573714</v>
      </c>
      <c r="N371" s="119">
        <v>1274349</v>
      </c>
    </row>
    <row r="372" spans="1:14" ht="15.75" thickBot="1" x14ac:dyDescent="0.3">
      <c r="A372" s="44" t="s">
        <v>1307</v>
      </c>
      <c r="B372" s="107" t="s">
        <v>1308</v>
      </c>
      <c r="C372" s="118" t="s">
        <v>837</v>
      </c>
      <c r="D372" s="119">
        <v>0</v>
      </c>
      <c r="E372" s="119">
        <v>0</v>
      </c>
      <c r="F372" s="119">
        <v>0</v>
      </c>
      <c r="G372" s="119">
        <v>0</v>
      </c>
      <c r="H372" s="119">
        <v>0</v>
      </c>
      <c r="I372" s="120">
        <v>105852</v>
      </c>
      <c r="J372" s="119">
        <v>131024</v>
      </c>
      <c r="K372" s="119">
        <v>71190</v>
      </c>
      <c r="L372" s="119">
        <v>13905</v>
      </c>
      <c r="M372" s="119">
        <v>58103</v>
      </c>
      <c r="N372" s="119">
        <v>274222</v>
      </c>
    </row>
    <row r="373" spans="1:14" ht="15.75" thickBot="1" x14ac:dyDescent="0.3">
      <c r="A373" s="44" t="s">
        <v>1327</v>
      </c>
      <c r="B373" s="107" t="s">
        <v>1328</v>
      </c>
      <c r="C373" s="118" t="s">
        <v>837</v>
      </c>
      <c r="D373" s="119">
        <v>0</v>
      </c>
      <c r="E373" s="119">
        <v>42429</v>
      </c>
      <c r="F373" s="119">
        <v>0</v>
      </c>
      <c r="G373" s="119">
        <v>0</v>
      </c>
      <c r="H373" s="119">
        <v>42429</v>
      </c>
      <c r="I373" s="120">
        <v>55374</v>
      </c>
      <c r="J373" s="119">
        <v>21031</v>
      </c>
      <c r="K373" s="119">
        <v>14049</v>
      </c>
      <c r="L373" s="119">
        <v>0</v>
      </c>
      <c r="M373" s="119">
        <v>0</v>
      </c>
      <c r="N373" s="119">
        <v>35080</v>
      </c>
    </row>
    <row r="374" spans="1:14" ht="15.75" thickBot="1" x14ac:dyDescent="0.3">
      <c r="A374" s="44" t="s">
        <v>1375</v>
      </c>
      <c r="B374" s="107" t="s">
        <v>1376</v>
      </c>
      <c r="C374" s="118" t="s">
        <v>837</v>
      </c>
      <c r="D374" s="119">
        <v>0</v>
      </c>
      <c r="E374" s="119">
        <v>0</v>
      </c>
      <c r="F374" s="119">
        <v>0</v>
      </c>
      <c r="G374" s="119">
        <v>0</v>
      </c>
      <c r="H374" s="119">
        <v>0</v>
      </c>
      <c r="I374" s="120">
        <v>59515</v>
      </c>
      <c r="J374" s="119">
        <v>0</v>
      </c>
      <c r="K374" s="119">
        <v>750</v>
      </c>
      <c r="L374" s="119">
        <v>0</v>
      </c>
      <c r="M374" s="119">
        <v>94410</v>
      </c>
      <c r="N374" s="119">
        <v>95160</v>
      </c>
    </row>
    <row r="375" spans="1:14" ht="15.75" thickBot="1" x14ac:dyDescent="0.3">
      <c r="A375" s="44" t="s">
        <v>1379</v>
      </c>
      <c r="B375" s="107" t="s">
        <v>1380</v>
      </c>
      <c r="C375" s="118" t="s">
        <v>837</v>
      </c>
      <c r="D375" s="119">
        <v>0</v>
      </c>
      <c r="E375" s="119">
        <v>0</v>
      </c>
      <c r="F375" s="119">
        <v>0</v>
      </c>
      <c r="G375" s="119">
        <v>0</v>
      </c>
      <c r="H375" s="119">
        <v>0</v>
      </c>
      <c r="I375" s="120">
        <v>52170</v>
      </c>
      <c r="J375" s="119">
        <v>18805</v>
      </c>
      <c r="K375" s="119">
        <v>5727</v>
      </c>
      <c r="L375" s="119">
        <v>1273</v>
      </c>
      <c r="M375" s="119">
        <v>0</v>
      </c>
      <c r="N375" s="119">
        <v>25805</v>
      </c>
    </row>
    <row r="376" spans="1:14" ht="15.75" thickBot="1" x14ac:dyDescent="0.3">
      <c r="A376" s="44" t="s">
        <v>1389</v>
      </c>
      <c r="B376" s="107" t="s">
        <v>1390</v>
      </c>
      <c r="C376" s="118" t="s">
        <v>837</v>
      </c>
      <c r="D376" s="119">
        <v>0</v>
      </c>
      <c r="E376" s="119">
        <v>0</v>
      </c>
      <c r="F376" s="119">
        <v>0</v>
      </c>
      <c r="G376" s="119">
        <v>2197834</v>
      </c>
      <c r="H376" s="119">
        <v>2197834</v>
      </c>
      <c r="I376" s="120">
        <v>124690</v>
      </c>
      <c r="J376" s="121">
        <v>0</v>
      </c>
      <c r="K376" s="121">
        <v>0</v>
      </c>
      <c r="L376" s="119">
        <v>2273596</v>
      </c>
      <c r="M376" s="121">
        <v>0</v>
      </c>
      <c r="N376" s="119">
        <v>2273596</v>
      </c>
    </row>
    <row r="377" spans="1:14" ht="15.75" thickBot="1" x14ac:dyDescent="0.3">
      <c r="A377" s="44" t="s">
        <v>1423</v>
      </c>
      <c r="B377" s="107" t="s">
        <v>1424</v>
      </c>
      <c r="C377" s="118" t="s">
        <v>837</v>
      </c>
      <c r="D377" s="119">
        <v>0</v>
      </c>
      <c r="E377" s="119">
        <v>0</v>
      </c>
      <c r="F377" s="119">
        <v>0</v>
      </c>
      <c r="G377" s="119">
        <v>0</v>
      </c>
      <c r="H377" s="119">
        <v>0</v>
      </c>
      <c r="I377" s="120">
        <v>100485</v>
      </c>
      <c r="J377" s="119">
        <v>0</v>
      </c>
      <c r="K377" s="119">
        <v>0</v>
      </c>
      <c r="L377" s="119">
        <v>0</v>
      </c>
      <c r="M377" s="119">
        <v>0</v>
      </c>
      <c r="N377" s="119">
        <v>0</v>
      </c>
    </row>
    <row r="378" spans="1:14" ht="15.75" thickBot="1" x14ac:dyDescent="0.3">
      <c r="A378" s="44" t="s">
        <v>1433</v>
      </c>
      <c r="B378" s="107" t="s">
        <v>1434</v>
      </c>
      <c r="C378" s="118" t="s">
        <v>837</v>
      </c>
      <c r="D378" s="119">
        <v>0</v>
      </c>
      <c r="E378" s="119">
        <v>0</v>
      </c>
      <c r="F378" s="119">
        <v>0</v>
      </c>
      <c r="G378" s="119">
        <v>0</v>
      </c>
      <c r="H378" s="119">
        <v>0</v>
      </c>
      <c r="I378" s="120">
        <v>57236</v>
      </c>
      <c r="J378" s="119">
        <v>0</v>
      </c>
      <c r="K378" s="119">
        <v>0</v>
      </c>
      <c r="L378" s="119">
        <v>196563</v>
      </c>
      <c r="M378" s="119">
        <v>0</v>
      </c>
      <c r="N378" s="119">
        <v>196563</v>
      </c>
    </row>
    <row r="379" spans="1:14" ht="15.75" thickBot="1" x14ac:dyDescent="0.3">
      <c r="A379" s="44" t="s">
        <v>1439</v>
      </c>
      <c r="B379" s="107" t="s">
        <v>1440</v>
      </c>
      <c r="C379" s="118" t="s">
        <v>837</v>
      </c>
      <c r="D379" s="119">
        <v>0</v>
      </c>
      <c r="E379" s="119">
        <v>0</v>
      </c>
      <c r="F379" s="119">
        <v>0</v>
      </c>
      <c r="G379" s="119">
        <v>0</v>
      </c>
      <c r="H379" s="119">
        <v>0</v>
      </c>
      <c r="I379" s="120">
        <v>160312</v>
      </c>
      <c r="J379" s="119">
        <v>165207</v>
      </c>
      <c r="K379" s="119">
        <v>38926</v>
      </c>
      <c r="L379" s="119">
        <v>0</v>
      </c>
      <c r="M379" s="119">
        <v>0</v>
      </c>
      <c r="N379" s="119">
        <v>204133</v>
      </c>
    </row>
    <row r="380" spans="1:14" ht="15.75" thickBot="1" x14ac:dyDescent="0.3">
      <c r="A380" s="44" t="s">
        <v>1441</v>
      </c>
      <c r="B380" s="107" t="s">
        <v>1442</v>
      </c>
      <c r="C380" s="118" t="s">
        <v>837</v>
      </c>
      <c r="D380" s="119">
        <v>0</v>
      </c>
      <c r="E380" s="119">
        <v>0</v>
      </c>
      <c r="F380" s="119">
        <v>5545</v>
      </c>
      <c r="G380" s="119">
        <v>0</v>
      </c>
      <c r="H380" s="119">
        <v>5545</v>
      </c>
      <c r="I380" s="120">
        <v>59715</v>
      </c>
      <c r="J380" s="119">
        <v>0</v>
      </c>
      <c r="K380" s="119">
        <v>5545</v>
      </c>
      <c r="L380" s="119">
        <v>0</v>
      </c>
      <c r="M380" s="119">
        <v>0</v>
      </c>
      <c r="N380" s="119">
        <v>5545</v>
      </c>
    </row>
    <row r="381" spans="1:14" ht="15.75" thickBot="1" x14ac:dyDescent="0.3">
      <c r="A381" s="44" t="s">
        <v>1470</v>
      </c>
      <c r="B381" s="107" t="s">
        <v>1471</v>
      </c>
      <c r="C381" s="118" t="s">
        <v>837</v>
      </c>
      <c r="D381" s="119">
        <v>0</v>
      </c>
      <c r="E381" s="119">
        <v>0</v>
      </c>
      <c r="F381" s="119">
        <v>78122</v>
      </c>
      <c r="G381" s="119">
        <v>0</v>
      </c>
      <c r="H381" s="119">
        <v>78122</v>
      </c>
      <c r="I381" s="120">
        <v>73804</v>
      </c>
      <c r="J381" s="119">
        <v>0</v>
      </c>
      <c r="K381" s="119">
        <v>15000</v>
      </c>
      <c r="L381" s="119">
        <v>63122</v>
      </c>
      <c r="M381" s="119">
        <v>0</v>
      </c>
      <c r="N381" s="119">
        <v>78122</v>
      </c>
    </row>
    <row r="382" spans="1:14" ht="15.75" thickBot="1" x14ac:dyDescent="0.3">
      <c r="A382" s="44" t="s">
        <v>1482</v>
      </c>
      <c r="B382" s="107" t="s">
        <v>1483</v>
      </c>
      <c r="C382" s="118" t="s">
        <v>837</v>
      </c>
      <c r="D382" s="119">
        <v>0</v>
      </c>
      <c r="E382" s="119">
        <v>0</v>
      </c>
      <c r="F382" s="119">
        <v>0</v>
      </c>
      <c r="G382" s="119">
        <v>0</v>
      </c>
      <c r="H382" s="119">
        <v>0</v>
      </c>
      <c r="I382" s="120">
        <v>75814</v>
      </c>
      <c r="J382" s="119">
        <v>0</v>
      </c>
      <c r="K382" s="119">
        <v>0</v>
      </c>
      <c r="L382" s="119">
        <v>2025950</v>
      </c>
      <c r="M382" s="119">
        <v>0</v>
      </c>
      <c r="N382" s="119">
        <v>2025950</v>
      </c>
    </row>
    <row r="383" spans="1:14" ht="15.75" thickBot="1" x14ac:dyDescent="0.3">
      <c r="A383" s="44" t="s">
        <v>1496</v>
      </c>
      <c r="B383" s="107" t="s">
        <v>1497</v>
      </c>
      <c r="C383" s="118" t="s">
        <v>837</v>
      </c>
      <c r="D383" s="119">
        <v>0</v>
      </c>
      <c r="E383" s="119">
        <v>0</v>
      </c>
      <c r="F383" s="119">
        <v>412705</v>
      </c>
      <c r="G383" s="119">
        <v>0</v>
      </c>
      <c r="H383" s="119">
        <v>412705</v>
      </c>
      <c r="I383" s="120">
        <v>129699</v>
      </c>
      <c r="J383" s="119">
        <v>5971</v>
      </c>
      <c r="K383" s="119">
        <v>2169</v>
      </c>
      <c r="L383" s="119">
        <v>404565</v>
      </c>
      <c r="M383" s="119">
        <v>0</v>
      </c>
      <c r="N383" s="119">
        <v>412705</v>
      </c>
    </row>
    <row r="384" spans="1:14" ht="15.75" thickBot="1" x14ac:dyDescent="0.3">
      <c r="A384" s="44" t="s">
        <v>1512</v>
      </c>
      <c r="B384" s="107" t="s">
        <v>1513</v>
      </c>
      <c r="C384" s="118" t="s">
        <v>837</v>
      </c>
      <c r="D384" s="119">
        <v>0</v>
      </c>
      <c r="E384" s="119">
        <v>0</v>
      </c>
      <c r="F384" s="119">
        <v>0</v>
      </c>
      <c r="G384" s="119">
        <v>0</v>
      </c>
      <c r="H384" s="119">
        <v>0</v>
      </c>
      <c r="I384" s="120">
        <v>63131</v>
      </c>
      <c r="J384" s="119">
        <v>0</v>
      </c>
      <c r="K384" s="119">
        <v>0</v>
      </c>
      <c r="L384" s="119">
        <v>93914</v>
      </c>
      <c r="M384" s="119">
        <v>0</v>
      </c>
      <c r="N384" s="119">
        <v>93914</v>
      </c>
    </row>
    <row r="385" spans="1:14" ht="15.75" thickBot="1" x14ac:dyDescent="0.3">
      <c r="A385" s="44" t="s">
        <v>1538</v>
      </c>
      <c r="B385" s="107" t="s">
        <v>1539</v>
      </c>
      <c r="C385" s="118" t="s">
        <v>837</v>
      </c>
      <c r="D385" s="119">
        <v>0</v>
      </c>
      <c r="E385" s="119">
        <v>0</v>
      </c>
      <c r="F385" s="119">
        <v>0</v>
      </c>
      <c r="G385" s="119">
        <v>0</v>
      </c>
      <c r="H385" s="119">
        <v>0</v>
      </c>
      <c r="I385" s="120">
        <v>97396</v>
      </c>
      <c r="J385" s="121">
        <v>0</v>
      </c>
      <c r="K385" s="119">
        <v>91409</v>
      </c>
      <c r="L385" s="121">
        <v>0</v>
      </c>
      <c r="M385" s="121">
        <v>0</v>
      </c>
      <c r="N385" s="119">
        <v>91409</v>
      </c>
    </row>
    <row r="386" spans="1:14" ht="15.75" thickBot="1" x14ac:dyDescent="0.3">
      <c r="A386" s="44" t="s">
        <v>1540</v>
      </c>
      <c r="B386" s="107" t="s">
        <v>1541</v>
      </c>
      <c r="C386" s="118" t="s">
        <v>837</v>
      </c>
      <c r="D386" s="119">
        <v>0</v>
      </c>
      <c r="E386" s="119">
        <v>0</v>
      </c>
      <c r="F386" s="119">
        <v>0</v>
      </c>
      <c r="G386" s="119">
        <v>0</v>
      </c>
      <c r="H386" s="119">
        <v>0</v>
      </c>
      <c r="I386" s="120">
        <v>72726</v>
      </c>
      <c r="J386" s="119">
        <v>11480</v>
      </c>
      <c r="K386" s="119">
        <v>1495</v>
      </c>
      <c r="L386" s="119">
        <v>10688</v>
      </c>
      <c r="M386" s="121">
        <v>0</v>
      </c>
      <c r="N386" s="119">
        <v>23663</v>
      </c>
    </row>
    <row r="387" spans="1:14" ht="15.75" thickBot="1" x14ac:dyDescent="0.3">
      <c r="A387" s="44" t="s">
        <v>1542</v>
      </c>
      <c r="B387" s="107" t="s">
        <v>1543</v>
      </c>
      <c r="C387" s="118" t="s">
        <v>837</v>
      </c>
      <c r="D387" s="119">
        <v>0</v>
      </c>
      <c r="E387" s="119">
        <v>0</v>
      </c>
      <c r="F387" s="119">
        <v>933000</v>
      </c>
      <c r="G387" s="119">
        <v>0</v>
      </c>
      <c r="H387" s="119">
        <v>933000</v>
      </c>
      <c r="I387" s="120">
        <v>80980</v>
      </c>
      <c r="J387" s="119">
        <v>0</v>
      </c>
      <c r="K387" s="119">
        <v>0</v>
      </c>
      <c r="L387" s="119">
        <v>41074</v>
      </c>
      <c r="M387" s="119">
        <v>298862</v>
      </c>
      <c r="N387" s="119">
        <v>339936</v>
      </c>
    </row>
    <row r="388" spans="1:14" ht="15.75" thickBot="1" x14ac:dyDescent="0.3">
      <c r="A388" s="44" t="s">
        <v>1564</v>
      </c>
      <c r="B388" s="107" t="s">
        <v>1565</v>
      </c>
      <c r="C388" s="118" t="s">
        <v>837</v>
      </c>
      <c r="D388" s="119">
        <v>0</v>
      </c>
      <c r="E388" s="119">
        <v>0</v>
      </c>
      <c r="F388" s="119">
        <v>0</v>
      </c>
      <c r="G388" s="119">
        <v>0</v>
      </c>
      <c r="H388" s="119">
        <v>0</v>
      </c>
      <c r="I388" s="120">
        <v>134056</v>
      </c>
      <c r="J388" s="119">
        <v>13696</v>
      </c>
      <c r="K388" s="119">
        <v>10925</v>
      </c>
      <c r="L388" s="119">
        <v>240716</v>
      </c>
      <c r="M388" s="119">
        <v>237335</v>
      </c>
      <c r="N388" s="119">
        <v>502672</v>
      </c>
    </row>
    <row r="389" spans="1:14" ht="15.75" thickBot="1" x14ac:dyDescent="0.3">
      <c r="A389" s="44" t="s">
        <v>1566</v>
      </c>
      <c r="B389" s="107" t="s">
        <v>1567</v>
      </c>
      <c r="C389" s="118" t="s">
        <v>837</v>
      </c>
      <c r="D389" s="119">
        <v>0</v>
      </c>
      <c r="E389" s="119">
        <v>0</v>
      </c>
      <c r="F389" s="119">
        <v>0</v>
      </c>
      <c r="G389" s="119">
        <v>0</v>
      </c>
      <c r="H389" s="119">
        <v>0</v>
      </c>
      <c r="I389" s="120">
        <v>71997</v>
      </c>
      <c r="J389" s="119">
        <v>10881</v>
      </c>
      <c r="K389" s="119">
        <v>1258</v>
      </c>
      <c r="L389" s="119">
        <v>10500</v>
      </c>
      <c r="M389" s="119">
        <v>0</v>
      </c>
      <c r="N389" s="119">
        <v>22639</v>
      </c>
    </row>
    <row r="390" spans="1:14" ht="15.75" thickBot="1" x14ac:dyDescent="0.3">
      <c r="A390" s="44" t="s">
        <v>1574</v>
      </c>
      <c r="B390" s="107" t="s">
        <v>1575</v>
      </c>
      <c r="C390" s="118" t="s">
        <v>837</v>
      </c>
      <c r="D390" s="119">
        <v>0</v>
      </c>
      <c r="E390" s="119">
        <v>0</v>
      </c>
      <c r="F390" s="119">
        <v>0</v>
      </c>
      <c r="G390" s="119">
        <v>0</v>
      </c>
      <c r="H390" s="119">
        <v>0</v>
      </c>
      <c r="I390" s="120">
        <v>71755</v>
      </c>
      <c r="J390" s="119">
        <v>61391</v>
      </c>
      <c r="K390" s="119">
        <v>0</v>
      </c>
      <c r="L390" s="119">
        <v>57038</v>
      </c>
      <c r="M390" s="119">
        <v>0</v>
      </c>
      <c r="N390" s="119">
        <v>118429</v>
      </c>
    </row>
    <row r="391" spans="1:14" ht="15.75" thickBot="1" x14ac:dyDescent="0.3">
      <c r="A391" s="44" t="s">
        <v>1594</v>
      </c>
      <c r="B391" s="107" t="s">
        <v>1595</v>
      </c>
      <c r="C391" s="118" t="s">
        <v>837</v>
      </c>
      <c r="D391" s="119">
        <v>0</v>
      </c>
      <c r="E391" s="119">
        <v>0</v>
      </c>
      <c r="F391" s="119">
        <v>0</v>
      </c>
      <c r="G391" s="119">
        <v>0</v>
      </c>
      <c r="H391" s="119">
        <v>0</v>
      </c>
      <c r="I391" s="120">
        <v>89779</v>
      </c>
      <c r="J391" s="119">
        <v>63739</v>
      </c>
      <c r="K391" s="119">
        <v>48173</v>
      </c>
      <c r="L391" s="119">
        <v>0</v>
      </c>
      <c r="M391" s="119">
        <v>0</v>
      </c>
      <c r="N391" s="119">
        <v>111912</v>
      </c>
    </row>
    <row r="392" spans="1:14" ht="15.75" thickBot="1" x14ac:dyDescent="0.3">
      <c r="A392" s="44" t="s">
        <v>1596</v>
      </c>
      <c r="B392" s="107" t="s">
        <v>1597</v>
      </c>
      <c r="C392" s="118" t="s">
        <v>837</v>
      </c>
      <c r="D392" s="119">
        <v>0</v>
      </c>
      <c r="E392" s="119">
        <v>0</v>
      </c>
      <c r="F392" s="119">
        <v>0</v>
      </c>
      <c r="G392" s="119">
        <v>0</v>
      </c>
      <c r="H392" s="119">
        <v>0</v>
      </c>
      <c r="I392" s="120">
        <v>84094</v>
      </c>
      <c r="J392" s="119">
        <v>0</v>
      </c>
      <c r="K392" s="121">
        <v>0</v>
      </c>
      <c r="L392" s="121">
        <v>0</v>
      </c>
      <c r="M392" s="121">
        <v>0</v>
      </c>
      <c r="N392" s="119">
        <v>0</v>
      </c>
    </row>
    <row r="393" spans="1:14" ht="15.75" thickBot="1" x14ac:dyDescent="0.3">
      <c r="A393" s="44" t="s">
        <v>1602</v>
      </c>
      <c r="B393" s="107" t="s">
        <v>1603</v>
      </c>
      <c r="C393" s="118" t="s">
        <v>837</v>
      </c>
      <c r="D393" s="119">
        <v>0</v>
      </c>
      <c r="E393" s="119">
        <v>0</v>
      </c>
      <c r="F393" s="119">
        <v>0</v>
      </c>
      <c r="G393" s="119">
        <v>0</v>
      </c>
      <c r="H393" s="119">
        <v>0</v>
      </c>
      <c r="I393" s="120">
        <v>82974</v>
      </c>
      <c r="J393" s="119">
        <v>0</v>
      </c>
      <c r="K393" s="119">
        <v>10980</v>
      </c>
      <c r="L393" s="119">
        <v>98644</v>
      </c>
      <c r="M393" s="119">
        <v>88958</v>
      </c>
      <c r="N393" s="119">
        <v>198582</v>
      </c>
    </row>
    <row r="394" spans="1:14" ht="15.75" thickBot="1" x14ac:dyDescent="0.3"/>
    <row r="395" spans="1:14" ht="18.75" thickBot="1" x14ac:dyDescent="0.3">
      <c r="B395" s="169" t="s">
        <v>3450</v>
      </c>
      <c r="C395" s="185">
        <f>SUBTOTAL(103,Table8[Library Class])</f>
        <v>390</v>
      </c>
    </row>
    <row r="396" spans="1:14" ht="16.5" thickBot="1" x14ac:dyDescent="0.3">
      <c r="C396" s="186" t="s">
        <v>3473</v>
      </c>
      <c r="D396" s="183">
        <f>SUBTOTAL(109,Table8[Federal Capital Income])</f>
        <v>4022091</v>
      </c>
      <c r="E396" s="183">
        <f>SUBTOTAL(109,Table8[State Capital Income])</f>
        <v>67663</v>
      </c>
      <c r="F396" s="183">
        <f>SUBTOTAL(109,Table8[Local Capital Icome])</f>
        <v>7198800</v>
      </c>
      <c r="G396" s="183">
        <f>SUBTOTAL(109,Table8[Private Capital Income])</f>
        <v>8504592</v>
      </c>
      <c r="H396" s="183">
        <f>SUBTOTAL(109,Table8[Total Capital Income])</f>
        <v>19793146</v>
      </c>
      <c r="I396" s="183">
        <f>SUBTOTAL(109,Table8[Total Population Served])</f>
        <v>9838063</v>
      </c>
      <c r="J396" s="183">
        <f>SUBTOTAL(109,Table8[Capital Expenditures for Electronic Access])</f>
        <v>3482823.66</v>
      </c>
      <c r="K396" s="183">
        <f>SUBTOTAL(109,Table8[Furnishings and Equipment Expenditures])</f>
        <v>3938364</v>
      </c>
      <c r="L396" s="183">
        <f>SUBTOTAL(109,Table8[Building Expenditures])</f>
        <v>36539712.670000002</v>
      </c>
      <c r="M396" s="183">
        <f>SUBTOTAL(109,Table8[Other Capital Expenditures])</f>
        <v>5058474</v>
      </c>
      <c r="N396" s="187">
        <f>SUBTOTAL(109,Table8[Total Capital Expenditures])</f>
        <v>49019374.329999998</v>
      </c>
    </row>
  </sheetData>
  <sortState xmlns:xlrd2="http://schemas.microsoft.com/office/spreadsheetml/2017/richdata2" ref="A4:N393">
    <sortCondition ref="C4:C393"/>
    <sortCondition ref="B4:B393"/>
  </sortState>
  <hyperlinks>
    <hyperlink ref="G1" location="'Table of Contents'!A1" display="Return to Table of Contents" xr:uid="{78B9EC5A-E21C-4BB5-AEE4-9A97C8B104BE}"/>
  </hyperlinks>
  <pageMargins left="0.7" right="0.7" top="0.75" bottom="0.75" header="0.3" footer="0.3"/>
  <pageSetup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3253C-6D59-4B13-B4AF-DFF3E7AF9C04}">
  <sheetPr>
    <tabColor theme="3" tint="0.59999389629810485"/>
  </sheetPr>
  <dimension ref="A1:K393"/>
  <sheetViews>
    <sheetView topLeftCell="B1" workbookViewId="0">
      <pane ySplit="3" topLeftCell="A4" activePane="bottomLeft" state="frozen"/>
      <selection pane="bottomLeft" activeCell="B4" sqref="B4"/>
    </sheetView>
  </sheetViews>
  <sheetFormatPr defaultRowHeight="15" x14ac:dyDescent="0.25"/>
  <cols>
    <col min="1" max="1" width="15.28515625" customWidth="1"/>
    <col min="2" max="2" width="49" bestFit="1" customWidth="1"/>
    <col min="3" max="3" width="25.85546875" bestFit="1" customWidth="1"/>
    <col min="4" max="4" width="15.7109375" customWidth="1"/>
    <col min="5" max="6" width="15.28515625" customWidth="1"/>
    <col min="7" max="7" width="40.42578125" customWidth="1"/>
    <col min="8" max="8" width="13" customWidth="1"/>
    <col min="9" max="9" width="12.7109375" customWidth="1"/>
    <col min="10" max="10" width="47.7109375" customWidth="1"/>
    <col min="11" max="11" width="16" customWidth="1"/>
  </cols>
  <sheetData>
    <row r="1" spans="1:11" ht="18.75" x14ac:dyDescent="0.3">
      <c r="B1" s="56" t="s">
        <v>3449</v>
      </c>
      <c r="D1" s="54" t="s">
        <v>10</v>
      </c>
      <c r="G1" s="55" t="s">
        <v>13</v>
      </c>
    </row>
    <row r="3" spans="1:11" s="39" customFormat="1" ht="41.25" customHeight="1" thickBot="1" x14ac:dyDescent="0.3">
      <c r="A3" s="57" t="s">
        <v>784</v>
      </c>
      <c r="B3" s="57" t="s">
        <v>785</v>
      </c>
      <c r="C3" s="123" t="s">
        <v>786</v>
      </c>
      <c r="D3" s="123" t="s">
        <v>1604</v>
      </c>
      <c r="E3" s="123" t="s">
        <v>88</v>
      </c>
      <c r="F3" s="123" t="s">
        <v>92</v>
      </c>
      <c r="G3" s="123" t="s">
        <v>2968</v>
      </c>
      <c r="H3" s="123" t="s">
        <v>2969</v>
      </c>
      <c r="I3" s="123" t="s">
        <v>2970</v>
      </c>
      <c r="J3" s="123" t="s">
        <v>2971</v>
      </c>
      <c r="K3" s="123" t="s">
        <v>2972</v>
      </c>
    </row>
    <row r="4" spans="1:11" ht="15.75" thickBot="1" x14ac:dyDescent="0.3">
      <c r="A4" s="44" t="s">
        <v>815</v>
      </c>
      <c r="B4" s="107" t="s">
        <v>816</v>
      </c>
      <c r="C4" s="78" t="s">
        <v>817</v>
      </c>
      <c r="D4" s="108">
        <v>1285</v>
      </c>
      <c r="E4" s="78" t="s">
        <v>2986</v>
      </c>
      <c r="F4" s="78" t="s">
        <v>1915</v>
      </c>
      <c r="G4" s="78" t="s">
        <v>2987</v>
      </c>
      <c r="H4" s="78" t="s">
        <v>1643</v>
      </c>
      <c r="I4" s="78" t="s">
        <v>2483</v>
      </c>
      <c r="J4" s="78" t="s">
        <v>2988</v>
      </c>
      <c r="K4" s="78" t="s">
        <v>1643</v>
      </c>
    </row>
    <row r="5" spans="1:11" ht="15.75" thickBot="1" x14ac:dyDescent="0.3">
      <c r="A5" s="44" t="s">
        <v>840</v>
      </c>
      <c r="B5" s="107" t="s">
        <v>841</v>
      </c>
      <c r="C5" s="78" t="s">
        <v>817</v>
      </c>
      <c r="D5" s="108">
        <v>3248</v>
      </c>
      <c r="E5" s="78" t="s">
        <v>3001</v>
      </c>
      <c r="F5" s="78" t="s">
        <v>1930</v>
      </c>
      <c r="G5" s="78" t="s">
        <v>2979</v>
      </c>
      <c r="H5" s="78" t="s">
        <v>1644</v>
      </c>
      <c r="I5" s="78" t="s">
        <v>1951</v>
      </c>
      <c r="J5" s="78" t="s">
        <v>1951</v>
      </c>
      <c r="K5" s="78" t="s">
        <v>1660</v>
      </c>
    </row>
    <row r="6" spans="1:11" ht="15.75" thickBot="1" x14ac:dyDescent="0.3">
      <c r="A6" s="44" t="s">
        <v>863</v>
      </c>
      <c r="B6" s="107" t="s">
        <v>864</v>
      </c>
      <c r="C6" s="78" t="s">
        <v>817</v>
      </c>
      <c r="D6" s="108">
        <v>657</v>
      </c>
      <c r="E6" s="78" t="s">
        <v>3017</v>
      </c>
      <c r="F6" s="78" t="s">
        <v>1988</v>
      </c>
      <c r="G6" s="78" t="s">
        <v>2985</v>
      </c>
      <c r="H6" s="78" t="s">
        <v>1644</v>
      </c>
      <c r="I6" s="78" t="s">
        <v>1951</v>
      </c>
      <c r="J6" s="78" t="s">
        <v>1951</v>
      </c>
      <c r="K6" s="78" t="s">
        <v>3453</v>
      </c>
    </row>
    <row r="7" spans="1:11" ht="15.75" thickBot="1" x14ac:dyDescent="0.3">
      <c r="A7" s="44" t="s">
        <v>865</v>
      </c>
      <c r="B7" s="107" t="s">
        <v>866</v>
      </c>
      <c r="C7" s="78" t="s">
        <v>817</v>
      </c>
      <c r="D7" s="108">
        <v>3769</v>
      </c>
      <c r="E7" s="78" t="s">
        <v>3018</v>
      </c>
      <c r="F7" s="78" t="s">
        <v>1915</v>
      </c>
      <c r="G7" s="78" t="s">
        <v>2987</v>
      </c>
      <c r="H7" s="78" t="s">
        <v>1643</v>
      </c>
      <c r="I7" s="78" t="s">
        <v>2483</v>
      </c>
      <c r="J7" s="118">
        <v>10</v>
      </c>
      <c r="K7" s="78" t="s">
        <v>1643</v>
      </c>
    </row>
    <row r="8" spans="1:11" ht="15.75" thickBot="1" x14ac:dyDescent="0.3">
      <c r="A8" s="44" t="s">
        <v>869</v>
      </c>
      <c r="B8" s="107" t="s">
        <v>870</v>
      </c>
      <c r="C8" s="78" t="s">
        <v>817</v>
      </c>
      <c r="D8" s="108">
        <v>3150</v>
      </c>
      <c r="E8" s="78" t="s">
        <v>2000</v>
      </c>
      <c r="F8" s="78" t="s">
        <v>1999</v>
      </c>
      <c r="G8" s="78" t="s">
        <v>2976</v>
      </c>
      <c r="H8" s="78" t="s">
        <v>1644</v>
      </c>
      <c r="I8" s="78" t="s">
        <v>1951</v>
      </c>
      <c r="J8" s="78" t="s">
        <v>1951</v>
      </c>
      <c r="K8" s="78" t="s">
        <v>3453</v>
      </c>
    </row>
    <row r="9" spans="1:11" ht="15.75" thickBot="1" x14ac:dyDescent="0.3">
      <c r="A9" s="44" t="s">
        <v>873</v>
      </c>
      <c r="B9" s="107" t="s">
        <v>874</v>
      </c>
      <c r="C9" s="78" t="s">
        <v>817</v>
      </c>
      <c r="D9" s="108">
        <v>3811</v>
      </c>
      <c r="E9" s="78" t="s">
        <v>3022</v>
      </c>
      <c r="F9" s="78" t="s">
        <v>2006</v>
      </c>
      <c r="G9" s="78" t="s">
        <v>2987</v>
      </c>
      <c r="H9" s="78" t="s">
        <v>1644</v>
      </c>
      <c r="I9" s="78" t="s">
        <v>1951</v>
      </c>
      <c r="J9" s="78" t="s">
        <v>1951</v>
      </c>
      <c r="K9" s="78" t="s">
        <v>3453</v>
      </c>
    </row>
    <row r="10" spans="1:11" ht="15.75" thickBot="1" x14ac:dyDescent="0.3">
      <c r="A10" s="44" t="s">
        <v>875</v>
      </c>
      <c r="B10" s="107" t="s">
        <v>876</v>
      </c>
      <c r="C10" s="78" t="s">
        <v>817</v>
      </c>
      <c r="D10" s="108">
        <v>3623</v>
      </c>
      <c r="E10" s="78" t="s">
        <v>2010</v>
      </c>
      <c r="F10" s="78" t="s">
        <v>2006</v>
      </c>
      <c r="G10" s="78" t="s">
        <v>2987</v>
      </c>
      <c r="H10" s="78" t="s">
        <v>1644</v>
      </c>
      <c r="I10" s="78" t="s">
        <v>1951</v>
      </c>
      <c r="J10" s="78" t="s">
        <v>1951</v>
      </c>
      <c r="K10" s="78" t="s">
        <v>1643</v>
      </c>
    </row>
    <row r="11" spans="1:11" ht="15.75" thickBot="1" x14ac:dyDescent="0.3">
      <c r="A11" s="44" t="s">
        <v>883</v>
      </c>
      <c r="B11" s="107" t="s">
        <v>884</v>
      </c>
      <c r="C11" s="78" t="s">
        <v>817</v>
      </c>
      <c r="D11" s="108">
        <v>2937</v>
      </c>
      <c r="E11" s="78" t="s">
        <v>3028</v>
      </c>
      <c r="F11" s="78" t="s">
        <v>2006</v>
      </c>
      <c r="G11" s="78" t="s">
        <v>2987</v>
      </c>
      <c r="H11" s="78" t="s">
        <v>1644</v>
      </c>
      <c r="I11" s="78" t="s">
        <v>1951</v>
      </c>
      <c r="J11" s="78" t="s">
        <v>1951</v>
      </c>
      <c r="K11" s="78" t="s">
        <v>1951</v>
      </c>
    </row>
    <row r="12" spans="1:11" ht="15.75" thickBot="1" x14ac:dyDescent="0.3">
      <c r="A12" s="44" t="s">
        <v>915</v>
      </c>
      <c r="B12" s="107" t="s">
        <v>916</v>
      </c>
      <c r="C12" s="78" t="s">
        <v>817</v>
      </c>
      <c r="D12" s="108">
        <v>2611</v>
      </c>
      <c r="E12" s="78" t="s">
        <v>2069</v>
      </c>
      <c r="F12" s="78" t="s">
        <v>2068</v>
      </c>
      <c r="G12" s="78" t="s">
        <v>2976</v>
      </c>
      <c r="H12" s="78" t="s">
        <v>1644</v>
      </c>
      <c r="I12" s="78" t="s">
        <v>1951</v>
      </c>
      <c r="J12" s="78" t="s">
        <v>1951</v>
      </c>
      <c r="K12" s="78" t="s">
        <v>1660</v>
      </c>
    </row>
    <row r="13" spans="1:11" ht="15.75" thickBot="1" x14ac:dyDescent="0.3">
      <c r="A13" s="44" t="s">
        <v>929</v>
      </c>
      <c r="B13" s="107" t="s">
        <v>930</v>
      </c>
      <c r="C13" s="78" t="s">
        <v>817</v>
      </c>
      <c r="D13" s="108">
        <v>722</v>
      </c>
      <c r="E13" s="78" t="s">
        <v>3050</v>
      </c>
      <c r="F13" s="78" t="s">
        <v>2088</v>
      </c>
      <c r="G13" s="78" t="s">
        <v>2981</v>
      </c>
      <c r="H13" s="78" t="s">
        <v>1643</v>
      </c>
      <c r="I13" s="78" t="s">
        <v>2483</v>
      </c>
      <c r="J13" s="118">
        <v>10</v>
      </c>
      <c r="K13" s="78" t="s">
        <v>1644</v>
      </c>
    </row>
    <row r="14" spans="1:11" ht="15.75" thickBot="1" x14ac:dyDescent="0.3">
      <c r="A14" s="44" t="s">
        <v>939</v>
      </c>
      <c r="B14" s="107" t="s">
        <v>940</v>
      </c>
      <c r="C14" s="78" t="s">
        <v>817</v>
      </c>
      <c r="D14" s="108">
        <v>3995</v>
      </c>
      <c r="E14" s="78" t="s">
        <v>2103</v>
      </c>
      <c r="F14" s="78" t="s">
        <v>1915</v>
      </c>
      <c r="G14" s="78" t="s">
        <v>2987</v>
      </c>
      <c r="H14" s="78" t="s">
        <v>1643</v>
      </c>
      <c r="I14" s="78" t="s">
        <v>2483</v>
      </c>
      <c r="J14" s="78" t="s">
        <v>3058</v>
      </c>
      <c r="K14" s="78" t="s">
        <v>1643</v>
      </c>
    </row>
    <row r="15" spans="1:11" ht="15.75" thickBot="1" x14ac:dyDescent="0.3">
      <c r="A15" s="44" t="s">
        <v>947</v>
      </c>
      <c r="B15" s="107" t="s">
        <v>948</v>
      </c>
      <c r="C15" s="78" t="s">
        <v>817</v>
      </c>
      <c r="D15" s="108">
        <v>1854</v>
      </c>
      <c r="E15" s="78" t="s">
        <v>2118</v>
      </c>
      <c r="F15" s="78" t="s">
        <v>2047</v>
      </c>
      <c r="G15" s="78" t="s">
        <v>2987</v>
      </c>
      <c r="H15" s="78" t="s">
        <v>1644</v>
      </c>
      <c r="I15" s="78" t="s">
        <v>1951</v>
      </c>
      <c r="J15" s="78" t="s">
        <v>1951</v>
      </c>
      <c r="K15" s="78" t="s">
        <v>1643</v>
      </c>
    </row>
    <row r="16" spans="1:11" ht="15.75" thickBot="1" x14ac:dyDescent="0.3">
      <c r="A16" s="44" t="s">
        <v>959</v>
      </c>
      <c r="B16" s="107" t="s">
        <v>960</v>
      </c>
      <c r="C16" s="78" t="s">
        <v>817</v>
      </c>
      <c r="D16" s="108">
        <v>3604</v>
      </c>
      <c r="E16" s="78" t="s">
        <v>1980</v>
      </c>
      <c r="F16" s="78" t="s">
        <v>1892</v>
      </c>
      <c r="G16" s="78" t="s">
        <v>2976</v>
      </c>
      <c r="H16" s="78" t="s">
        <v>1643</v>
      </c>
      <c r="I16" s="78" t="s">
        <v>2483</v>
      </c>
      <c r="J16" s="78" t="s">
        <v>3070</v>
      </c>
      <c r="K16" s="78" t="s">
        <v>1643</v>
      </c>
    </row>
    <row r="17" spans="1:11" ht="15.75" thickBot="1" x14ac:dyDescent="0.3">
      <c r="A17" s="44" t="s">
        <v>967</v>
      </c>
      <c r="B17" s="107" t="s">
        <v>968</v>
      </c>
      <c r="C17" s="78" t="s">
        <v>817</v>
      </c>
      <c r="D17" s="108">
        <v>3803</v>
      </c>
      <c r="E17" s="78" t="s">
        <v>2145</v>
      </c>
      <c r="F17" s="78" t="s">
        <v>2068</v>
      </c>
      <c r="G17" s="78" t="s">
        <v>2976</v>
      </c>
      <c r="H17" s="78" t="s">
        <v>1644</v>
      </c>
      <c r="I17" s="78" t="s">
        <v>1951</v>
      </c>
      <c r="J17" s="78" t="s">
        <v>1951</v>
      </c>
      <c r="K17" s="78" t="s">
        <v>1643</v>
      </c>
    </row>
    <row r="18" spans="1:11" ht="15.75" thickBot="1" x14ac:dyDescent="0.3">
      <c r="A18" s="44" t="s">
        <v>969</v>
      </c>
      <c r="B18" s="107" t="s">
        <v>970</v>
      </c>
      <c r="C18" s="78" t="s">
        <v>817</v>
      </c>
      <c r="D18" s="108">
        <v>2373</v>
      </c>
      <c r="E18" s="78" t="s">
        <v>3075</v>
      </c>
      <c r="F18" s="78" t="s">
        <v>2064</v>
      </c>
      <c r="G18" s="78" t="s">
        <v>2979</v>
      </c>
      <c r="H18" s="78" t="s">
        <v>1644</v>
      </c>
      <c r="I18" s="78" t="s">
        <v>1951</v>
      </c>
      <c r="J18" s="78" t="s">
        <v>1951</v>
      </c>
      <c r="K18" s="78" t="s">
        <v>1643</v>
      </c>
    </row>
    <row r="19" spans="1:11" ht="15.75" thickBot="1" x14ac:dyDescent="0.3">
      <c r="A19" s="44" t="s">
        <v>985</v>
      </c>
      <c r="B19" s="107" t="s">
        <v>986</v>
      </c>
      <c r="C19" s="78" t="s">
        <v>817</v>
      </c>
      <c r="D19" s="108">
        <v>3953</v>
      </c>
      <c r="E19" s="78" t="s">
        <v>3084</v>
      </c>
      <c r="F19" s="78" t="s">
        <v>1988</v>
      </c>
      <c r="G19" s="78" t="s">
        <v>2985</v>
      </c>
      <c r="H19" s="78" t="s">
        <v>1643</v>
      </c>
      <c r="I19" s="78" t="s">
        <v>2483</v>
      </c>
      <c r="J19" s="78" t="s">
        <v>3085</v>
      </c>
      <c r="K19" s="78" t="s">
        <v>1660</v>
      </c>
    </row>
    <row r="20" spans="1:11" ht="15.75" thickBot="1" x14ac:dyDescent="0.3">
      <c r="A20" s="44" t="s">
        <v>987</v>
      </c>
      <c r="B20" s="107" t="s">
        <v>988</v>
      </c>
      <c r="C20" s="78" t="s">
        <v>817</v>
      </c>
      <c r="D20" s="108">
        <v>3228</v>
      </c>
      <c r="E20" s="78" t="s">
        <v>2180</v>
      </c>
      <c r="F20" s="78" t="s">
        <v>2180</v>
      </c>
      <c r="G20" s="78" t="s">
        <v>2991</v>
      </c>
      <c r="H20" s="78" t="s">
        <v>1643</v>
      </c>
      <c r="I20" s="78" t="s">
        <v>2483</v>
      </c>
      <c r="J20" s="118">
        <v>24</v>
      </c>
      <c r="K20" s="78" t="s">
        <v>1660</v>
      </c>
    </row>
    <row r="21" spans="1:11" ht="15.75" thickBot="1" x14ac:dyDescent="0.3">
      <c r="A21" s="44" t="s">
        <v>989</v>
      </c>
      <c r="B21" s="107" t="s">
        <v>990</v>
      </c>
      <c r="C21" s="78" t="s">
        <v>817</v>
      </c>
      <c r="D21" s="108">
        <v>3453</v>
      </c>
      <c r="E21" s="78" t="s">
        <v>3086</v>
      </c>
      <c r="F21" s="78" t="s">
        <v>2184</v>
      </c>
      <c r="G21" s="78" t="s">
        <v>2981</v>
      </c>
      <c r="H21" s="78" t="s">
        <v>1643</v>
      </c>
      <c r="I21" s="78" t="s">
        <v>2483</v>
      </c>
      <c r="J21" s="78" t="s">
        <v>3087</v>
      </c>
      <c r="K21" s="78" t="s">
        <v>1660</v>
      </c>
    </row>
    <row r="22" spans="1:11" ht="15.75" thickBot="1" x14ac:dyDescent="0.3">
      <c r="A22" s="44" t="s">
        <v>991</v>
      </c>
      <c r="B22" s="107" t="s">
        <v>992</v>
      </c>
      <c r="C22" s="78" t="s">
        <v>817</v>
      </c>
      <c r="D22" s="108">
        <v>1236</v>
      </c>
      <c r="E22" s="78" t="s">
        <v>3088</v>
      </c>
      <c r="F22" s="78" t="s">
        <v>1909</v>
      </c>
      <c r="G22" s="78" t="s">
        <v>2981</v>
      </c>
      <c r="H22" s="78" t="s">
        <v>1644</v>
      </c>
      <c r="I22" s="78" t="s">
        <v>1951</v>
      </c>
      <c r="J22" s="78" t="s">
        <v>1951</v>
      </c>
      <c r="K22" s="78" t="s">
        <v>1660</v>
      </c>
    </row>
    <row r="23" spans="1:11" ht="15.75" thickBot="1" x14ac:dyDescent="0.3">
      <c r="A23" s="44" t="s">
        <v>993</v>
      </c>
      <c r="B23" s="107" t="s">
        <v>994</v>
      </c>
      <c r="C23" s="78" t="s">
        <v>817</v>
      </c>
      <c r="D23" s="108">
        <v>3179</v>
      </c>
      <c r="E23" s="78" t="s">
        <v>3089</v>
      </c>
      <c r="F23" s="78" t="s">
        <v>2006</v>
      </c>
      <c r="G23" s="78" t="s">
        <v>2987</v>
      </c>
      <c r="H23" s="78" t="s">
        <v>1644</v>
      </c>
      <c r="I23" s="78" t="s">
        <v>1951</v>
      </c>
      <c r="J23" s="78" t="s">
        <v>1951</v>
      </c>
      <c r="K23" s="78" t="s">
        <v>1643</v>
      </c>
    </row>
    <row r="24" spans="1:11" ht="15.75" thickBot="1" x14ac:dyDescent="0.3">
      <c r="A24" s="44" t="s">
        <v>1039</v>
      </c>
      <c r="B24" s="107" t="s">
        <v>1040</v>
      </c>
      <c r="C24" s="78" t="s">
        <v>817</v>
      </c>
      <c r="D24" s="108">
        <v>2769</v>
      </c>
      <c r="E24" s="78" t="s">
        <v>3114</v>
      </c>
      <c r="F24" s="78" t="s">
        <v>1898</v>
      </c>
      <c r="G24" s="78" t="s">
        <v>2979</v>
      </c>
      <c r="H24" s="78" t="s">
        <v>1644</v>
      </c>
      <c r="I24" s="78" t="s">
        <v>1951</v>
      </c>
      <c r="J24" s="78" t="s">
        <v>1951</v>
      </c>
      <c r="K24" s="78" t="s">
        <v>1643</v>
      </c>
    </row>
    <row r="25" spans="1:11" ht="15.75" thickBot="1" x14ac:dyDescent="0.3">
      <c r="A25" s="44" t="s">
        <v>1041</v>
      </c>
      <c r="B25" s="107" t="s">
        <v>1042</v>
      </c>
      <c r="C25" s="78" t="s">
        <v>817</v>
      </c>
      <c r="D25" s="108">
        <v>3738</v>
      </c>
      <c r="E25" s="78" t="s">
        <v>3115</v>
      </c>
      <c r="F25" s="78" t="s">
        <v>1980</v>
      </c>
      <c r="G25" s="78" t="s">
        <v>2979</v>
      </c>
      <c r="H25" s="78" t="s">
        <v>1643</v>
      </c>
      <c r="I25" s="78" t="s">
        <v>2483</v>
      </c>
      <c r="J25" s="78" t="s">
        <v>3094</v>
      </c>
      <c r="K25" s="78" t="s">
        <v>1643</v>
      </c>
    </row>
    <row r="26" spans="1:11" ht="15.75" thickBot="1" x14ac:dyDescent="0.3">
      <c r="A26" s="44" t="s">
        <v>1049</v>
      </c>
      <c r="B26" s="107" t="s">
        <v>1050</v>
      </c>
      <c r="C26" s="78" t="s">
        <v>817</v>
      </c>
      <c r="D26" s="108">
        <v>3112</v>
      </c>
      <c r="E26" s="78" t="s">
        <v>2263</v>
      </c>
      <c r="F26" s="78" t="s">
        <v>2064</v>
      </c>
      <c r="G26" s="78" t="s">
        <v>2979</v>
      </c>
      <c r="H26" s="78" t="s">
        <v>1644</v>
      </c>
      <c r="I26" s="78" t="s">
        <v>1951</v>
      </c>
      <c r="J26" s="78" t="s">
        <v>1951</v>
      </c>
      <c r="K26" s="78" t="s">
        <v>3453</v>
      </c>
    </row>
    <row r="27" spans="1:11" ht="15.75" thickBot="1" x14ac:dyDescent="0.3">
      <c r="A27" s="44" t="s">
        <v>1057</v>
      </c>
      <c r="B27" s="107" t="s">
        <v>1058</v>
      </c>
      <c r="C27" s="78" t="s">
        <v>817</v>
      </c>
      <c r="D27" s="108">
        <v>2791</v>
      </c>
      <c r="E27" s="78" t="s">
        <v>2278</v>
      </c>
      <c r="F27" s="78" t="s">
        <v>2277</v>
      </c>
      <c r="G27" s="78" t="s">
        <v>2985</v>
      </c>
      <c r="H27" s="78" t="s">
        <v>1644</v>
      </c>
      <c r="I27" s="78" t="s">
        <v>1951</v>
      </c>
      <c r="J27" s="78" t="s">
        <v>1951</v>
      </c>
      <c r="K27" s="78" t="s">
        <v>3453</v>
      </c>
    </row>
    <row r="28" spans="1:11" ht="15.75" thickBot="1" x14ac:dyDescent="0.3">
      <c r="A28" s="44" t="s">
        <v>1071</v>
      </c>
      <c r="B28" s="107" t="s">
        <v>1072</v>
      </c>
      <c r="C28" s="78" t="s">
        <v>817</v>
      </c>
      <c r="D28" s="108">
        <v>3150</v>
      </c>
      <c r="E28" s="78" t="s">
        <v>2367</v>
      </c>
      <c r="F28" s="78" t="s">
        <v>1885</v>
      </c>
      <c r="G28" s="78" t="s">
        <v>2974</v>
      </c>
      <c r="H28" s="78" t="s">
        <v>1643</v>
      </c>
      <c r="I28" s="78" t="s">
        <v>2483</v>
      </c>
      <c r="J28" s="78" t="s">
        <v>3128</v>
      </c>
      <c r="K28" s="78" t="s">
        <v>1951</v>
      </c>
    </row>
    <row r="29" spans="1:11" ht="15.75" thickBot="1" x14ac:dyDescent="0.3">
      <c r="A29" s="44" t="s">
        <v>1083</v>
      </c>
      <c r="B29" s="107" t="s">
        <v>1084</v>
      </c>
      <c r="C29" s="78" t="s">
        <v>817</v>
      </c>
      <c r="D29" s="108">
        <v>3043</v>
      </c>
      <c r="E29" s="78" t="s">
        <v>2316</v>
      </c>
      <c r="F29" s="78" t="s">
        <v>2001</v>
      </c>
      <c r="G29" s="78" t="s">
        <v>2989</v>
      </c>
      <c r="H29" s="78" t="s">
        <v>1644</v>
      </c>
      <c r="I29" s="78" t="s">
        <v>1951</v>
      </c>
      <c r="J29" s="78" t="s">
        <v>1951</v>
      </c>
      <c r="K29" s="78" t="s">
        <v>1643</v>
      </c>
    </row>
    <row r="30" spans="1:11" ht="15.75" thickBot="1" x14ac:dyDescent="0.3">
      <c r="A30" s="44" t="s">
        <v>1091</v>
      </c>
      <c r="B30" s="107" t="s">
        <v>1092</v>
      </c>
      <c r="C30" s="78" t="s">
        <v>817</v>
      </c>
      <c r="D30" s="108">
        <v>2047</v>
      </c>
      <c r="E30" s="78" t="s">
        <v>2327</v>
      </c>
      <c r="F30" s="78" t="s">
        <v>2205</v>
      </c>
      <c r="G30" s="78" t="s">
        <v>2976</v>
      </c>
      <c r="H30" s="78" t="s">
        <v>1644</v>
      </c>
      <c r="I30" s="78" t="s">
        <v>1951</v>
      </c>
      <c r="J30" s="78" t="s">
        <v>1951</v>
      </c>
      <c r="K30" s="78" t="s">
        <v>1660</v>
      </c>
    </row>
    <row r="31" spans="1:11" ht="15.75" thickBot="1" x14ac:dyDescent="0.3">
      <c r="A31" s="44" t="s">
        <v>1099</v>
      </c>
      <c r="B31" s="107" t="s">
        <v>1100</v>
      </c>
      <c r="C31" s="78" t="s">
        <v>817</v>
      </c>
      <c r="D31" s="108">
        <v>3650</v>
      </c>
      <c r="E31" s="78" t="s">
        <v>2335</v>
      </c>
      <c r="F31" s="78" t="s">
        <v>2334</v>
      </c>
      <c r="G31" s="78" t="s">
        <v>2987</v>
      </c>
      <c r="H31" s="78" t="s">
        <v>1643</v>
      </c>
      <c r="I31" s="78" t="s">
        <v>3003</v>
      </c>
      <c r="J31" s="118">
        <v>10</v>
      </c>
      <c r="K31" s="78" t="s">
        <v>1660</v>
      </c>
    </row>
    <row r="32" spans="1:11" ht="15.75" thickBot="1" x14ac:dyDescent="0.3">
      <c r="A32" s="44" t="s">
        <v>1101</v>
      </c>
      <c r="B32" s="107" t="s">
        <v>1102</v>
      </c>
      <c r="C32" s="78" t="s">
        <v>817</v>
      </c>
      <c r="D32" s="108">
        <v>1828</v>
      </c>
      <c r="E32" s="78" t="s">
        <v>3141</v>
      </c>
      <c r="F32" s="78" t="s">
        <v>1936</v>
      </c>
      <c r="G32" s="78" t="s">
        <v>3142</v>
      </c>
      <c r="H32" s="78" t="s">
        <v>1643</v>
      </c>
      <c r="I32" s="78" t="s">
        <v>3003</v>
      </c>
      <c r="J32" s="118">
        <v>5</v>
      </c>
      <c r="K32" s="78" t="s">
        <v>1660</v>
      </c>
    </row>
    <row r="33" spans="1:11" ht="15.75" thickBot="1" x14ac:dyDescent="0.3">
      <c r="A33" s="44" t="s">
        <v>1149</v>
      </c>
      <c r="B33" s="107" t="s">
        <v>1150</v>
      </c>
      <c r="C33" s="78" t="s">
        <v>817</v>
      </c>
      <c r="D33" s="108">
        <v>3926</v>
      </c>
      <c r="E33" s="78" t="s">
        <v>2412</v>
      </c>
      <c r="F33" s="78" t="s">
        <v>1905</v>
      </c>
      <c r="G33" s="78" t="s">
        <v>2976</v>
      </c>
      <c r="H33" s="78" t="s">
        <v>1644</v>
      </c>
      <c r="I33" s="78" t="s">
        <v>1951</v>
      </c>
      <c r="J33" s="78" t="s">
        <v>1951</v>
      </c>
      <c r="K33" s="78" t="s">
        <v>1643</v>
      </c>
    </row>
    <row r="34" spans="1:11" ht="15.75" thickBot="1" x14ac:dyDescent="0.3">
      <c r="A34" s="44" t="s">
        <v>1165</v>
      </c>
      <c r="B34" s="107" t="s">
        <v>1166</v>
      </c>
      <c r="C34" s="78" t="s">
        <v>817</v>
      </c>
      <c r="D34" s="108">
        <v>3038</v>
      </c>
      <c r="E34" s="78" t="s">
        <v>3176</v>
      </c>
      <c r="F34" s="78" t="s">
        <v>2120</v>
      </c>
      <c r="G34" s="78" t="s">
        <v>2985</v>
      </c>
      <c r="H34" s="78" t="s">
        <v>1643</v>
      </c>
      <c r="I34" s="78" t="s">
        <v>2483</v>
      </c>
      <c r="J34" s="78" t="s">
        <v>3177</v>
      </c>
      <c r="K34" s="78" t="s">
        <v>1660</v>
      </c>
    </row>
    <row r="35" spans="1:11" ht="15.75" thickBot="1" x14ac:dyDescent="0.3">
      <c r="A35" s="44" t="s">
        <v>1195</v>
      </c>
      <c r="B35" s="107" t="s">
        <v>1196</v>
      </c>
      <c r="C35" s="78" t="s">
        <v>817</v>
      </c>
      <c r="D35" s="108">
        <v>3730</v>
      </c>
      <c r="E35" s="78" t="s">
        <v>3187</v>
      </c>
      <c r="F35" s="78" t="s">
        <v>2073</v>
      </c>
      <c r="G35" s="78" t="s">
        <v>2981</v>
      </c>
      <c r="H35" s="78" t="s">
        <v>1644</v>
      </c>
      <c r="I35" s="78" t="s">
        <v>1951</v>
      </c>
      <c r="J35" s="78" t="s">
        <v>1951</v>
      </c>
      <c r="K35" s="78" t="s">
        <v>1660</v>
      </c>
    </row>
    <row r="36" spans="1:11" ht="15.75" thickBot="1" x14ac:dyDescent="0.3">
      <c r="A36" s="44" t="s">
        <v>1203</v>
      </c>
      <c r="B36" s="107" t="s">
        <v>1204</v>
      </c>
      <c r="C36" s="78" t="s">
        <v>817</v>
      </c>
      <c r="D36" s="108">
        <v>2735</v>
      </c>
      <c r="E36" s="78" t="s">
        <v>2467</v>
      </c>
      <c r="F36" s="78" t="s">
        <v>1964</v>
      </c>
      <c r="G36" s="78" t="s">
        <v>2989</v>
      </c>
      <c r="H36" s="78" t="s">
        <v>1643</v>
      </c>
      <c r="I36" s="78" t="s">
        <v>2483</v>
      </c>
      <c r="J36" s="78" t="s">
        <v>3190</v>
      </c>
      <c r="K36" s="78" t="s">
        <v>1643</v>
      </c>
    </row>
    <row r="37" spans="1:11" ht="15.75" thickBot="1" x14ac:dyDescent="0.3">
      <c r="A37" s="44" t="s">
        <v>1205</v>
      </c>
      <c r="B37" s="107" t="s">
        <v>1206</v>
      </c>
      <c r="C37" s="78" t="s">
        <v>817</v>
      </c>
      <c r="D37" s="108">
        <v>1900</v>
      </c>
      <c r="E37" s="78" t="s">
        <v>3191</v>
      </c>
      <c r="F37" s="78" t="s">
        <v>2385</v>
      </c>
      <c r="G37" s="78" t="s">
        <v>2989</v>
      </c>
      <c r="H37" s="78" t="s">
        <v>1644</v>
      </c>
      <c r="I37" s="78" t="s">
        <v>1951</v>
      </c>
      <c r="J37" s="78" t="s">
        <v>1951</v>
      </c>
      <c r="K37" s="78" t="s">
        <v>1660</v>
      </c>
    </row>
    <row r="38" spans="1:11" ht="15.75" thickBot="1" x14ac:dyDescent="0.3">
      <c r="A38" s="44" t="s">
        <v>1209</v>
      </c>
      <c r="B38" s="107" t="s">
        <v>1210</v>
      </c>
      <c r="C38" s="78" t="s">
        <v>817</v>
      </c>
      <c r="D38" s="108">
        <v>2027</v>
      </c>
      <c r="E38" s="78" t="s">
        <v>3193</v>
      </c>
      <c r="F38" s="78" t="s">
        <v>2334</v>
      </c>
      <c r="G38" s="78" t="s">
        <v>2987</v>
      </c>
      <c r="H38" s="78" t="s">
        <v>1644</v>
      </c>
      <c r="I38" s="78" t="s">
        <v>1951</v>
      </c>
      <c r="J38" s="78" t="s">
        <v>1951</v>
      </c>
      <c r="K38" s="78" t="s">
        <v>1660</v>
      </c>
    </row>
    <row r="39" spans="1:11" ht="15.75" thickBot="1" x14ac:dyDescent="0.3">
      <c r="A39" s="44" t="s">
        <v>1219</v>
      </c>
      <c r="B39" s="107" t="s">
        <v>1220</v>
      </c>
      <c r="C39" s="78" t="s">
        <v>817</v>
      </c>
      <c r="D39" s="108">
        <v>2835</v>
      </c>
      <c r="E39" s="78" t="s">
        <v>2481</v>
      </c>
      <c r="F39" s="78" t="s">
        <v>2259</v>
      </c>
      <c r="G39" s="78" t="s">
        <v>2987</v>
      </c>
      <c r="H39" s="78" t="s">
        <v>1644</v>
      </c>
      <c r="I39" s="78" t="s">
        <v>1951</v>
      </c>
      <c r="J39" s="78" t="s">
        <v>1951</v>
      </c>
      <c r="K39" s="78" t="s">
        <v>1643</v>
      </c>
    </row>
    <row r="40" spans="1:11" ht="15.75" thickBot="1" x14ac:dyDescent="0.3">
      <c r="A40" s="44" t="s">
        <v>1225</v>
      </c>
      <c r="B40" s="107" t="s">
        <v>1226</v>
      </c>
      <c r="C40" s="78" t="s">
        <v>817</v>
      </c>
      <c r="D40" s="108">
        <v>2372</v>
      </c>
      <c r="E40" s="78" t="s">
        <v>2488</v>
      </c>
      <c r="F40" s="78" t="s">
        <v>2076</v>
      </c>
      <c r="G40" s="78" t="s">
        <v>2976</v>
      </c>
      <c r="H40" s="78" t="s">
        <v>1644</v>
      </c>
      <c r="I40" s="78" t="s">
        <v>1951</v>
      </c>
      <c r="J40" s="78" t="s">
        <v>1951</v>
      </c>
      <c r="K40" s="78" t="s">
        <v>1644</v>
      </c>
    </row>
    <row r="41" spans="1:11" ht="15.75" thickBot="1" x14ac:dyDescent="0.3">
      <c r="A41" s="44" t="s">
        <v>1237</v>
      </c>
      <c r="B41" s="107" t="s">
        <v>1238</v>
      </c>
      <c r="C41" s="78" t="s">
        <v>817</v>
      </c>
      <c r="D41" s="108">
        <v>3667</v>
      </c>
      <c r="E41" s="78" t="s">
        <v>2502</v>
      </c>
      <c r="F41" s="78" t="s">
        <v>1944</v>
      </c>
      <c r="G41" s="78" t="s">
        <v>2976</v>
      </c>
      <c r="H41" s="78" t="s">
        <v>1644</v>
      </c>
      <c r="I41" s="78" t="s">
        <v>1951</v>
      </c>
      <c r="J41" s="78" t="s">
        <v>1951</v>
      </c>
      <c r="K41" s="78" t="s">
        <v>1643</v>
      </c>
    </row>
    <row r="42" spans="1:11" ht="15.75" thickBot="1" x14ac:dyDescent="0.3">
      <c r="A42" s="44" t="s">
        <v>1243</v>
      </c>
      <c r="B42" s="107" t="s">
        <v>1244</v>
      </c>
      <c r="C42" s="78" t="s">
        <v>817</v>
      </c>
      <c r="D42" s="108">
        <v>492</v>
      </c>
      <c r="E42" s="78" t="s">
        <v>3207</v>
      </c>
      <c r="F42" s="78" t="s">
        <v>2507</v>
      </c>
      <c r="G42" s="78" t="s">
        <v>2981</v>
      </c>
      <c r="H42" s="78" t="s">
        <v>1643</v>
      </c>
      <c r="I42" s="78" t="s">
        <v>2483</v>
      </c>
      <c r="J42" s="118">
        <v>10</v>
      </c>
      <c r="K42" s="78" t="s">
        <v>1660</v>
      </c>
    </row>
    <row r="43" spans="1:11" ht="15.75" thickBot="1" x14ac:dyDescent="0.3">
      <c r="A43" s="44" t="s">
        <v>1259</v>
      </c>
      <c r="B43" s="107" t="s">
        <v>1260</v>
      </c>
      <c r="C43" s="78" t="s">
        <v>817</v>
      </c>
      <c r="D43" s="108">
        <v>3115</v>
      </c>
      <c r="E43" s="78" t="s">
        <v>3212</v>
      </c>
      <c r="F43" s="78" t="s">
        <v>1980</v>
      </c>
      <c r="G43" s="78" t="s">
        <v>2979</v>
      </c>
      <c r="H43" s="78" t="s">
        <v>1644</v>
      </c>
      <c r="I43" s="78" t="s">
        <v>1951</v>
      </c>
      <c r="J43" s="78" t="s">
        <v>1951</v>
      </c>
      <c r="K43" s="78" t="s">
        <v>1643</v>
      </c>
    </row>
    <row r="44" spans="1:11" ht="15.75" thickBot="1" x14ac:dyDescent="0.3">
      <c r="A44" s="44" t="s">
        <v>1275</v>
      </c>
      <c r="B44" s="107" t="s">
        <v>1276</v>
      </c>
      <c r="C44" s="78" t="s">
        <v>817</v>
      </c>
      <c r="D44" s="108">
        <v>2440</v>
      </c>
      <c r="E44" s="78" t="s">
        <v>3220</v>
      </c>
      <c r="F44" s="78" t="s">
        <v>2088</v>
      </c>
      <c r="G44" s="78" t="s">
        <v>2981</v>
      </c>
      <c r="H44" s="78" t="s">
        <v>1644</v>
      </c>
      <c r="I44" s="78" t="s">
        <v>1951</v>
      </c>
      <c r="J44" s="78" t="s">
        <v>1951</v>
      </c>
      <c r="K44" s="78" t="s">
        <v>1660</v>
      </c>
    </row>
    <row r="45" spans="1:11" ht="15.75" thickBot="1" x14ac:dyDescent="0.3">
      <c r="A45" s="44" t="s">
        <v>1283</v>
      </c>
      <c r="B45" s="107" t="s">
        <v>1284</v>
      </c>
      <c r="C45" s="78" t="s">
        <v>817</v>
      </c>
      <c r="D45" s="108">
        <v>3433</v>
      </c>
      <c r="E45" s="78" t="s">
        <v>3223</v>
      </c>
      <c r="F45" s="78" t="s">
        <v>2043</v>
      </c>
      <c r="G45" s="78" t="s">
        <v>2979</v>
      </c>
      <c r="H45" s="78" t="s">
        <v>1644</v>
      </c>
      <c r="I45" s="78" t="s">
        <v>1951</v>
      </c>
      <c r="J45" s="78" t="s">
        <v>1951</v>
      </c>
      <c r="K45" s="78" t="s">
        <v>1643</v>
      </c>
    </row>
    <row r="46" spans="1:11" ht="15.75" thickBot="1" x14ac:dyDescent="0.3">
      <c r="A46" s="44" t="s">
        <v>1303</v>
      </c>
      <c r="B46" s="107" t="s">
        <v>1304</v>
      </c>
      <c r="C46" s="78" t="s">
        <v>817</v>
      </c>
      <c r="D46" s="108">
        <v>1848</v>
      </c>
      <c r="E46" s="78" t="s">
        <v>3230</v>
      </c>
      <c r="F46" s="78" t="s">
        <v>1999</v>
      </c>
      <c r="G46" s="78" t="s">
        <v>2976</v>
      </c>
      <c r="H46" s="78" t="s">
        <v>1644</v>
      </c>
      <c r="I46" s="78" t="s">
        <v>1951</v>
      </c>
      <c r="J46" s="78" t="s">
        <v>1951</v>
      </c>
      <c r="K46" s="78" t="s">
        <v>1660</v>
      </c>
    </row>
    <row r="47" spans="1:11" ht="15.75" thickBot="1" x14ac:dyDescent="0.3">
      <c r="A47" s="44" t="s">
        <v>1319</v>
      </c>
      <c r="B47" s="107" t="s">
        <v>1320</v>
      </c>
      <c r="C47" s="78" t="s">
        <v>817</v>
      </c>
      <c r="D47" s="108">
        <v>3645</v>
      </c>
      <c r="E47" s="78" t="s">
        <v>2590</v>
      </c>
      <c r="F47" s="78" t="s">
        <v>1936</v>
      </c>
      <c r="G47" s="78" t="s">
        <v>2993</v>
      </c>
      <c r="H47" s="78" t="s">
        <v>1643</v>
      </c>
      <c r="I47" s="78" t="s">
        <v>2483</v>
      </c>
      <c r="J47" s="78" t="s">
        <v>3237</v>
      </c>
      <c r="K47" s="78" t="s">
        <v>1660</v>
      </c>
    </row>
    <row r="48" spans="1:11" ht="15.75" thickBot="1" x14ac:dyDescent="0.3">
      <c r="A48" s="44" t="s">
        <v>1333</v>
      </c>
      <c r="B48" s="107" t="s">
        <v>1334</v>
      </c>
      <c r="C48" s="78" t="s">
        <v>817</v>
      </c>
      <c r="D48" s="108">
        <v>3679</v>
      </c>
      <c r="E48" s="78" t="s">
        <v>2088</v>
      </c>
      <c r="F48" s="78" t="s">
        <v>2088</v>
      </c>
      <c r="G48" s="78" t="s">
        <v>2981</v>
      </c>
      <c r="H48" s="78" t="s">
        <v>1643</v>
      </c>
      <c r="I48" s="78" t="s">
        <v>2483</v>
      </c>
      <c r="J48" s="78" t="s">
        <v>3243</v>
      </c>
      <c r="K48" s="78" t="s">
        <v>1643</v>
      </c>
    </row>
    <row r="49" spans="1:11" ht="15.75" thickBot="1" x14ac:dyDescent="0.3">
      <c r="A49" s="44" t="s">
        <v>1337</v>
      </c>
      <c r="B49" s="107" t="s">
        <v>1338</v>
      </c>
      <c r="C49" s="78" t="s">
        <v>817</v>
      </c>
      <c r="D49" s="108">
        <v>1830</v>
      </c>
      <c r="E49" s="78" t="s">
        <v>3245</v>
      </c>
      <c r="F49" s="78" t="s">
        <v>2073</v>
      </c>
      <c r="G49" s="78" t="s">
        <v>2981</v>
      </c>
      <c r="H49" s="78" t="s">
        <v>1644</v>
      </c>
      <c r="I49" s="78" t="s">
        <v>1951</v>
      </c>
      <c r="J49" s="78" t="s">
        <v>1951</v>
      </c>
      <c r="K49" s="78" t="s">
        <v>1660</v>
      </c>
    </row>
    <row r="50" spans="1:11" ht="15.75" thickBot="1" x14ac:dyDescent="0.3">
      <c r="A50" s="44" t="s">
        <v>1359</v>
      </c>
      <c r="B50" s="107" t="s">
        <v>1360</v>
      </c>
      <c r="C50" s="78" t="s">
        <v>817</v>
      </c>
      <c r="D50" s="108">
        <v>1939</v>
      </c>
      <c r="E50" s="78" t="s">
        <v>2640</v>
      </c>
      <c r="F50" s="78" t="s">
        <v>2382</v>
      </c>
      <c r="G50" s="78" t="s">
        <v>2987</v>
      </c>
      <c r="H50" s="78" t="s">
        <v>1643</v>
      </c>
      <c r="I50" s="78" t="s">
        <v>2483</v>
      </c>
      <c r="J50" s="78" t="s">
        <v>3254</v>
      </c>
      <c r="K50" s="78" t="s">
        <v>1643</v>
      </c>
    </row>
    <row r="51" spans="1:11" ht="15.75" thickBot="1" x14ac:dyDescent="0.3">
      <c r="A51" s="44" t="s">
        <v>1397</v>
      </c>
      <c r="B51" s="107" t="s">
        <v>1398</v>
      </c>
      <c r="C51" s="78" t="s">
        <v>817</v>
      </c>
      <c r="D51" s="108">
        <v>3739</v>
      </c>
      <c r="E51" s="78" t="s">
        <v>2697</v>
      </c>
      <c r="F51" s="78" t="s">
        <v>1952</v>
      </c>
      <c r="G51" s="78" t="s">
        <v>2999</v>
      </c>
      <c r="H51" s="78" t="s">
        <v>1643</v>
      </c>
      <c r="I51" s="78" t="s">
        <v>2483</v>
      </c>
      <c r="J51" s="118">
        <v>200</v>
      </c>
      <c r="K51" s="78" t="s">
        <v>1951</v>
      </c>
    </row>
    <row r="52" spans="1:11" ht="15.75" thickBot="1" x14ac:dyDescent="0.3">
      <c r="A52" s="44" t="s">
        <v>1407</v>
      </c>
      <c r="B52" s="107" t="s">
        <v>1408</v>
      </c>
      <c r="C52" s="78" t="s">
        <v>817</v>
      </c>
      <c r="D52" s="108">
        <v>1508</v>
      </c>
      <c r="E52" s="78" t="s">
        <v>2709</v>
      </c>
      <c r="F52" s="78" t="s">
        <v>2292</v>
      </c>
      <c r="G52" s="78" t="s">
        <v>2981</v>
      </c>
      <c r="H52" s="78" t="s">
        <v>1644</v>
      </c>
      <c r="I52" s="78" t="s">
        <v>1951</v>
      </c>
      <c r="J52" s="78" t="s">
        <v>1951</v>
      </c>
      <c r="K52" s="78" t="s">
        <v>1644</v>
      </c>
    </row>
    <row r="53" spans="1:11" ht="15.75" thickBot="1" x14ac:dyDescent="0.3">
      <c r="A53" s="44" t="s">
        <v>1409</v>
      </c>
      <c r="B53" s="107" t="s">
        <v>1410</v>
      </c>
      <c r="C53" s="78" t="s">
        <v>817</v>
      </c>
      <c r="D53" s="108">
        <v>3731</v>
      </c>
      <c r="E53" s="78" t="s">
        <v>3278</v>
      </c>
      <c r="F53" s="78" t="s">
        <v>2415</v>
      </c>
      <c r="G53" s="78" t="s">
        <v>2987</v>
      </c>
      <c r="H53" s="78" t="s">
        <v>1644</v>
      </c>
      <c r="I53" s="78" t="s">
        <v>1951</v>
      </c>
      <c r="J53" s="78" t="s">
        <v>1951</v>
      </c>
      <c r="K53" s="78" t="s">
        <v>1660</v>
      </c>
    </row>
    <row r="54" spans="1:11" ht="15.75" thickBot="1" x14ac:dyDescent="0.3">
      <c r="A54" s="44" t="s">
        <v>1413</v>
      </c>
      <c r="B54" s="107" t="s">
        <v>1414</v>
      </c>
      <c r="C54" s="78" t="s">
        <v>817</v>
      </c>
      <c r="D54" s="108">
        <v>3674</v>
      </c>
      <c r="E54" s="78" t="s">
        <v>3279</v>
      </c>
      <c r="F54" s="78" t="s">
        <v>2091</v>
      </c>
      <c r="G54" s="78" t="s">
        <v>2987</v>
      </c>
      <c r="H54" s="78" t="s">
        <v>1644</v>
      </c>
      <c r="I54" s="78" t="s">
        <v>1951</v>
      </c>
      <c r="J54" s="78" t="s">
        <v>1951</v>
      </c>
      <c r="K54" s="78" t="s">
        <v>1643</v>
      </c>
    </row>
    <row r="55" spans="1:11" ht="15.75" thickBot="1" x14ac:dyDescent="0.3">
      <c r="A55" s="44" t="s">
        <v>1415</v>
      </c>
      <c r="B55" s="107" t="s">
        <v>1416</v>
      </c>
      <c r="C55" s="78" t="s">
        <v>817</v>
      </c>
      <c r="D55" s="108">
        <v>882</v>
      </c>
      <c r="E55" s="78" t="s">
        <v>3280</v>
      </c>
      <c r="F55" s="78" t="s">
        <v>2292</v>
      </c>
      <c r="G55" s="78" t="s">
        <v>2981</v>
      </c>
      <c r="H55" s="78" t="s">
        <v>1644</v>
      </c>
      <c r="I55" s="78" t="s">
        <v>1951</v>
      </c>
      <c r="J55" s="78" t="s">
        <v>1951</v>
      </c>
      <c r="K55" s="78" t="s">
        <v>1644</v>
      </c>
    </row>
    <row r="56" spans="1:11" ht="15.75" thickBot="1" x14ac:dyDescent="0.3">
      <c r="A56" s="44" t="s">
        <v>1459</v>
      </c>
      <c r="B56" s="107" t="s">
        <v>1460</v>
      </c>
      <c r="C56" s="78" t="s">
        <v>817</v>
      </c>
      <c r="D56" s="108">
        <v>3775</v>
      </c>
      <c r="E56" s="78" t="s">
        <v>2519</v>
      </c>
      <c r="F56" s="78" t="s">
        <v>1964</v>
      </c>
      <c r="G56" s="78" t="s">
        <v>2976</v>
      </c>
      <c r="H56" s="78" t="s">
        <v>1643</v>
      </c>
      <c r="I56" s="78" t="s">
        <v>2483</v>
      </c>
      <c r="J56" s="78" t="s">
        <v>3305</v>
      </c>
      <c r="K56" s="78" t="s">
        <v>1643</v>
      </c>
    </row>
    <row r="57" spans="1:11" ht="15.75" thickBot="1" x14ac:dyDescent="0.3">
      <c r="A57" s="44" t="s">
        <v>1465</v>
      </c>
      <c r="B57" s="107" t="s">
        <v>1466</v>
      </c>
      <c r="C57" s="78" t="s">
        <v>817</v>
      </c>
      <c r="D57" s="108">
        <v>3138</v>
      </c>
      <c r="E57" s="78" t="s">
        <v>3307</v>
      </c>
      <c r="F57" s="78" t="s">
        <v>1930</v>
      </c>
      <c r="G57" s="78" t="s">
        <v>2987</v>
      </c>
      <c r="H57" s="78" t="s">
        <v>1643</v>
      </c>
      <c r="I57" s="78" t="s">
        <v>2483</v>
      </c>
      <c r="J57" s="118">
        <v>10</v>
      </c>
      <c r="K57" s="78" t="s">
        <v>1643</v>
      </c>
    </row>
    <row r="58" spans="1:11" ht="15.75" thickBot="1" x14ac:dyDescent="0.3">
      <c r="A58" s="44" t="s">
        <v>1476</v>
      </c>
      <c r="B58" s="107" t="s">
        <v>1477</v>
      </c>
      <c r="C58" s="78" t="s">
        <v>817</v>
      </c>
      <c r="D58" s="108">
        <v>3428</v>
      </c>
      <c r="E58" s="78" t="s">
        <v>3313</v>
      </c>
      <c r="F58" s="78" t="s">
        <v>1970</v>
      </c>
      <c r="G58" s="78" t="s">
        <v>2979</v>
      </c>
      <c r="H58" s="78" t="s">
        <v>1643</v>
      </c>
      <c r="I58" s="78" t="s">
        <v>2483</v>
      </c>
      <c r="J58" s="78" t="s">
        <v>3314</v>
      </c>
      <c r="K58" s="78" t="s">
        <v>1643</v>
      </c>
    </row>
    <row r="59" spans="1:11" ht="15.75" thickBot="1" x14ac:dyDescent="0.3">
      <c r="A59" s="44" t="s">
        <v>1478</v>
      </c>
      <c r="B59" s="107" t="s">
        <v>1479</v>
      </c>
      <c r="C59" s="78" t="s">
        <v>817</v>
      </c>
      <c r="D59" s="108">
        <v>1932</v>
      </c>
      <c r="E59" s="78" t="s">
        <v>3315</v>
      </c>
      <c r="F59" s="78" t="s">
        <v>2001</v>
      </c>
      <c r="G59" s="78" t="s">
        <v>2989</v>
      </c>
      <c r="H59" s="78" t="s">
        <v>1644</v>
      </c>
      <c r="I59" s="78" t="s">
        <v>1951</v>
      </c>
      <c r="J59" s="78" t="s">
        <v>1951</v>
      </c>
      <c r="K59" s="78" t="s">
        <v>1644</v>
      </c>
    </row>
    <row r="60" spans="1:11" ht="15.75" thickBot="1" x14ac:dyDescent="0.3">
      <c r="A60" s="44" t="s">
        <v>1500</v>
      </c>
      <c r="B60" s="107" t="s">
        <v>1501</v>
      </c>
      <c r="C60" s="78" t="s">
        <v>817</v>
      </c>
      <c r="D60" s="108">
        <v>2387</v>
      </c>
      <c r="E60" s="78" t="s">
        <v>2812</v>
      </c>
      <c r="F60" s="78" t="s">
        <v>1999</v>
      </c>
      <c r="G60" s="78" t="s">
        <v>2976</v>
      </c>
      <c r="H60" s="78" t="s">
        <v>1644</v>
      </c>
      <c r="I60" s="78" t="s">
        <v>1951</v>
      </c>
      <c r="J60" s="78" t="s">
        <v>1951</v>
      </c>
      <c r="K60" s="78" t="s">
        <v>1660</v>
      </c>
    </row>
    <row r="61" spans="1:11" ht="15.75" thickBot="1" x14ac:dyDescent="0.3">
      <c r="A61" s="44" t="s">
        <v>1518</v>
      </c>
      <c r="B61" s="107" t="s">
        <v>1519</v>
      </c>
      <c r="C61" s="78" t="s">
        <v>817</v>
      </c>
      <c r="D61" s="108">
        <v>1873</v>
      </c>
      <c r="E61" s="78" t="s">
        <v>2831</v>
      </c>
      <c r="F61" s="78" t="s">
        <v>1905</v>
      </c>
      <c r="G61" s="78" t="s">
        <v>2976</v>
      </c>
      <c r="H61" s="78" t="s">
        <v>1643</v>
      </c>
      <c r="I61" s="78" t="s">
        <v>2483</v>
      </c>
      <c r="J61" s="118">
        <v>20</v>
      </c>
      <c r="K61" s="78" t="s">
        <v>1643</v>
      </c>
    </row>
    <row r="62" spans="1:11" ht="15.75" thickBot="1" x14ac:dyDescent="0.3">
      <c r="A62" s="44" t="s">
        <v>1536</v>
      </c>
      <c r="B62" s="107" t="s">
        <v>1537</v>
      </c>
      <c r="C62" s="78" t="s">
        <v>817</v>
      </c>
      <c r="D62" s="108">
        <v>1652</v>
      </c>
      <c r="E62" s="78" t="s">
        <v>3340</v>
      </c>
      <c r="F62" s="78" t="s">
        <v>2120</v>
      </c>
      <c r="G62" s="78" t="s">
        <v>2985</v>
      </c>
      <c r="H62" s="78" t="s">
        <v>1644</v>
      </c>
      <c r="I62" s="78" t="s">
        <v>1951</v>
      </c>
      <c r="J62" s="78" t="s">
        <v>1951</v>
      </c>
      <c r="K62" s="78" t="s">
        <v>3453</v>
      </c>
    </row>
    <row r="63" spans="1:11" ht="15.75" thickBot="1" x14ac:dyDescent="0.3">
      <c r="A63" s="44" t="s">
        <v>1548</v>
      </c>
      <c r="B63" s="107" t="s">
        <v>1549</v>
      </c>
      <c r="C63" s="78" t="s">
        <v>817</v>
      </c>
      <c r="D63" s="108">
        <v>3895</v>
      </c>
      <c r="E63" s="78" t="s">
        <v>2865</v>
      </c>
      <c r="F63" s="78" t="s">
        <v>1999</v>
      </c>
      <c r="G63" s="78" t="s">
        <v>2976</v>
      </c>
      <c r="H63" s="78" t="s">
        <v>1644</v>
      </c>
      <c r="I63" s="78" t="s">
        <v>1951</v>
      </c>
      <c r="J63" s="78" t="s">
        <v>1951</v>
      </c>
      <c r="K63" s="78" t="s">
        <v>1643</v>
      </c>
    </row>
    <row r="64" spans="1:11" ht="15.75" thickBot="1" x14ac:dyDescent="0.3">
      <c r="A64" s="44" t="s">
        <v>1554</v>
      </c>
      <c r="B64" s="107" t="s">
        <v>1555</v>
      </c>
      <c r="C64" s="78" t="s">
        <v>817</v>
      </c>
      <c r="D64" s="108">
        <v>2156</v>
      </c>
      <c r="E64" s="78" t="s">
        <v>3348</v>
      </c>
      <c r="F64" s="78" t="s">
        <v>2017</v>
      </c>
      <c r="G64" s="78" t="s">
        <v>2981</v>
      </c>
      <c r="H64" s="78" t="s">
        <v>1643</v>
      </c>
      <c r="I64" s="78" t="s">
        <v>2483</v>
      </c>
      <c r="J64" s="78" t="s">
        <v>3349</v>
      </c>
      <c r="K64" s="78" t="s">
        <v>1643</v>
      </c>
    </row>
    <row r="65" spans="1:11" ht="15.75" thickBot="1" x14ac:dyDescent="0.3">
      <c r="A65" s="44" t="s">
        <v>1556</v>
      </c>
      <c r="B65" s="107" t="s">
        <v>1557</v>
      </c>
      <c r="C65" s="78" t="s">
        <v>817</v>
      </c>
      <c r="D65" s="108">
        <v>2475</v>
      </c>
      <c r="E65" s="78" t="s">
        <v>3350</v>
      </c>
      <c r="F65" s="78" t="s">
        <v>2076</v>
      </c>
      <c r="G65" s="78" t="s">
        <v>2976</v>
      </c>
      <c r="H65" s="78" t="s">
        <v>1644</v>
      </c>
      <c r="I65" s="78" t="s">
        <v>1951</v>
      </c>
      <c r="J65" s="78" t="s">
        <v>1951</v>
      </c>
      <c r="K65" s="78" t="s">
        <v>1643</v>
      </c>
    </row>
    <row r="66" spans="1:11" ht="15.75" thickBot="1" x14ac:dyDescent="0.3">
      <c r="A66" s="44" t="s">
        <v>1558</v>
      </c>
      <c r="B66" s="107" t="s">
        <v>1559</v>
      </c>
      <c r="C66" s="78" t="s">
        <v>817</v>
      </c>
      <c r="D66" s="108">
        <v>1968</v>
      </c>
      <c r="E66" s="78" t="s">
        <v>3351</v>
      </c>
      <c r="F66" s="78" t="s">
        <v>2382</v>
      </c>
      <c r="G66" s="78" t="s">
        <v>2987</v>
      </c>
      <c r="H66" s="78" t="s">
        <v>1644</v>
      </c>
      <c r="I66" s="78" t="s">
        <v>1951</v>
      </c>
      <c r="J66" s="78" t="s">
        <v>1951</v>
      </c>
      <c r="K66" s="78" t="s">
        <v>3453</v>
      </c>
    </row>
    <row r="67" spans="1:11" ht="15.75" thickBot="1" x14ac:dyDescent="0.3">
      <c r="A67" s="44" t="s">
        <v>1568</v>
      </c>
      <c r="B67" s="107" t="s">
        <v>1569</v>
      </c>
      <c r="C67" s="78" t="s">
        <v>817</v>
      </c>
      <c r="D67" s="108">
        <v>2202</v>
      </c>
      <c r="E67" s="78" t="s">
        <v>3356</v>
      </c>
      <c r="F67" s="78" t="s">
        <v>2064</v>
      </c>
      <c r="G67" s="78" t="s">
        <v>2979</v>
      </c>
      <c r="H67" s="78" t="s">
        <v>1644</v>
      </c>
      <c r="I67" s="78" t="s">
        <v>1951</v>
      </c>
      <c r="J67" s="78" t="s">
        <v>1951</v>
      </c>
      <c r="K67" s="78" t="s">
        <v>1660</v>
      </c>
    </row>
    <row r="68" spans="1:11" ht="15.75" thickBot="1" x14ac:dyDescent="0.3">
      <c r="A68" s="44" t="s">
        <v>1580</v>
      </c>
      <c r="B68" s="107" t="s">
        <v>1581</v>
      </c>
      <c r="C68" s="78" t="s">
        <v>817</v>
      </c>
      <c r="D68" s="108">
        <v>2913</v>
      </c>
      <c r="E68" s="78" t="s">
        <v>3360</v>
      </c>
      <c r="F68" s="78" t="s">
        <v>1976</v>
      </c>
      <c r="G68" s="78" t="s">
        <v>2987</v>
      </c>
      <c r="H68" s="78" t="s">
        <v>1644</v>
      </c>
      <c r="I68" s="78" t="s">
        <v>1951</v>
      </c>
      <c r="J68" s="78" t="s">
        <v>1951</v>
      </c>
      <c r="K68" s="78" t="s">
        <v>1643</v>
      </c>
    </row>
    <row r="69" spans="1:11" ht="15.75" thickBot="1" x14ac:dyDescent="0.3">
      <c r="A69" s="44" t="s">
        <v>1592</v>
      </c>
      <c r="B69" s="107" t="s">
        <v>1593</v>
      </c>
      <c r="C69" s="78" t="s">
        <v>817</v>
      </c>
      <c r="D69" s="108">
        <v>575</v>
      </c>
      <c r="E69" s="78" t="s">
        <v>3366</v>
      </c>
      <c r="F69" s="78" t="s">
        <v>2207</v>
      </c>
      <c r="G69" s="78" t="s">
        <v>2981</v>
      </c>
      <c r="H69" s="78" t="s">
        <v>1643</v>
      </c>
      <c r="I69" s="78" t="s">
        <v>3003</v>
      </c>
      <c r="J69" s="118">
        <v>5</v>
      </c>
      <c r="K69" s="78" t="s">
        <v>1660</v>
      </c>
    </row>
    <row r="70" spans="1:11" ht="15.75" thickBot="1" x14ac:dyDescent="0.3">
      <c r="A70" s="44" t="s">
        <v>1600</v>
      </c>
      <c r="B70" s="107" t="s">
        <v>1601</v>
      </c>
      <c r="C70" s="78" t="s">
        <v>817</v>
      </c>
      <c r="D70" s="108">
        <v>2738</v>
      </c>
      <c r="E70" s="78" t="s">
        <v>3370</v>
      </c>
      <c r="F70" s="78" t="s">
        <v>2120</v>
      </c>
      <c r="G70" s="78" t="s">
        <v>2985</v>
      </c>
      <c r="H70" s="78" t="s">
        <v>1644</v>
      </c>
      <c r="I70" s="78" t="s">
        <v>1951</v>
      </c>
      <c r="J70" s="78" t="s">
        <v>1951</v>
      </c>
      <c r="K70" s="78" t="s">
        <v>3453</v>
      </c>
    </row>
    <row r="71" spans="1:11" ht="15.75" thickBot="1" x14ac:dyDescent="0.3">
      <c r="A71" s="44" t="s">
        <v>796</v>
      </c>
      <c r="B71" s="107" t="s">
        <v>797</v>
      </c>
      <c r="C71" s="78" t="s">
        <v>798</v>
      </c>
      <c r="D71" s="108">
        <v>6351</v>
      </c>
      <c r="E71" s="78" t="s">
        <v>2973</v>
      </c>
      <c r="F71" s="78" t="s">
        <v>1885</v>
      </c>
      <c r="G71" s="78" t="s">
        <v>2974</v>
      </c>
      <c r="H71" s="78" t="s">
        <v>1644</v>
      </c>
      <c r="I71" s="78" t="s">
        <v>1951</v>
      </c>
      <c r="J71" s="78" t="s">
        <v>1951</v>
      </c>
      <c r="K71" s="78" t="s">
        <v>1644</v>
      </c>
    </row>
    <row r="72" spans="1:11" ht="15.75" thickBot="1" x14ac:dyDescent="0.3">
      <c r="A72" s="44" t="s">
        <v>827</v>
      </c>
      <c r="B72" s="107" t="s">
        <v>828</v>
      </c>
      <c r="C72" s="78" t="s">
        <v>798</v>
      </c>
      <c r="D72" s="108">
        <v>6583</v>
      </c>
      <c r="E72" s="78" t="s">
        <v>1937</v>
      </c>
      <c r="F72" s="78" t="s">
        <v>1936</v>
      </c>
      <c r="G72" s="78" t="s">
        <v>2993</v>
      </c>
      <c r="H72" s="78" t="s">
        <v>1644</v>
      </c>
      <c r="I72" s="78" t="s">
        <v>1951</v>
      </c>
      <c r="J72" s="78" t="s">
        <v>1951</v>
      </c>
      <c r="K72" s="78" t="s">
        <v>1660</v>
      </c>
    </row>
    <row r="73" spans="1:11" ht="15.75" thickBot="1" x14ac:dyDescent="0.3">
      <c r="A73" s="44" t="s">
        <v>838</v>
      </c>
      <c r="B73" s="107" t="s">
        <v>839</v>
      </c>
      <c r="C73" s="78" t="s">
        <v>798</v>
      </c>
      <c r="D73" s="108">
        <v>5379</v>
      </c>
      <c r="E73" s="78" t="s">
        <v>1953</v>
      </c>
      <c r="F73" s="78" t="s">
        <v>1952</v>
      </c>
      <c r="G73" s="78" t="s">
        <v>2999</v>
      </c>
      <c r="H73" s="78" t="s">
        <v>1643</v>
      </c>
      <c r="I73" s="78" t="s">
        <v>2483</v>
      </c>
      <c r="J73" s="78" t="s">
        <v>3000</v>
      </c>
      <c r="K73" s="78" t="s">
        <v>1644</v>
      </c>
    </row>
    <row r="74" spans="1:11" ht="15.75" thickBot="1" x14ac:dyDescent="0.3">
      <c r="A74" s="44" t="s">
        <v>842</v>
      </c>
      <c r="B74" s="107" t="s">
        <v>843</v>
      </c>
      <c r="C74" s="78" t="s">
        <v>798</v>
      </c>
      <c r="D74" s="108">
        <v>4265</v>
      </c>
      <c r="E74" s="78" t="s">
        <v>1959</v>
      </c>
      <c r="F74" s="78" t="s">
        <v>1905</v>
      </c>
      <c r="G74" s="78" t="s">
        <v>3002</v>
      </c>
      <c r="H74" s="78" t="s">
        <v>1643</v>
      </c>
      <c r="I74" s="78" t="s">
        <v>3003</v>
      </c>
      <c r="J74" s="78" t="s">
        <v>3004</v>
      </c>
      <c r="K74" s="78" t="s">
        <v>1643</v>
      </c>
    </row>
    <row r="75" spans="1:11" ht="15.75" thickBot="1" x14ac:dyDescent="0.3">
      <c r="A75" s="44" t="s">
        <v>853</v>
      </c>
      <c r="B75" s="107" t="s">
        <v>854</v>
      </c>
      <c r="C75" s="78" t="s">
        <v>798</v>
      </c>
      <c r="D75" s="108">
        <v>6621</v>
      </c>
      <c r="E75" s="78" t="s">
        <v>3010</v>
      </c>
      <c r="F75" s="78" t="s">
        <v>1970</v>
      </c>
      <c r="G75" s="78" t="s">
        <v>2979</v>
      </c>
      <c r="H75" s="78" t="s">
        <v>1643</v>
      </c>
      <c r="I75" s="78" t="s">
        <v>2483</v>
      </c>
      <c r="J75" s="78" t="s">
        <v>3011</v>
      </c>
      <c r="K75" s="78" t="s">
        <v>1660</v>
      </c>
    </row>
    <row r="76" spans="1:11" ht="15.75" thickBot="1" x14ac:dyDescent="0.3">
      <c r="A76" s="44" t="s">
        <v>857</v>
      </c>
      <c r="B76" s="107" t="s">
        <v>858</v>
      </c>
      <c r="C76" s="78" t="s">
        <v>798</v>
      </c>
      <c r="D76" s="108">
        <v>4075</v>
      </c>
      <c r="E76" s="78" t="s">
        <v>3013</v>
      </c>
      <c r="F76" s="78" t="s">
        <v>1976</v>
      </c>
      <c r="G76" s="78" t="s">
        <v>2987</v>
      </c>
      <c r="H76" s="78" t="s">
        <v>1644</v>
      </c>
      <c r="I76" s="78" t="s">
        <v>1951</v>
      </c>
      <c r="J76" s="78" t="s">
        <v>1951</v>
      </c>
      <c r="K76" s="78" t="s">
        <v>1643</v>
      </c>
    </row>
    <row r="77" spans="1:11" ht="15.75" thickBot="1" x14ac:dyDescent="0.3">
      <c r="A77" s="44" t="s">
        <v>881</v>
      </c>
      <c r="B77" s="107" t="s">
        <v>882</v>
      </c>
      <c r="C77" s="78" t="s">
        <v>798</v>
      </c>
      <c r="D77" s="108">
        <v>5414</v>
      </c>
      <c r="E77" s="78" t="s">
        <v>3026</v>
      </c>
      <c r="F77" s="78" t="s">
        <v>2017</v>
      </c>
      <c r="G77" s="78" t="s">
        <v>2981</v>
      </c>
      <c r="H77" s="78" t="s">
        <v>1643</v>
      </c>
      <c r="I77" s="78" t="s">
        <v>2483</v>
      </c>
      <c r="J77" s="78" t="s">
        <v>3027</v>
      </c>
      <c r="K77" s="78" t="s">
        <v>1643</v>
      </c>
    </row>
    <row r="78" spans="1:11" ht="15.75" thickBot="1" x14ac:dyDescent="0.3">
      <c r="A78" s="44" t="s">
        <v>903</v>
      </c>
      <c r="B78" s="107" t="s">
        <v>904</v>
      </c>
      <c r="C78" s="78" t="s">
        <v>798</v>
      </c>
      <c r="D78" s="108">
        <v>6296</v>
      </c>
      <c r="E78" s="78" t="s">
        <v>3038</v>
      </c>
      <c r="F78" s="78" t="s">
        <v>2001</v>
      </c>
      <c r="G78" s="78" t="s">
        <v>2989</v>
      </c>
      <c r="H78" s="78" t="s">
        <v>1643</v>
      </c>
      <c r="I78" s="78" t="s">
        <v>2483</v>
      </c>
      <c r="J78" s="78" t="s">
        <v>3039</v>
      </c>
      <c r="K78" s="78" t="s">
        <v>1643</v>
      </c>
    </row>
    <row r="79" spans="1:11" ht="15.75" thickBot="1" x14ac:dyDescent="0.3">
      <c r="A79" s="44" t="s">
        <v>909</v>
      </c>
      <c r="B79" s="107" t="s">
        <v>910</v>
      </c>
      <c r="C79" s="78" t="s">
        <v>798</v>
      </c>
      <c r="D79" s="108">
        <v>4005</v>
      </c>
      <c r="E79" s="78" t="s">
        <v>3043</v>
      </c>
      <c r="F79" s="78" t="s">
        <v>1898</v>
      </c>
      <c r="G79" s="78" t="s">
        <v>2979</v>
      </c>
      <c r="H79" s="78" t="s">
        <v>1644</v>
      </c>
      <c r="I79" s="78" t="s">
        <v>1951</v>
      </c>
      <c r="J79" s="78" t="s">
        <v>1951</v>
      </c>
      <c r="K79" s="78" t="s">
        <v>1643</v>
      </c>
    </row>
    <row r="80" spans="1:11" ht="15.75" thickBot="1" x14ac:dyDescent="0.3">
      <c r="A80" s="44" t="s">
        <v>921</v>
      </c>
      <c r="B80" s="107" t="s">
        <v>922</v>
      </c>
      <c r="C80" s="78" t="s">
        <v>798</v>
      </c>
      <c r="D80" s="108">
        <v>4191</v>
      </c>
      <c r="E80" s="78" t="s">
        <v>2077</v>
      </c>
      <c r="F80" s="78" t="s">
        <v>2076</v>
      </c>
      <c r="G80" s="78" t="s">
        <v>2976</v>
      </c>
      <c r="H80" s="78" t="s">
        <v>1643</v>
      </c>
      <c r="I80" s="78" t="s">
        <v>2483</v>
      </c>
      <c r="J80" s="118">
        <v>10</v>
      </c>
      <c r="K80" s="78" t="s">
        <v>1643</v>
      </c>
    </row>
    <row r="81" spans="1:11" ht="15.75" thickBot="1" x14ac:dyDescent="0.3">
      <c r="A81" s="44" t="s">
        <v>963</v>
      </c>
      <c r="B81" s="107" t="s">
        <v>964</v>
      </c>
      <c r="C81" s="78" t="s">
        <v>798</v>
      </c>
      <c r="D81" s="108">
        <v>4622</v>
      </c>
      <c r="E81" s="78" t="s">
        <v>3073</v>
      </c>
      <c r="F81" s="78" t="s">
        <v>2140</v>
      </c>
      <c r="G81" s="78" t="s">
        <v>2993</v>
      </c>
      <c r="H81" s="78" t="s">
        <v>1644</v>
      </c>
      <c r="I81" s="78" t="s">
        <v>1951</v>
      </c>
      <c r="J81" s="78" t="s">
        <v>1951</v>
      </c>
      <c r="K81" s="78" t="s">
        <v>1643</v>
      </c>
    </row>
    <row r="82" spans="1:11" ht="15.75" thickBot="1" x14ac:dyDescent="0.3">
      <c r="A82" s="44" t="s">
        <v>977</v>
      </c>
      <c r="B82" s="107" t="s">
        <v>978</v>
      </c>
      <c r="C82" s="78" t="s">
        <v>798</v>
      </c>
      <c r="D82" s="108">
        <v>4986</v>
      </c>
      <c r="E82" s="78" t="s">
        <v>2163</v>
      </c>
      <c r="F82" s="78" t="s">
        <v>2068</v>
      </c>
      <c r="G82" s="78" t="s">
        <v>2976</v>
      </c>
      <c r="H82" s="78" t="s">
        <v>1644</v>
      </c>
      <c r="I82" s="78" t="s">
        <v>1951</v>
      </c>
      <c r="J82" s="78" t="s">
        <v>1951</v>
      </c>
      <c r="K82" s="78" t="s">
        <v>1643</v>
      </c>
    </row>
    <row r="83" spans="1:11" ht="15.75" thickBot="1" x14ac:dyDescent="0.3">
      <c r="A83" s="44" t="s">
        <v>999</v>
      </c>
      <c r="B83" s="107" t="s">
        <v>1000</v>
      </c>
      <c r="C83" s="78" t="s">
        <v>798</v>
      </c>
      <c r="D83" s="108">
        <v>4514</v>
      </c>
      <c r="E83" s="78" t="s">
        <v>3092</v>
      </c>
      <c r="F83" s="78" t="s">
        <v>1898</v>
      </c>
      <c r="G83" s="78" t="s">
        <v>2979</v>
      </c>
      <c r="H83" s="78" t="s">
        <v>1644</v>
      </c>
      <c r="I83" s="78" t="s">
        <v>1951</v>
      </c>
      <c r="J83" s="78" t="s">
        <v>1951</v>
      </c>
      <c r="K83" s="78" t="s">
        <v>1643</v>
      </c>
    </row>
    <row r="84" spans="1:11" ht="15.75" thickBot="1" x14ac:dyDescent="0.3">
      <c r="A84" s="44" t="s">
        <v>1013</v>
      </c>
      <c r="B84" s="107" t="s">
        <v>1014</v>
      </c>
      <c r="C84" s="78" t="s">
        <v>798</v>
      </c>
      <c r="D84" s="108">
        <v>6838</v>
      </c>
      <c r="E84" s="78" t="s">
        <v>3103</v>
      </c>
      <c r="F84" s="78" t="s">
        <v>1999</v>
      </c>
      <c r="G84" s="78" t="s">
        <v>2976</v>
      </c>
      <c r="H84" s="78" t="s">
        <v>1644</v>
      </c>
      <c r="I84" s="78" t="s">
        <v>1951</v>
      </c>
      <c r="J84" s="78" t="s">
        <v>1951</v>
      </c>
      <c r="K84" s="78" t="s">
        <v>1660</v>
      </c>
    </row>
    <row r="85" spans="1:11" ht="15.75" thickBot="1" x14ac:dyDescent="0.3">
      <c r="A85" s="44" t="s">
        <v>1019</v>
      </c>
      <c r="B85" s="107" t="s">
        <v>1020</v>
      </c>
      <c r="C85" s="78" t="s">
        <v>798</v>
      </c>
      <c r="D85" s="108">
        <v>4869</v>
      </c>
      <c r="E85" s="78" t="s">
        <v>3106</v>
      </c>
      <c r="F85" s="78" t="s">
        <v>2205</v>
      </c>
      <c r="G85" s="78" t="s">
        <v>2976</v>
      </c>
      <c r="H85" s="78" t="s">
        <v>1643</v>
      </c>
      <c r="I85" s="78" t="s">
        <v>2483</v>
      </c>
      <c r="J85" s="118">
        <v>30</v>
      </c>
      <c r="K85" s="78" t="s">
        <v>1951</v>
      </c>
    </row>
    <row r="86" spans="1:11" ht="15.75" thickBot="1" x14ac:dyDescent="0.3">
      <c r="A86" s="44" t="s">
        <v>1021</v>
      </c>
      <c r="B86" s="107" t="s">
        <v>1022</v>
      </c>
      <c r="C86" s="78" t="s">
        <v>798</v>
      </c>
      <c r="D86" s="108">
        <v>4768</v>
      </c>
      <c r="E86" s="78" t="s">
        <v>2233</v>
      </c>
      <c r="F86" s="78" t="s">
        <v>1936</v>
      </c>
      <c r="G86" s="78" t="s">
        <v>2993</v>
      </c>
      <c r="H86" s="78" t="s">
        <v>1643</v>
      </c>
      <c r="I86" s="78" t="s">
        <v>3003</v>
      </c>
      <c r="J86" s="118">
        <v>20</v>
      </c>
      <c r="K86" s="78" t="s">
        <v>1644</v>
      </c>
    </row>
    <row r="87" spans="1:11" ht="15.75" thickBot="1" x14ac:dyDescent="0.3">
      <c r="A87" s="44" t="s">
        <v>1035</v>
      </c>
      <c r="B87" s="107" t="s">
        <v>1036</v>
      </c>
      <c r="C87" s="78" t="s">
        <v>798</v>
      </c>
      <c r="D87" s="108">
        <v>5432</v>
      </c>
      <c r="E87" s="78" t="s">
        <v>2252</v>
      </c>
      <c r="F87" s="78" t="s">
        <v>1915</v>
      </c>
      <c r="G87" s="78" t="s">
        <v>2985</v>
      </c>
      <c r="H87" s="78" t="s">
        <v>1643</v>
      </c>
      <c r="I87" s="78" t="s">
        <v>2483</v>
      </c>
      <c r="J87" s="118">
        <v>40</v>
      </c>
      <c r="K87" s="78" t="s">
        <v>1643</v>
      </c>
    </row>
    <row r="88" spans="1:11" ht="15.75" thickBot="1" x14ac:dyDescent="0.3">
      <c r="A88" s="44" t="s">
        <v>1065</v>
      </c>
      <c r="B88" s="107" t="s">
        <v>1066</v>
      </c>
      <c r="C88" s="78" t="s">
        <v>798</v>
      </c>
      <c r="D88" s="108">
        <v>6164</v>
      </c>
      <c r="E88" s="78" t="s">
        <v>3125</v>
      </c>
      <c r="F88" s="78" t="s">
        <v>2292</v>
      </c>
      <c r="G88" s="78" t="s">
        <v>2981</v>
      </c>
      <c r="H88" s="78" t="s">
        <v>1644</v>
      </c>
      <c r="I88" s="78" t="s">
        <v>1951</v>
      </c>
      <c r="J88" s="78" t="s">
        <v>1951</v>
      </c>
      <c r="K88" s="78" t="s">
        <v>1660</v>
      </c>
    </row>
    <row r="89" spans="1:11" ht="15.75" thickBot="1" x14ac:dyDescent="0.3">
      <c r="A89" s="44" t="s">
        <v>1075</v>
      </c>
      <c r="B89" s="107" t="s">
        <v>1076</v>
      </c>
      <c r="C89" s="78" t="s">
        <v>798</v>
      </c>
      <c r="D89" s="108">
        <v>5641</v>
      </c>
      <c r="E89" s="78" t="s">
        <v>3130</v>
      </c>
      <c r="F89" s="78" t="s">
        <v>2205</v>
      </c>
      <c r="G89" s="78" t="s">
        <v>2991</v>
      </c>
      <c r="H89" s="78" t="s">
        <v>1644</v>
      </c>
      <c r="I89" s="78" t="s">
        <v>1951</v>
      </c>
      <c r="J89" s="78" t="s">
        <v>1951</v>
      </c>
      <c r="K89" s="78" t="s">
        <v>3453</v>
      </c>
    </row>
    <row r="90" spans="1:11" ht="15.75" thickBot="1" x14ac:dyDescent="0.3">
      <c r="A90" s="44" t="s">
        <v>1119</v>
      </c>
      <c r="B90" s="107" t="s">
        <v>1120</v>
      </c>
      <c r="C90" s="78" t="s">
        <v>798</v>
      </c>
      <c r="D90" s="108">
        <v>6119</v>
      </c>
      <c r="E90" s="78" t="s">
        <v>3152</v>
      </c>
      <c r="F90" s="78" t="s">
        <v>1970</v>
      </c>
      <c r="G90" s="78" t="s">
        <v>2979</v>
      </c>
      <c r="H90" s="78" t="s">
        <v>1643</v>
      </c>
      <c r="I90" s="78" t="s">
        <v>2483</v>
      </c>
      <c r="J90" s="78" t="s">
        <v>3153</v>
      </c>
      <c r="K90" s="78" t="s">
        <v>1643</v>
      </c>
    </row>
    <row r="91" spans="1:11" ht="15.75" thickBot="1" x14ac:dyDescent="0.3">
      <c r="A91" s="44" t="s">
        <v>1129</v>
      </c>
      <c r="B91" s="107" t="s">
        <v>1130</v>
      </c>
      <c r="C91" s="78" t="s">
        <v>798</v>
      </c>
      <c r="D91" s="108">
        <v>6582</v>
      </c>
      <c r="E91" s="78" t="s">
        <v>3159</v>
      </c>
      <c r="F91" s="78" t="s">
        <v>2385</v>
      </c>
      <c r="G91" s="78" t="s">
        <v>2989</v>
      </c>
      <c r="H91" s="78" t="s">
        <v>1644</v>
      </c>
      <c r="I91" s="78" t="s">
        <v>1951</v>
      </c>
      <c r="J91" s="78" t="s">
        <v>1951</v>
      </c>
      <c r="K91" s="78" t="s">
        <v>1643</v>
      </c>
    </row>
    <row r="92" spans="1:11" ht="15.75" thickBot="1" x14ac:dyDescent="0.3">
      <c r="A92" s="44" t="s">
        <v>1139</v>
      </c>
      <c r="B92" s="107" t="s">
        <v>1140</v>
      </c>
      <c r="C92" s="78" t="s">
        <v>798</v>
      </c>
      <c r="D92" s="108">
        <v>5933</v>
      </c>
      <c r="E92" s="78" t="s">
        <v>3165</v>
      </c>
      <c r="F92" s="78" t="s">
        <v>2180</v>
      </c>
      <c r="G92" s="78" t="s">
        <v>2991</v>
      </c>
      <c r="H92" s="78" t="s">
        <v>1643</v>
      </c>
      <c r="I92" s="78" t="s">
        <v>2483</v>
      </c>
      <c r="J92" s="118">
        <v>48</v>
      </c>
      <c r="K92" s="78" t="s">
        <v>1660</v>
      </c>
    </row>
    <row r="93" spans="1:11" ht="15.75" thickBot="1" x14ac:dyDescent="0.3">
      <c r="A93" s="44" t="s">
        <v>1147</v>
      </c>
      <c r="B93" s="107" t="s">
        <v>1148</v>
      </c>
      <c r="C93" s="78" t="s">
        <v>798</v>
      </c>
      <c r="D93" s="108">
        <v>4220</v>
      </c>
      <c r="E93" s="78" t="s">
        <v>3166</v>
      </c>
      <c r="F93" s="78" t="s">
        <v>2091</v>
      </c>
      <c r="G93" s="78" t="s">
        <v>2991</v>
      </c>
      <c r="H93" s="78" t="s">
        <v>1643</v>
      </c>
      <c r="I93" s="78" t="s">
        <v>2483</v>
      </c>
      <c r="J93" s="78" t="s">
        <v>3167</v>
      </c>
      <c r="K93" s="78" t="s">
        <v>1643</v>
      </c>
    </row>
    <row r="94" spans="1:11" ht="15.75" thickBot="1" x14ac:dyDescent="0.3">
      <c r="A94" s="44" t="s">
        <v>1151</v>
      </c>
      <c r="B94" s="107" t="s">
        <v>1152</v>
      </c>
      <c r="C94" s="78" t="s">
        <v>798</v>
      </c>
      <c r="D94" s="108">
        <v>4610</v>
      </c>
      <c r="E94" s="78" t="s">
        <v>2414</v>
      </c>
      <c r="F94" s="78" t="s">
        <v>1919</v>
      </c>
      <c r="G94" s="78" t="s">
        <v>2991</v>
      </c>
      <c r="H94" s="78" t="s">
        <v>1643</v>
      </c>
      <c r="I94" s="78" t="s">
        <v>2483</v>
      </c>
      <c r="J94" s="78" t="s">
        <v>3168</v>
      </c>
      <c r="K94" s="78" t="s">
        <v>1660</v>
      </c>
    </row>
    <row r="95" spans="1:11" ht="15.75" thickBot="1" x14ac:dyDescent="0.3">
      <c r="A95" s="44" t="s">
        <v>1157</v>
      </c>
      <c r="B95" s="107" t="s">
        <v>1158</v>
      </c>
      <c r="C95" s="78" t="s">
        <v>798</v>
      </c>
      <c r="D95" s="108">
        <v>5531</v>
      </c>
      <c r="E95" s="78" t="s">
        <v>3172</v>
      </c>
      <c r="F95" s="78" t="s">
        <v>1930</v>
      </c>
      <c r="G95" s="78" t="s">
        <v>2979</v>
      </c>
      <c r="H95" s="78" t="s">
        <v>1644</v>
      </c>
      <c r="I95" s="78" t="s">
        <v>1951</v>
      </c>
      <c r="J95" s="78" t="s">
        <v>1951</v>
      </c>
      <c r="K95" s="78" t="s">
        <v>1643</v>
      </c>
    </row>
    <row r="96" spans="1:11" ht="15.75" thickBot="1" x14ac:dyDescent="0.3">
      <c r="A96" s="44" t="s">
        <v>1161</v>
      </c>
      <c r="B96" s="107" t="s">
        <v>1162</v>
      </c>
      <c r="C96" s="78" t="s">
        <v>798</v>
      </c>
      <c r="D96" s="108">
        <v>5107</v>
      </c>
      <c r="E96" s="78" t="s">
        <v>2425</v>
      </c>
      <c r="F96" s="78" t="s">
        <v>1892</v>
      </c>
      <c r="G96" s="78" t="s">
        <v>2976</v>
      </c>
      <c r="H96" s="78" t="s">
        <v>1643</v>
      </c>
      <c r="I96" s="78" t="s">
        <v>2483</v>
      </c>
      <c r="J96" s="78" t="s">
        <v>3102</v>
      </c>
      <c r="K96" s="78" t="s">
        <v>1643</v>
      </c>
    </row>
    <row r="97" spans="1:11" ht="15.75" thickBot="1" x14ac:dyDescent="0.3">
      <c r="A97" s="44" t="s">
        <v>1167</v>
      </c>
      <c r="B97" s="107" t="s">
        <v>1168</v>
      </c>
      <c r="C97" s="78" t="s">
        <v>798</v>
      </c>
      <c r="D97" s="108">
        <v>5784</v>
      </c>
      <c r="E97" s="78" t="s">
        <v>3178</v>
      </c>
      <c r="F97" s="78" t="s">
        <v>2277</v>
      </c>
      <c r="G97" s="78" t="s">
        <v>2985</v>
      </c>
      <c r="H97" s="78" t="s">
        <v>1644</v>
      </c>
      <c r="I97" s="78" t="s">
        <v>1951</v>
      </c>
      <c r="J97" s="78" t="s">
        <v>1951</v>
      </c>
      <c r="K97" s="78" t="s">
        <v>1660</v>
      </c>
    </row>
    <row r="98" spans="1:11" ht="15.75" thickBot="1" x14ac:dyDescent="0.3">
      <c r="A98" s="44" t="s">
        <v>1173</v>
      </c>
      <c r="B98" s="107" t="s">
        <v>1174</v>
      </c>
      <c r="C98" s="78" t="s">
        <v>798</v>
      </c>
      <c r="D98" s="108">
        <v>5713</v>
      </c>
      <c r="E98" s="78" t="s">
        <v>2434</v>
      </c>
      <c r="F98" s="78" t="s">
        <v>2017</v>
      </c>
      <c r="G98" s="78" t="s">
        <v>2981</v>
      </c>
      <c r="H98" s="78" t="s">
        <v>1643</v>
      </c>
      <c r="I98" s="78" t="s">
        <v>2483</v>
      </c>
      <c r="J98" s="78" t="s">
        <v>3180</v>
      </c>
      <c r="K98" s="78" t="s">
        <v>1643</v>
      </c>
    </row>
    <row r="99" spans="1:11" ht="15.75" thickBot="1" x14ac:dyDescent="0.3">
      <c r="A99" s="44" t="s">
        <v>1177</v>
      </c>
      <c r="B99" s="107" t="s">
        <v>1178</v>
      </c>
      <c r="C99" s="78" t="s">
        <v>798</v>
      </c>
      <c r="D99" s="108">
        <v>6443</v>
      </c>
      <c r="E99" s="78" t="s">
        <v>2438</v>
      </c>
      <c r="F99" s="78" t="s">
        <v>1919</v>
      </c>
      <c r="G99" s="78" t="s">
        <v>2989</v>
      </c>
      <c r="H99" s="78" t="s">
        <v>1644</v>
      </c>
      <c r="I99" s="78" t="s">
        <v>1951</v>
      </c>
      <c r="J99" s="78" t="s">
        <v>1951</v>
      </c>
      <c r="K99" s="78" t="s">
        <v>1643</v>
      </c>
    </row>
    <row r="100" spans="1:11" ht="15.75" thickBot="1" x14ac:dyDescent="0.3">
      <c r="A100" s="44" t="s">
        <v>1181</v>
      </c>
      <c r="B100" s="107" t="s">
        <v>1182</v>
      </c>
      <c r="C100" s="78" t="s">
        <v>798</v>
      </c>
      <c r="D100" s="108">
        <v>4080</v>
      </c>
      <c r="E100" s="78" t="s">
        <v>2441</v>
      </c>
      <c r="F100" s="78" t="s">
        <v>2064</v>
      </c>
      <c r="G100" s="78" t="s">
        <v>2979</v>
      </c>
      <c r="H100" s="78" t="s">
        <v>1644</v>
      </c>
      <c r="I100" s="78" t="s">
        <v>1951</v>
      </c>
      <c r="J100" s="78" t="s">
        <v>1951</v>
      </c>
      <c r="K100" s="78" t="s">
        <v>1643</v>
      </c>
    </row>
    <row r="101" spans="1:11" ht="15.75" thickBot="1" x14ac:dyDescent="0.3">
      <c r="A101" s="44" t="s">
        <v>1183</v>
      </c>
      <c r="B101" s="107" t="s">
        <v>1184</v>
      </c>
      <c r="C101" s="78" t="s">
        <v>798</v>
      </c>
      <c r="D101" s="108">
        <v>5210</v>
      </c>
      <c r="E101" s="78" t="s">
        <v>3182</v>
      </c>
      <c r="F101" s="78" t="s">
        <v>2076</v>
      </c>
      <c r="G101" s="78" t="s">
        <v>2976</v>
      </c>
      <c r="H101" s="78" t="s">
        <v>1643</v>
      </c>
      <c r="I101" s="78" t="s">
        <v>2483</v>
      </c>
      <c r="J101" s="118">
        <v>10</v>
      </c>
      <c r="K101" s="78" t="s">
        <v>1643</v>
      </c>
    </row>
    <row r="102" spans="1:11" ht="15.75" thickBot="1" x14ac:dyDescent="0.3">
      <c r="A102" s="44" t="s">
        <v>1185</v>
      </c>
      <c r="B102" s="107" t="s">
        <v>1186</v>
      </c>
      <c r="C102" s="78" t="s">
        <v>798</v>
      </c>
      <c r="D102" s="108">
        <v>6997</v>
      </c>
      <c r="E102" s="78" t="s">
        <v>3183</v>
      </c>
      <c r="F102" s="78" t="s">
        <v>1988</v>
      </c>
      <c r="G102" s="78" t="s">
        <v>2985</v>
      </c>
      <c r="H102" s="78" t="s">
        <v>1643</v>
      </c>
      <c r="I102" s="78" t="s">
        <v>2483</v>
      </c>
      <c r="J102" s="78" t="s">
        <v>3453</v>
      </c>
      <c r="K102" s="78" t="s">
        <v>1643</v>
      </c>
    </row>
    <row r="103" spans="1:11" ht="15.75" thickBot="1" x14ac:dyDescent="0.3">
      <c r="A103" s="44" t="s">
        <v>1197</v>
      </c>
      <c r="B103" s="107" t="s">
        <v>1198</v>
      </c>
      <c r="C103" s="78" t="s">
        <v>798</v>
      </c>
      <c r="D103" s="108">
        <v>4168</v>
      </c>
      <c r="E103" s="78" t="s">
        <v>3188</v>
      </c>
      <c r="F103" s="78" t="s">
        <v>1944</v>
      </c>
      <c r="G103" s="78" t="s">
        <v>2991</v>
      </c>
      <c r="H103" s="78" t="s">
        <v>1644</v>
      </c>
      <c r="I103" s="78" t="s">
        <v>1951</v>
      </c>
      <c r="J103" s="78" t="s">
        <v>1951</v>
      </c>
      <c r="K103" s="78" t="s">
        <v>1643</v>
      </c>
    </row>
    <row r="104" spans="1:11" ht="15.75" thickBot="1" x14ac:dyDescent="0.3">
      <c r="A104" s="44" t="s">
        <v>1211</v>
      </c>
      <c r="B104" s="107" t="s">
        <v>1212</v>
      </c>
      <c r="C104" s="78" t="s">
        <v>798</v>
      </c>
      <c r="D104" s="108">
        <v>4934</v>
      </c>
      <c r="E104" s="78" t="s">
        <v>3194</v>
      </c>
      <c r="F104" s="78" t="s">
        <v>1919</v>
      </c>
      <c r="G104" s="78" t="s">
        <v>2991</v>
      </c>
      <c r="H104" s="78" t="s">
        <v>1643</v>
      </c>
      <c r="I104" s="78" t="s">
        <v>2483</v>
      </c>
      <c r="J104" s="78" t="s">
        <v>3195</v>
      </c>
      <c r="K104" s="78" t="s">
        <v>1660</v>
      </c>
    </row>
    <row r="105" spans="1:11" ht="15.75" thickBot="1" x14ac:dyDescent="0.3">
      <c r="A105" s="44" t="s">
        <v>1213</v>
      </c>
      <c r="B105" s="107" t="s">
        <v>1214</v>
      </c>
      <c r="C105" s="78" t="s">
        <v>798</v>
      </c>
      <c r="D105" s="108">
        <v>5857</v>
      </c>
      <c r="E105" s="78" t="s">
        <v>2474</v>
      </c>
      <c r="F105" s="78" t="s">
        <v>2334</v>
      </c>
      <c r="G105" s="78" t="s">
        <v>2987</v>
      </c>
      <c r="H105" s="78" t="s">
        <v>1644</v>
      </c>
      <c r="I105" s="78" t="s">
        <v>1951</v>
      </c>
      <c r="J105" s="78" t="s">
        <v>1951</v>
      </c>
      <c r="K105" s="78" t="s">
        <v>1643</v>
      </c>
    </row>
    <row r="106" spans="1:11" ht="15.75" thickBot="1" x14ac:dyDescent="0.3">
      <c r="A106" s="44" t="s">
        <v>1233</v>
      </c>
      <c r="B106" s="107" t="s">
        <v>1234</v>
      </c>
      <c r="C106" s="78" t="s">
        <v>798</v>
      </c>
      <c r="D106" s="108">
        <v>4141</v>
      </c>
      <c r="E106" s="78" t="s">
        <v>3202</v>
      </c>
      <c r="F106" s="78" t="s">
        <v>2047</v>
      </c>
      <c r="G106" s="78" t="s">
        <v>2987</v>
      </c>
      <c r="H106" s="78" t="s">
        <v>1644</v>
      </c>
      <c r="I106" s="78" t="s">
        <v>1951</v>
      </c>
      <c r="J106" s="78" t="s">
        <v>1951</v>
      </c>
      <c r="K106" s="78" t="s">
        <v>1660</v>
      </c>
    </row>
    <row r="107" spans="1:11" ht="15.75" thickBot="1" x14ac:dyDescent="0.3">
      <c r="A107" s="44" t="s">
        <v>1239</v>
      </c>
      <c r="B107" s="107" t="s">
        <v>1240</v>
      </c>
      <c r="C107" s="78" t="s">
        <v>798</v>
      </c>
      <c r="D107" s="108">
        <v>4197</v>
      </c>
      <c r="E107" s="78" t="s">
        <v>2201</v>
      </c>
      <c r="F107" s="78" t="s">
        <v>2259</v>
      </c>
      <c r="G107" s="78" t="s">
        <v>2987</v>
      </c>
      <c r="H107" s="78" t="s">
        <v>1643</v>
      </c>
      <c r="I107" s="78" t="s">
        <v>2483</v>
      </c>
      <c r="J107" s="78" t="s">
        <v>3204</v>
      </c>
      <c r="K107" s="78" t="s">
        <v>1643</v>
      </c>
    </row>
    <row r="108" spans="1:11" ht="15.75" thickBot="1" x14ac:dyDescent="0.3">
      <c r="A108" s="44" t="s">
        <v>1245</v>
      </c>
      <c r="B108" s="107" t="s">
        <v>1246</v>
      </c>
      <c r="C108" s="78" t="s">
        <v>798</v>
      </c>
      <c r="D108" s="108">
        <v>5068</v>
      </c>
      <c r="E108" s="78" t="s">
        <v>3208</v>
      </c>
      <c r="F108" s="78" t="s">
        <v>1903</v>
      </c>
      <c r="G108" s="78" t="s">
        <v>2985</v>
      </c>
      <c r="H108" s="78" t="s">
        <v>1643</v>
      </c>
      <c r="I108" s="78" t="s">
        <v>2483</v>
      </c>
      <c r="J108" s="118">
        <v>30</v>
      </c>
      <c r="K108" s="78" t="s">
        <v>1643</v>
      </c>
    </row>
    <row r="109" spans="1:11" ht="15.75" thickBot="1" x14ac:dyDescent="0.3">
      <c r="A109" s="44" t="s">
        <v>1249</v>
      </c>
      <c r="B109" s="107" t="s">
        <v>1250</v>
      </c>
      <c r="C109" s="78" t="s">
        <v>798</v>
      </c>
      <c r="D109" s="108">
        <v>4968</v>
      </c>
      <c r="E109" s="78" t="s">
        <v>2514</v>
      </c>
      <c r="F109" s="78" t="s">
        <v>1915</v>
      </c>
      <c r="G109" s="78" t="s">
        <v>2987</v>
      </c>
      <c r="H109" s="78" t="s">
        <v>1643</v>
      </c>
      <c r="I109" s="78" t="s">
        <v>2483</v>
      </c>
      <c r="J109" s="78" t="s">
        <v>3210</v>
      </c>
      <c r="K109" s="78" t="s">
        <v>1643</v>
      </c>
    </row>
    <row r="110" spans="1:11" ht="15.75" thickBot="1" x14ac:dyDescent="0.3">
      <c r="A110" s="44" t="s">
        <v>1261</v>
      </c>
      <c r="B110" s="107" t="s">
        <v>1262</v>
      </c>
      <c r="C110" s="78" t="s">
        <v>798</v>
      </c>
      <c r="D110" s="108">
        <v>4101</v>
      </c>
      <c r="E110" s="78" t="s">
        <v>2523</v>
      </c>
      <c r="F110" s="78" t="s">
        <v>2095</v>
      </c>
      <c r="G110" s="78" t="s">
        <v>2989</v>
      </c>
      <c r="H110" s="78" t="s">
        <v>1643</v>
      </c>
      <c r="I110" s="78" t="s">
        <v>3003</v>
      </c>
      <c r="J110" s="118">
        <v>20</v>
      </c>
      <c r="K110" s="78" t="s">
        <v>1643</v>
      </c>
    </row>
    <row r="111" spans="1:11" ht="15.75" thickBot="1" x14ac:dyDescent="0.3">
      <c r="A111" s="44" t="s">
        <v>1263</v>
      </c>
      <c r="B111" s="107" t="s">
        <v>1264</v>
      </c>
      <c r="C111" s="78" t="s">
        <v>798</v>
      </c>
      <c r="D111" s="108">
        <v>5241</v>
      </c>
      <c r="E111" s="78" t="s">
        <v>3213</v>
      </c>
      <c r="F111" s="78" t="s">
        <v>1898</v>
      </c>
      <c r="G111" s="78" t="s">
        <v>2979</v>
      </c>
      <c r="H111" s="78" t="s">
        <v>1643</v>
      </c>
      <c r="I111" s="78" t="s">
        <v>3003</v>
      </c>
      <c r="J111" s="118">
        <v>10</v>
      </c>
      <c r="K111" s="78" t="s">
        <v>1643</v>
      </c>
    </row>
    <row r="112" spans="1:11" ht="15.75" thickBot="1" x14ac:dyDescent="0.3">
      <c r="A112" s="44" t="s">
        <v>1271</v>
      </c>
      <c r="B112" s="107" t="s">
        <v>1272</v>
      </c>
      <c r="C112" s="78" t="s">
        <v>798</v>
      </c>
      <c r="D112" s="108">
        <v>5160</v>
      </c>
      <c r="E112" s="78" t="s">
        <v>3218</v>
      </c>
      <c r="F112" s="78" t="s">
        <v>2064</v>
      </c>
      <c r="G112" s="78" t="s">
        <v>2979</v>
      </c>
      <c r="H112" s="78" t="s">
        <v>1644</v>
      </c>
      <c r="I112" s="78" t="s">
        <v>1951</v>
      </c>
      <c r="J112" s="78" t="s">
        <v>1951</v>
      </c>
      <c r="K112" s="78" t="s">
        <v>1643</v>
      </c>
    </row>
    <row r="113" spans="1:11" ht="15.75" thickBot="1" x14ac:dyDescent="0.3">
      <c r="A113" s="44" t="s">
        <v>1273</v>
      </c>
      <c r="B113" s="107" t="s">
        <v>1274</v>
      </c>
      <c r="C113" s="78" t="s">
        <v>798</v>
      </c>
      <c r="D113" s="108">
        <v>5841</v>
      </c>
      <c r="E113" s="78" t="s">
        <v>3219</v>
      </c>
      <c r="F113" s="78" t="s">
        <v>2267</v>
      </c>
      <c r="G113" s="78" t="s">
        <v>2987</v>
      </c>
      <c r="H113" s="78" t="s">
        <v>1644</v>
      </c>
      <c r="I113" s="78" t="s">
        <v>1951</v>
      </c>
      <c r="J113" s="78" t="s">
        <v>1951</v>
      </c>
      <c r="K113" s="78" t="s">
        <v>1660</v>
      </c>
    </row>
    <row r="114" spans="1:11" ht="15.75" thickBot="1" x14ac:dyDescent="0.3">
      <c r="A114" s="44" t="s">
        <v>1279</v>
      </c>
      <c r="B114" s="107" t="s">
        <v>1280</v>
      </c>
      <c r="C114" s="78" t="s">
        <v>798</v>
      </c>
      <c r="D114" s="108">
        <v>4730</v>
      </c>
      <c r="E114" s="78" t="s">
        <v>2539</v>
      </c>
      <c r="F114" s="78" t="s">
        <v>2068</v>
      </c>
      <c r="G114" s="78" t="s">
        <v>2976</v>
      </c>
      <c r="H114" s="78" t="s">
        <v>1644</v>
      </c>
      <c r="I114" s="78" t="s">
        <v>1951</v>
      </c>
      <c r="J114" s="78" t="s">
        <v>1951</v>
      </c>
      <c r="K114" s="78" t="s">
        <v>1660</v>
      </c>
    </row>
    <row r="115" spans="1:11" ht="15.75" thickBot="1" x14ac:dyDescent="0.3">
      <c r="A115" s="44" t="s">
        <v>1297</v>
      </c>
      <c r="B115" s="107" t="s">
        <v>1298</v>
      </c>
      <c r="C115" s="78" t="s">
        <v>798</v>
      </c>
      <c r="D115" s="108">
        <v>5072</v>
      </c>
      <c r="E115" s="78" t="s">
        <v>2560</v>
      </c>
      <c r="F115" s="78" t="s">
        <v>1898</v>
      </c>
      <c r="G115" s="78" t="s">
        <v>2979</v>
      </c>
      <c r="H115" s="78" t="s">
        <v>1644</v>
      </c>
      <c r="I115" s="78" t="s">
        <v>1951</v>
      </c>
      <c r="J115" s="78" t="s">
        <v>1951</v>
      </c>
      <c r="K115" s="78" t="s">
        <v>1660</v>
      </c>
    </row>
    <row r="116" spans="1:11" ht="15.75" thickBot="1" x14ac:dyDescent="0.3">
      <c r="A116" s="44" t="s">
        <v>1299</v>
      </c>
      <c r="B116" s="107" t="s">
        <v>1300</v>
      </c>
      <c r="C116" s="78" t="s">
        <v>798</v>
      </c>
      <c r="D116" s="108">
        <v>6634</v>
      </c>
      <c r="E116" s="78" t="s">
        <v>1976</v>
      </c>
      <c r="F116" s="78" t="s">
        <v>1976</v>
      </c>
      <c r="G116" s="78" t="s">
        <v>2987</v>
      </c>
      <c r="H116" s="78" t="s">
        <v>1643</v>
      </c>
      <c r="I116" s="78" t="s">
        <v>2483</v>
      </c>
      <c r="J116" s="78" t="s">
        <v>3227</v>
      </c>
      <c r="K116" s="78" t="s">
        <v>1643</v>
      </c>
    </row>
    <row r="117" spans="1:11" ht="15.75" thickBot="1" x14ac:dyDescent="0.3">
      <c r="A117" s="44" t="s">
        <v>1311</v>
      </c>
      <c r="B117" s="107" t="s">
        <v>1312</v>
      </c>
      <c r="C117" s="78" t="s">
        <v>798</v>
      </c>
      <c r="D117" s="108">
        <v>5302</v>
      </c>
      <c r="E117" s="78" t="s">
        <v>2576</v>
      </c>
      <c r="F117" s="78" t="s">
        <v>2001</v>
      </c>
      <c r="G117" s="78" t="s">
        <v>2989</v>
      </c>
      <c r="H117" s="78" t="s">
        <v>1643</v>
      </c>
      <c r="I117" s="78" t="s">
        <v>2483</v>
      </c>
      <c r="J117" s="118">
        <v>34</v>
      </c>
      <c r="K117" s="78" t="s">
        <v>1643</v>
      </c>
    </row>
    <row r="118" spans="1:11" ht="15.75" thickBot="1" x14ac:dyDescent="0.3">
      <c r="A118" s="44" t="s">
        <v>1313</v>
      </c>
      <c r="B118" s="107" t="s">
        <v>1314</v>
      </c>
      <c r="C118" s="78" t="s">
        <v>798</v>
      </c>
      <c r="D118" s="108">
        <v>6834</v>
      </c>
      <c r="E118" s="78" t="s">
        <v>2180</v>
      </c>
      <c r="F118" s="78" t="s">
        <v>2180</v>
      </c>
      <c r="G118" s="78" t="s">
        <v>2991</v>
      </c>
      <c r="H118" s="78" t="s">
        <v>1643</v>
      </c>
      <c r="I118" s="78" t="s">
        <v>2483</v>
      </c>
      <c r="J118" s="78" t="s">
        <v>3235</v>
      </c>
      <c r="K118" s="78" t="s">
        <v>1643</v>
      </c>
    </row>
    <row r="119" spans="1:11" ht="15.75" thickBot="1" x14ac:dyDescent="0.3">
      <c r="A119" s="44" t="s">
        <v>1317</v>
      </c>
      <c r="B119" s="107" t="s">
        <v>1318</v>
      </c>
      <c r="C119" s="78" t="s">
        <v>798</v>
      </c>
      <c r="D119" s="108">
        <v>4469</v>
      </c>
      <c r="E119" s="78" t="s">
        <v>3236</v>
      </c>
      <c r="F119" s="78" t="s">
        <v>2076</v>
      </c>
      <c r="G119" s="78" t="s">
        <v>2976</v>
      </c>
      <c r="H119" s="78" t="s">
        <v>1643</v>
      </c>
      <c r="I119" s="78" t="s">
        <v>2483</v>
      </c>
      <c r="J119" s="118">
        <v>10</v>
      </c>
      <c r="K119" s="78" t="s">
        <v>1643</v>
      </c>
    </row>
    <row r="120" spans="1:11" ht="15.75" thickBot="1" x14ac:dyDescent="0.3">
      <c r="A120" s="44" t="s">
        <v>1325</v>
      </c>
      <c r="B120" s="107" t="s">
        <v>1326</v>
      </c>
      <c r="C120" s="78" t="s">
        <v>798</v>
      </c>
      <c r="D120" s="108">
        <v>6174</v>
      </c>
      <c r="E120" s="78" t="s">
        <v>3239</v>
      </c>
      <c r="F120" s="78" t="s">
        <v>2068</v>
      </c>
      <c r="G120" s="78" t="s">
        <v>2976</v>
      </c>
      <c r="H120" s="78" t="s">
        <v>1644</v>
      </c>
      <c r="I120" s="78" t="s">
        <v>1951</v>
      </c>
      <c r="J120" s="78" t="s">
        <v>1951</v>
      </c>
      <c r="K120" s="78" t="s">
        <v>1643</v>
      </c>
    </row>
    <row r="121" spans="1:11" ht="15.75" thickBot="1" x14ac:dyDescent="0.3">
      <c r="A121" s="44" t="s">
        <v>1345</v>
      </c>
      <c r="B121" s="107" t="s">
        <v>1346</v>
      </c>
      <c r="C121" s="78" t="s">
        <v>798</v>
      </c>
      <c r="D121" s="108">
        <v>5305</v>
      </c>
      <c r="E121" s="78" t="s">
        <v>2622</v>
      </c>
      <c r="F121" s="78" t="s">
        <v>1980</v>
      </c>
      <c r="G121" s="78" t="s">
        <v>2979</v>
      </c>
      <c r="H121" s="78" t="s">
        <v>1644</v>
      </c>
      <c r="I121" s="78" t="s">
        <v>1951</v>
      </c>
      <c r="J121" s="78" t="s">
        <v>1951</v>
      </c>
      <c r="K121" s="78" t="s">
        <v>1660</v>
      </c>
    </row>
    <row r="122" spans="1:11" ht="15.75" thickBot="1" x14ac:dyDescent="0.3">
      <c r="A122" s="44" t="s">
        <v>1351</v>
      </c>
      <c r="B122" s="107" t="s">
        <v>1352</v>
      </c>
      <c r="C122" s="78" t="s">
        <v>798</v>
      </c>
      <c r="D122" s="108">
        <v>6341</v>
      </c>
      <c r="E122" s="78" t="s">
        <v>3252</v>
      </c>
      <c r="F122" s="78" t="s">
        <v>2047</v>
      </c>
      <c r="G122" s="78" t="s">
        <v>2987</v>
      </c>
      <c r="H122" s="78" t="s">
        <v>1644</v>
      </c>
      <c r="I122" s="78" t="s">
        <v>1951</v>
      </c>
      <c r="J122" s="78" t="s">
        <v>1951</v>
      </c>
      <c r="K122" s="78" t="s">
        <v>1660</v>
      </c>
    </row>
    <row r="123" spans="1:11" ht="15.75" thickBot="1" x14ac:dyDescent="0.3">
      <c r="A123" s="44" t="s">
        <v>1357</v>
      </c>
      <c r="B123" s="107" t="s">
        <v>1358</v>
      </c>
      <c r="C123" s="78" t="s">
        <v>798</v>
      </c>
      <c r="D123" s="108">
        <v>5433</v>
      </c>
      <c r="E123" s="78" t="s">
        <v>3253</v>
      </c>
      <c r="F123" s="78" t="s">
        <v>2277</v>
      </c>
      <c r="G123" s="78" t="s">
        <v>2985</v>
      </c>
      <c r="H123" s="78" t="s">
        <v>1643</v>
      </c>
      <c r="I123" s="78" t="s">
        <v>2483</v>
      </c>
      <c r="J123" s="118">
        <v>100</v>
      </c>
      <c r="K123" s="78" t="s">
        <v>1643</v>
      </c>
    </row>
    <row r="124" spans="1:11" ht="15.75" thickBot="1" x14ac:dyDescent="0.3">
      <c r="A124" s="44" t="s">
        <v>1367</v>
      </c>
      <c r="B124" s="107" t="s">
        <v>1368</v>
      </c>
      <c r="C124" s="78" t="s">
        <v>798</v>
      </c>
      <c r="D124" s="108">
        <v>6654</v>
      </c>
      <c r="E124" s="78" t="s">
        <v>3258</v>
      </c>
      <c r="F124" s="78" t="s">
        <v>1970</v>
      </c>
      <c r="G124" s="78" t="s">
        <v>2979</v>
      </c>
      <c r="H124" s="78" t="s">
        <v>1643</v>
      </c>
      <c r="I124" s="78" t="s">
        <v>2483</v>
      </c>
      <c r="J124" s="78" t="s">
        <v>3259</v>
      </c>
      <c r="K124" s="78" t="s">
        <v>1643</v>
      </c>
    </row>
    <row r="125" spans="1:11" ht="15.75" thickBot="1" x14ac:dyDescent="0.3">
      <c r="A125" s="44" t="s">
        <v>1371</v>
      </c>
      <c r="B125" s="107" t="s">
        <v>1372</v>
      </c>
      <c r="C125" s="78" t="s">
        <v>798</v>
      </c>
      <c r="D125" s="108">
        <v>4105</v>
      </c>
      <c r="E125" s="78" t="s">
        <v>2659</v>
      </c>
      <c r="F125" s="78" t="s">
        <v>2076</v>
      </c>
      <c r="G125" s="78" t="s">
        <v>2976</v>
      </c>
      <c r="H125" s="78" t="s">
        <v>1643</v>
      </c>
      <c r="I125" s="78" t="s">
        <v>2483</v>
      </c>
      <c r="J125" s="78" t="s">
        <v>3453</v>
      </c>
      <c r="K125" s="78" t="s">
        <v>1643</v>
      </c>
    </row>
    <row r="126" spans="1:11" ht="15.75" thickBot="1" x14ac:dyDescent="0.3">
      <c r="A126" s="44" t="s">
        <v>1377</v>
      </c>
      <c r="B126" s="107" t="s">
        <v>1378</v>
      </c>
      <c r="C126" s="78" t="s">
        <v>798</v>
      </c>
      <c r="D126" s="108">
        <v>5033</v>
      </c>
      <c r="E126" s="78" t="s">
        <v>2668</v>
      </c>
      <c r="F126" s="78" t="s">
        <v>1970</v>
      </c>
      <c r="G126" s="78" t="s">
        <v>2979</v>
      </c>
      <c r="H126" s="78" t="s">
        <v>1643</v>
      </c>
      <c r="I126" s="78" t="s">
        <v>2483</v>
      </c>
      <c r="J126" s="118">
        <v>5</v>
      </c>
      <c r="K126" s="78" t="s">
        <v>1643</v>
      </c>
    </row>
    <row r="127" spans="1:11" ht="15.75" thickBot="1" x14ac:dyDescent="0.3">
      <c r="A127" s="44" t="s">
        <v>1385</v>
      </c>
      <c r="B127" s="107" t="s">
        <v>1386</v>
      </c>
      <c r="C127" s="78" t="s">
        <v>798</v>
      </c>
      <c r="D127" s="108">
        <v>5413</v>
      </c>
      <c r="E127" s="78" t="s">
        <v>3266</v>
      </c>
      <c r="F127" s="78" t="s">
        <v>1999</v>
      </c>
      <c r="G127" s="78" t="s">
        <v>2976</v>
      </c>
      <c r="H127" s="78" t="s">
        <v>1644</v>
      </c>
      <c r="I127" s="78" t="s">
        <v>1951</v>
      </c>
      <c r="J127" s="78" t="s">
        <v>1951</v>
      </c>
      <c r="K127" s="78" t="s">
        <v>1660</v>
      </c>
    </row>
    <row r="128" spans="1:11" ht="15.75" thickBot="1" x14ac:dyDescent="0.3">
      <c r="A128" s="44" t="s">
        <v>1391</v>
      </c>
      <c r="B128" s="107" t="s">
        <v>1392</v>
      </c>
      <c r="C128" s="78" t="s">
        <v>798</v>
      </c>
      <c r="D128" s="108">
        <v>6847</v>
      </c>
      <c r="E128" s="78" t="s">
        <v>3268</v>
      </c>
      <c r="F128" s="78" t="s">
        <v>2205</v>
      </c>
      <c r="G128" s="78" t="s">
        <v>2976</v>
      </c>
      <c r="H128" s="78" t="s">
        <v>1643</v>
      </c>
      <c r="I128" s="78" t="s">
        <v>2483</v>
      </c>
      <c r="J128" s="78" t="s">
        <v>3269</v>
      </c>
      <c r="K128" s="78" t="s">
        <v>1643</v>
      </c>
    </row>
    <row r="129" spans="1:11" ht="15.75" thickBot="1" x14ac:dyDescent="0.3">
      <c r="A129" s="44" t="s">
        <v>1393</v>
      </c>
      <c r="B129" s="107" t="s">
        <v>1394</v>
      </c>
      <c r="C129" s="78" t="s">
        <v>798</v>
      </c>
      <c r="D129" s="108">
        <v>6240</v>
      </c>
      <c r="E129" s="78" t="s">
        <v>3270</v>
      </c>
      <c r="F129" s="78" t="s">
        <v>2043</v>
      </c>
      <c r="G129" s="78" t="s">
        <v>2979</v>
      </c>
      <c r="H129" s="78" t="s">
        <v>1643</v>
      </c>
      <c r="I129" s="78" t="s">
        <v>2483</v>
      </c>
      <c r="J129" s="78" t="s">
        <v>3271</v>
      </c>
      <c r="K129" s="78" t="s">
        <v>1643</v>
      </c>
    </row>
    <row r="130" spans="1:11" ht="15.75" thickBot="1" x14ac:dyDescent="0.3">
      <c r="A130" s="44" t="s">
        <v>1399</v>
      </c>
      <c r="B130" s="107" t="s">
        <v>1400</v>
      </c>
      <c r="C130" s="78" t="s">
        <v>798</v>
      </c>
      <c r="D130" s="108">
        <v>5376</v>
      </c>
      <c r="E130" s="78" t="s">
        <v>2699</v>
      </c>
      <c r="F130" s="78" t="s">
        <v>2076</v>
      </c>
      <c r="G130" s="78" t="s">
        <v>2976</v>
      </c>
      <c r="H130" s="78" t="s">
        <v>1643</v>
      </c>
      <c r="I130" s="78" t="s">
        <v>2483</v>
      </c>
      <c r="J130" s="78" t="s">
        <v>3273</v>
      </c>
      <c r="K130" s="78" t="s">
        <v>1643</v>
      </c>
    </row>
    <row r="131" spans="1:11" ht="15.75" thickBot="1" x14ac:dyDescent="0.3">
      <c r="A131" s="44" t="s">
        <v>1405</v>
      </c>
      <c r="B131" s="107" t="s">
        <v>1406</v>
      </c>
      <c r="C131" s="78" t="s">
        <v>798</v>
      </c>
      <c r="D131" s="108">
        <v>5523</v>
      </c>
      <c r="E131" s="78" t="s">
        <v>3276</v>
      </c>
      <c r="F131" s="78" t="s">
        <v>2064</v>
      </c>
      <c r="G131" s="78" t="s">
        <v>2979</v>
      </c>
      <c r="H131" s="78" t="s">
        <v>1643</v>
      </c>
      <c r="I131" s="78" t="s">
        <v>2483</v>
      </c>
      <c r="J131" s="78" t="s">
        <v>3277</v>
      </c>
      <c r="K131" s="78" t="s">
        <v>1643</v>
      </c>
    </row>
    <row r="132" spans="1:11" ht="15.75" thickBot="1" x14ac:dyDescent="0.3">
      <c r="A132" s="44" t="s">
        <v>1417</v>
      </c>
      <c r="B132" s="107" t="s">
        <v>1418</v>
      </c>
      <c r="C132" s="78" t="s">
        <v>798</v>
      </c>
      <c r="D132" s="108">
        <v>4659</v>
      </c>
      <c r="E132" s="78" t="s">
        <v>2716</v>
      </c>
      <c r="F132" s="78" t="s">
        <v>2043</v>
      </c>
      <c r="G132" s="78" t="s">
        <v>2979</v>
      </c>
      <c r="H132" s="78" t="s">
        <v>1643</v>
      </c>
      <c r="I132" s="78" t="s">
        <v>2483</v>
      </c>
      <c r="J132" s="118">
        <v>50</v>
      </c>
      <c r="K132" s="78" t="s">
        <v>1660</v>
      </c>
    </row>
    <row r="133" spans="1:11" ht="15.75" thickBot="1" x14ac:dyDescent="0.3">
      <c r="A133" s="44" t="s">
        <v>1429</v>
      </c>
      <c r="B133" s="107" t="s">
        <v>1430</v>
      </c>
      <c r="C133" s="78" t="s">
        <v>798</v>
      </c>
      <c r="D133" s="108">
        <v>6295</v>
      </c>
      <c r="E133" s="78" t="s">
        <v>2415</v>
      </c>
      <c r="F133" s="78" t="s">
        <v>2415</v>
      </c>
      <c r="G133" s="78" t="s">
        <v>2981</v>
      </c>
      <c r="H133" s="78" t="s">
        <v>1644</v>
      </c>
      <c r="I133" s="78" t="s">
        <v>1951</v>
      </c>
      <c r="J133" s="78" t="s">
        <v>1951</v>
      </c>
      <c r="K133" s="78" t="s">
        <v>1660</v>
      </c>
    </row>
    <row r="134" spans="1:11" ht="15.75" thickBot="1" x14ac:dyDescent="0.3">
      <c r="A134" s="44" t="s">
        <v>1443</v>
      </c>
      <c r="B134" s="107" t="s">
        <v>1444</v>
      </c>
      <c r="C134" s="78" t="s">
        <v>798</v>
      </c>
      <c r="D134" s="108">
        <v>4434</v>
      </c>
      <c r="E134" s="78" t="s">
        <v>3294</v>
      </c>
      <c r="F134" s="78" t="s">
        <v>2507</v>
      </c>
      <c r="G134" s="78" t="s">
        <v>2981</v>
      </c>
      <c r="H134" s="78" t="s">
        <v>1643</v>
      </c>
      <c r="I134" s="78" t="s">
        <v>2483</v>
      </c>
      <c r="J134" s="78" t="s">
        <v>3295</v>
      </c>
      <c r="K134" s="78" t="s">
        <v>1643</v>
      </c>
    </row>
    <row r="135" spans="1:11" ht="15.75" thickBot="1" x14ac:dyDescent="0.3">
      <c r="A135" s="44" t="s">
        <v>1453</v>
      </c>
      <c r="B135" s="107" t="s">
        <v>1454</v>
      </c>
      <c r="C135" s="78" t="s">
        <v>798</v>
      </c>
      <c r="D135" s="108">
        <v>4375</v>
      </c>
      <c r="E135" s="78" t="s">
        <v>3301</v>
      </c>
      <c r="F135" s="78" t="s">
        <v>1898</v>
      </c>
      <c r="G135" s="78" t="s">
        <v>2979</v>
      </c>
      <c r="H135" s="78" t="s">
        <v>1644</v>
      </c>
      <c r="I135" s="78" t="s">
        <v>1951</v>
      </c>
      <c r="J135" s="78" t="s">
        <v>1951</v>
      </c>
      <c r="K135" s="78" t="s">
        <v>1643</v>
      </c>
    </row>
    <row r="136" spans="1:11" ht="15.75" thickBot="1" x14ac:dyDescent="0.3">
      <c r="A136" s="44" t="s">
        <v>1457</v>
      </c>
      <c r="B136" s="107" t="s">
        <v>1458</v>
      </c>
      <c r="C136" s="78" t="s">
        <v>798</v>
      </c>
      <c r="D136" s="108">
        <v>5101</v>
      </c>
      <c r="E136" s="78" t="s">
        <v>3303</v>
      </c>
      <c r="F136" s="78" t="s">
        <v>1919</v>
      </c>
      <c r="G136" s="78" t="s">
        <v>2991</v>
      </c>
      <c r="H136" s="78" t="s">
        <v>1643</v>
      </c>
      <c r="I136" s="78" t="s">
        <v>2483</v>
      </c>
      <c r="J136" s="78" t="s">
        <v>3304</v>
      </c>
      <c r="K136" s="78" t="s">
        <v>1951</v>
      </c>
    </row>
    <row r="137" spans="1:11" ht="15.75" thickBot="1" x14ac:dyDescent="0.3">
      <c r="A137" s="44" t="s">
        <v>1463</v>
      </c>
      <c r="B137" s="107" t="s">
        <v>1464</v>
      </c>
      <c r="C137" s="78" t="s">
        <v>798</v>
      </c>
      <c r="D137" s="108">
        <v>4038</v>
      </c>
      <c r="E137" s="78" t="s">
        <v>2770</v>
      </c>
      <c r="F137" s="78" t="s">
        <v>1970</v>
      </c>
      <c r="G137" s="78" t="s">
        <v>2979</v>
      </c>
      <c r="H137" s="78" t="s">
        <v>1644</v>
      </c>
      <c r="I137" s="78" t="s">
        <v>1951</v>
      </c>
      <c r="J137" s="78" t="s">
        <v>1951</v>
      </c>
      <c r="K137" s="78" t="s">
        <v>1643</v>
      </c>
    </row>
    <row r="138" spans="1:11" ht="15.75" thickBot="1" x14ac:dyDescent="0.3">
      <c r="A138" s="44" t="s">
        <v>1472</v>
      </c>
      <c r="B138" s="107" t="s">
        <v>1473</v>
      </c>
      <c r="C138" s="78" t="s">
        <v>798</v>
      </c>
      <c r="D138" s="108">
        <v>5635</v>
      </c>
      <c r="E138" s="78" t="s">
        <v>3310</v>
      </c>
      <c r="F138" s="78" t="s">
        <v>2132</v>
      </c>
      <c r="G138" s="78" t="s">
        <v>2979</v>
      </c>
      <c r="H138" s="78" t="s">
        <v>1643</v>
      </c>
      <c r="I138" s="78" t="s">
        <v>2483</v>
      </c>
      <c r="J138" s="78" t="s">
        <v>3311</v>
      </c>
      <c r="K138" s="78" t="s">
        <v>1643</v>
      </c>
    </row>
    <row r="139" spans="1:11" ht="15.75" thickBot="1" x14ac:dyDescent="0.3">
      <c r="A139" s="44" t="s">
        <v>1494</v>
      </c>
      <c r="B139" s="107" t="s">
        <v>1495</v>
      </c>
      <c r="C139" s="78" t="s">
        <v>798</v>
      </c>
      <c r="D139" s="108">
        <v>4046</v>
      </c>
      <c r="E139" s="78" t="s">
        <v>3319</v>
      </c>
      <c r="F139" s="78" t="s">
        <v>1892</v>
      </c>
      <c r="G139" s="78" t="s">
        <v>2976</v>
      </c>
      <c r="H139" s="78" t="s">
        <v>1643</v>
      </c>
      <c r="I139" s="78" t="s">
        <v>2483</v>
      </c>
      <c r="J139" s="78" t="s">
        <v>3034</v>
      </c>
      <c r="K139" s="78" t="s">
        <v>1660</v>
      </c>
    </row>
    <row r="140" spans="1:11" ht="15.75" thickBot="1" x14ac:dyDescent="0.3">
      <c r="A140" s="44" t="s">
        <v>1506</v>
      </c>
      <c r="B140" s="107" t="s">
        <v>1507</v>
      </c>
      <c r="C140" s="78" t="s">
        <v>798</v>
      </c>
      <c r="D140" s="108">
        <v>5479</v>
      </c>
      <c r="E140" s="78" t="s">
        <v>2818</v>
      </c>
      <c r="F140" s="78" t="s">
        <v>2334</v>
      </c>
      <c r="G140" s="78" t="s">
        <v>2985</v>
      </c>
      <c r="H140" s="78" t="s">
        <v>1644</v>
      </c>
      <c r="I140" s="78" t="s">
        <v>1951</v>
      </c>
      <c r="J140" s="78" t="s">
        <v>1951</v>
      </c>
      <c r="K140" s="78" t="s">
        <v>1660</v>
      </c>
    </row>
    <row r="141" spans="1:11" ht="15.75" thickBot="1" x14ac:dyDescent="0.3">
      <c r="A141" s="44" t="s">
        <v>1514</v>
      </c>
      <c r="B141" s="107" t="s">
        <v>1515</v>
      </c>
      <c r="C141" s="78" t="s">
        <v>798</v>
      </c>
      <c r="D141" s="108">
        <v>6680</v>
      </c>
      <c r="E141" s="78" t="s">
        <v>3331</v>
      </c>
      <c r="F141" s="78" t="s">
        <v>2043</v>
      </c>
      <c r="G141" s="78" t="s">
        <v>2979</v>
      </c>
      <c r="H141" s="78" t="s">
        <v>1644</v>
      </c>
      <c r="I141" s="78" t="s">
        <v>1951</v>
      </c>
      <c r="J141" s="78" t="s">
        <v>1951</v>
      </c>
      <c r="K141" s="78" t="s">
        <v>1643</v>
      </c>
    </row>
    <row r="142" spans="1:11" ht="15.75" thickBot="1" x14ac:dyDescent="0.3">
      <c r="A142" s="44" t="s">
        <v>1522</v>
      </c>
      <c r="B142" s="107" t="s">
        <v>1523</v>
      </c>
      <c r="C142" s="78" t="s">
        <v>798</v>
      </c>
      <c r="D142" s="108">
        <v>6033</v>
      </c>
      <c r="E142" s="78" t="s">
        <v>2836</v>
      </c>
      <c r="F142" s="78" t="s">
        <v>2043</v>
      </c>
      <c r="G142" s="78" t="s">
        <v>2979</v>
      </c>
      <c r="H142" s="78" t="s">
        <v>1643</v>
      </c>
      <c r="I142" s="78" t="s">
        <v>2483</v>
      </c>
      <c r="J142" s="118">
        <v>10</v>
      </c>
      <c r="K142" s="78" t="s">
        <v>1660</v>
      </c>
    </row>
    <row r="143" spans="1:11" ht="15.75" thickBot="1" x14ac:dyDescent="0.3">
      <c r="A143" s="44" t="s">
        <v>1530</v>
      </c>
      <c r="B143" s="107" t="s">
        <v>1531</v>
      </c>
      <c r="C143" s="78" t="s">
        <v>798</v>
      </c>
      <c r="D143" s="108">
        <v>4576</v>
      </c>
      <c r="E143" s="78" t="s">
        <v>2844</v>
      </c>
      <c r="F143" s="78" t="s">
        <v>2001</v>
      </c>
      <c r="G143" s="78" t="s">
        <v>2989</v>
      </c>
      <c r="H143" s="78" t="s">
        <v>1643</v>
      </c>
      <c r="I143" s="78" t="s">
        <v>2483</v>
      </c>
      <c r="J143" s="118">
        <v>25</v>
      </c>
      <c r="K143" s="78" t="s">
        <v>1643</v>
      </c>
    </row>
    <row r="144" spans="1:11" ht="15.75" thickBot="1" x14ac:dyDescent="0.3">
      <c r="A144" s="44" t="s">
        <v>1544</v>
      </c>
      <c r="B144" s="107" t="s">
        <v>1545</v>
      </c>
      <c r="C144" s="78" t="s">
        <v>798</v>
      </c>
      <c r="D144" s="108">
        <v>4757</v>
      </c>
      <c r="E144" s="78" t="s">
        <v>3345</v>
      </c>
      <c r="F144" s="78" t="s">
        <v>1952</v>
      </c>
      <c r="G144" s="78" t="s">
        <v>2999</v>
      </c>
      <c r="H144" s="78" t="s">
        <v>1643</v>
      </c>
      <c r="I144" s="78" t="s">
        <v>2483</v>
      </c>
      <c r="J144" s="78" t="s">
        <v>3229</v>
      </c>
      <c r="K144" s="78" t="s">
        <v>1660</v>
      </c>
    </row>
    <row r="145" spans="1:11" ht="15.75" thickBot="1" x14ac:dyDescent="0.3">
      <c r="A145" s="44" t="s">
        <v>1550</v>
      </c>
      <c r="B145" s="107" t="s">
        <v>1551</v>
      </c>
      <c r="C145" s="78" t="s">
        <v>798</v>
      </c>
      <c r="D145" s="108">
        <v>4614</v>
      </c>
      <c r="E145" s="78" t="s">
        <v>2867</v>
      </c>
      <c r="F145" s="78" t="s">
        <v>2157</v>
      </c>
      <c r="G145" s="78" t="s">
        <v>2993</v>
      </c>
      <c r="H145" s="78" t="s">
        <v>1644</v>
      </c>
      <c r="I145" s="78" t="s">
        <v>1951</v>
      </c>
      <c r="J145" s="78" t="s">
        <v>1951</v>
      </c>
      <c r="K145" s="78" t="s">
        <v>3453</v>
      </c>
    </row>
    <row r="146" spans="1:11" ht="15.75" thickBot="1" x14ac:dyDescent="0.3">
      <c r="A146" s="44" t="s">
        <v>1560</v>
      </c>
      <c r="B146" s="107" t="s">
        <v>1561</v>
      </c>
      <c r="C146" s="78" t="s">
        <v>798</v>
      </c>
      <c r="D146" s="108">
        <v>6999</v>
      </c>
      <c r="E146" s="78" t="s">
        <v>3352</v>
      </c>
      <c r="F146" s="78" t="s">
        <v>1885</v>
      </c>
      <c r="G146" s="78" t="s">
        <v>2974</v>
      </c>
      <c r="H146" s="78" t="s">
        <v>1644</v>
      </c>
      <c r="I146" s="78" t="s">
        <v>1951</v>
      </c>
      <c r="J146" s="78" t="s">
        <v>1951</v>
      </c>
      <c r="K146" s="78" t="s">
        <v>1660</v>
      </c>
    </row>
    <row r="147" spans="1:11" ht="15.75" thickBot="1" x14ac:dyDescent="0.3">
      <c r="A147" s="44" t="s">
        <v>1570</v>
      </c>
      <c r="B147" s="107" t="s">
        <v>1571</v>
      </c>
      <c r="C147" s="78" t="s">
        <v>798</v>
      </c>
      <c r="D147" s="108">
        <v>4837</v>
      </c>
      <c r="E147" s="78" t="s">
        <v>2885</v>
      </c>
      <c r="F147" s="78" t="s">
        <v>2001</v>
      </c>
      <c r="G147" s="78" t="s">
        <v>2989</v>
      </c>
      <c r="H147" s="78" t="s">
        <v>1643</v>
      </c>
      <c r="I147" s="78" t="s">
        <v>2483</v>
      </c>
      <c r="J147" s="118">
        <v>25</v>
      </c>
      <c r="K147" s="78" t="s">
        <v>1660</v>
      </c>
    </row>
    <row r="148" spans="1:11" ht="15.75" thickBot="1" x14ac:dyDescent="0.3">
      <c r="A148" s="44" t="s">
        <v>1588</v>
      </c>
      <c r="B148" s="107" t="s">
        <v>1589</v>
      </c>
      <c r="C148" s="78" t="s">
        <v>798</v>
      </c>
      <c r="D148" s="108">
        <v>5240</v>
      </c>
      <c r="E148" s="78" t="s">
        <v>2908</v>
      </c>
      <c r="F148" s="78" t="s">
        <v>2068</v>
      </c>
      <c r="G148" s="78" t="s">
        <v>2976</v>
      </c>
      <c r="H148" s="78" t="s">
        <v>1643</v>
      </c>
      <c r="I148" s="78" t="s">
        <v>2483</v>
      </c>
      <c r="J148" s="78" t="s">
        <v>2994</v>
      </c>
      <c r="K148" s="78" t="s">
        <v>1643</v>
      </c>
    </row>
    <row r="149" spans="1:11" ht="15.75" thickBot="1" x14ac:dyDescent="0.3">
      <c r="A149" s="44" t="s">
        <v>806</v>
      </c>
      <c r="B149" s="107" t="s">
        <v>807</v>
      </c>
      <c r="C149" s="78" t="s">
        <v>808</v>
      </c>
      <c r="D149" s="108">
        <v>7410</v>
      </c>
      <c r="E149" s="78" t="s">
        <v>2978</v>
      </c>
      <c r="F149" s="78" t="s">
        <v>1898</v>
      </c>
      <c r="G149" s="78" t="s">
        <v>2979</v>
      </c>
      <c r="H149" s="78" t="s">
        <v>1644</v>
      </c>
      <c r="I149" s="78" t="s">
        <v>1951</v>
      </c>
      <c r="J149" s="78" t="s">
        <v>1951</v>
      </c>
      <c r="K149" s="78" t="s">
        <v>3453</v>
      </c>
    </row>
    <row r="150" spans="1:11" ht="15.75" thickBot="1" x14ac:dyDescent="0.3">
      <c r="A150" s="44" t="s">
        <v>809</v>
      </c>
      <c r="B150" s="107" t="s">
        <v>810</v>
      </c>
      <c r="C150" s="78" t="s">
        <v>808</v>
      </c>
      <c r="D150" s="108">
        <v>11600</v>
      </c>
      <c r="E150" s="78" t="s">
        <v>2980</v>
      </c>
      <c r="F150" s="78" t="s">
        <v>1903</v>
      </c>
      <c r="G150" s="78" t="s">
        <v>2981</v>
      </c>
      <c r="H150" s="78" t="s">
        <v>1643</v>
      </c>
      <c r="I150" s="78" t="s">
        <v>2483</v>
      </c>
      <c r="J150" s="78" t="s">
        <v>2982</v>
      </c>
      <c r="K150" s="78" t="s">
        <v>1643</v>
      </c>
    </row>
    <row r="151" spans="1:11" ht="15.75" thickBot="1" x14ac:dyDescent="0.3">
      <c r="A151" s="44" t="s">
        <v>811</v>
      </c>
      <c r="B151" s="107" t="s">
        <v>812</v>
      </c>
      <c r="C151" s="78" t="s">
        <v>808</v>
      </c>
      <c r="D151" s="108">
        <v>11569</v>
      </c>
      <c r="E151" s="78" t="s">
        <v>2983</v>
      </c>
      <c r="F151" s="78" t="s">
        <v>1905</v>
      </c>
      <c r="G151" s="78" t="s">
        <v>2976</v>
      </c>
      <c r="H151" s="78" t="s">
        <v>1643</v>
      </c>
      <c r="I151" s="78" t="s">
        <v>2483</v>
      </c>
      <c r="J151" s="78" t="s">
        <v>2984</v>
      </c>
      <c r="K151" s="78" t="s">
        <v>1660</v>
      </c>
    </row>
    <row r="152" spans="1:11" ht="15.75" thickBot="1" x14ac:dyDescent="0.3">
      <c r="A152" s="44" t="s">
        <v>813</v>
      </c>
      <c r="B152" s="107" t="s">
        <v>814</v>
      </c>
      <c r="C152" s="78" t="s">
        <v>808</v>
      </c>
      <c r="D152" s="108">
        <v>9706</v>
      </c>
      <c r="E152" s="78" t="s">
        <v>1910</v>
      </c>
      <c r="F152" s="78" t="s">
        <v>1909</v>
      </c>
      <c r="G152" s="78" t="s">
        <v>2985</v>
      </c>
      <c r="H152" s="78" t="s">
        <v>1644</v>
      </c>
      <c r="I152" s="78" t="s">
        <v>1951</v>
      </c>
      <c r="J152" s="78" t="s">
        <v>1951</v>
      </c>
      <c r="K152" s="78" t="s">
        <v>1660</v>
      </c>
    </row>
    <row r="153" spans="1:11" ht="15.75" thickBot="1" x14ac:dyDescent="0.3">
      <c r="A153" s="44" t="s">
        <v>825</v>
      </c>
      <c r="B153" s="107" t="s">
        <v>826</v>
      </c>
      <c r="C153" s="78" t="s">
        <v>808</v>
      </c>
      <c r="D153" s="108">
        <v>11902</v>
      </c>
      <c r="E153" s="78" t="s">
        <v>2992</v>
      </c>
      <c r="F153" s="78" t="s">
        <v>1930</v>
      </c>
      <c r="G153" s="78" t="s">
        <v>2979</v>
      </c>
      <c r="H153" s="78" t="s">
        <v>1643</v>
      </c>
      <c r="I153" s="78" t="s">
        <v>2483</v>
      </c>
      <c r="J153" s="118">
        <v>40</v>
      </c>
      <c r="K153" s="78" t="s">
        <v>1643</v>
      </c>
    </row>
    <row r="154" spans="1:11" ht="15.75" thickBot="1" x14ac:dyDescent="0.3">
      <c r="A154" s="44" t="s">
        <v>833</v>
      </c>
      <c r="B154" s="107" t="s">
        <v>834</v>
      </c>
      <c r="C154" s="78" t="s">
        <v>808</v>
      </c>
      <c r="D154" s="108">
        <v>11000</v>
      </c>
      <c r="E154" s="78" t="s">
        <v>2995</v>
      </c>
      <c r="F154" s="78" t="s">
        <v>1944</v>
      </c>
      <c r="G154" s="78" t="s">
        <v>2991</v>
      </c>
      <c r="H154" s="78" t="s">
        <v>1643</v>
      </c>
      <c r="I154" s="78" t="s">
        <v>2483</v>
      </c>
      <c r="J154" s="118">
        <v>40</v>
      </c>
      <c r="K154" s="78" t="s">
        <v>1643</v>
      </c>
    </row>
    <row r="155" spans="1:11" ht="15.75" thickBot="1" x14ac:dyDescent="0.3">
      <c r="A155" s="44" t="s">
        <v>848</v>
      </c>
      <c r="B155" s="107" t="s">
        <v>849</v>
      </c>
      <c r="C155" s="78" t="s">
        <v>808</v>
      </c>
      <c r="D155" s="108">
        <v>7172</v>
      </c>
      <c r="E155" s="78" t="s">
        <v>3006</v>
      </c>
      <c r="F155" s="78" t="s">
        <v>1964</v>
      </c>
      <c r="G155" s="78" t="s">
        <v>2989</v>
      </c>
      <c r="H155" s="78" t="s">
        <v>1643</v>
      </c>
      <c r="I155" s="78" t="s">
        <v>2483</v>
      </c>
      <c r="J155" s="78" t="s">
        <v>3007</v>
      </c>
      <c r="K155" s="78" t="s">
        <v>1643</v>
      </c>
    </row>
    <row r="156" spans="1:11" ht="15.75" thickBot="1" x14ac:dyDescent="0.3">
      <c r="A156" s="44" t="s">
        <v>859</v>
      </c>
      <c r="B156" s="107" t="s">
        <v>860</v>
      </c>
      <c r="C156" s="78" t="s">
        <v>808</v>
      </c>
      <c r="D156" s="108">
        <v>11598</v>
      </c>
      <c r="E156" s="78" t="s">
        <v>3014</v>
      </c>
      <c r="F156" s="78" t="s">
        <v>1980</v>
      </c>
      <c r="G156" s="78" t="s">
        <v>3015</v>
      </c>
      <c r="H156" s="78" t="s">
        <v>1644</v>
      </c>
      <c r="I156" s="78" t="s">
        <v>1951</v>
      </c>
      <c r="J156" s="78" t="s">
        <v>1951</v>
      </c>
      <c r="K156" s="78" t="s">
        <v>1643</v>
      </c>
    </row>
    <row r="157" spans="1:11" ht="15.75" thickBot="1" x14ac:dyDescent="0.3">
      <c r="A157" s="44" t="s">
        <v>879</v>
      </c>
      <c r="B157" s="107" t="s">
        <v>880</v>
      </c>
      <c r="C157" s="78" t="s">
        <v>808</v>
      </c>
      <c r="D157" s="108">
        <v>9197</v>
      </c>
      <c r="E157" s="78" t="s">
        <v>3024</v>
      </c>
      <c r="F157" s="78" t="s">
        <v>2001</v>
      </c>
      <c r="G157" s="78" t="s">
        <v>2989</v>
      </c>
      <c r="H157" s="78" t="s">
        <v>1643</v>
      </c>
      <c r="I157" s="78" t="s">
        <v>2483</v>
      </c>
      <c r="J157" s="78" t="s">
        <v>3025</v>
      </c>
      <c r="K157" s="78" t="s">
        <v>1660</v>
      </c>
    </row>
    <row r="158" spans="1:11" ht="15.75" thickBot="1" x14ac:dyDescent="0.3">
      <c r="A158" s="44" t="s">
        <v>889</v>
      </c>
      <c r="B158" s="107" t="s">
        <v>890</v>
      </c>
      <c r="C158" s="78" t="s">
        <v>808</v>
      </c>
      <c r="D158" s="108">
        <v>11825</v>
      </c>
      <c r="E158" s="78" t="s">
        <v>3031</v>
      </c>
      <c r="F158" s="78" t="s">
        <v>1885</v>
      </c>
      <c r="G158" s="78" t="s">
        <v>2974</v>
      </c>
      <c r="H158" s="78" t="s">
        <v>1643</v>
      </c>
      <c r="I158" s="78" t="s">
        <v>2483</v>
      </c>
      <c r="J158" s="118">
        <v>100</v>
      </c>
      <c r="K158" s="78" t="s">
        <v>1660</v>
      </c>
    </row>
    <row r="159" spans="1:11" ht="15.75" thickBot="1" x14ac:dyDescent="0.3">
      <c r="A159" s="44" t="s">
        <v>893</v>
      </c>
      <c r="B159" s="107" t="s">
        <v>894</v>
      </c>
      <c r="C159" s="78" t="s">
        <v>808</v>
      </c>
      <c r="D159" s="108">
        <v>7226</v>
      </c>
      <c r="E159" s="78" t="s">
        <v>3033</v>
      </c>
      <c r="F159" s="78" t="s">
        <v>1988</v>
      </c>
      <c r="G159" s="78" t="s">
        <v>2985</v>
      </c>
      <c r="H159" s="78" t="s">
        <v>1643</v>
      </c>
      <c r="I159" s="78" t="s">
        <v>2483</v>
      </c>
      <c r="J159" s="118">
        <v>60</v>
      </c>
      <c r="K159" s="78" t="s">
        <v>3453</v>
      </c>
    </row>
    <row r="160" spans="1:11" ht="15.75" thickBot="1" x14ac:dyDescent="0.3">
      <c r="A160" s="44" t="s">
        <v>911</v>
      </c>
      <c r="B160" s="107" t="s">
        <v>912</v>
      </c>
      <c r="C160" s="78" t="s">
        <v>808</v>
      </c>
      <c r="D160" s="108">
        <v>10090</v>
      </c>
      <c r="E160" s="78" t="s">
        <v>3044</v>
      </c>
      <c r="F160" s="78" t="s">
        <v>2001</v>
      </c>
      <c r="G160" s="78" t="s">
        <v>2989</v>
      </c>
      <c r="H160" s="78" t="s">
        <v>1643</v>
      </c>
      <c r="I160" s="78" t="s">
        <v>2483</v>
      </c>
      <c r="J160" s="118">
        <v>50</v>
      </c>
      <c r="K160" s="78" t="s">
        <v>1643</v>
      </c>
    </row>
    <row r="161" spans="1:11" ht="15.75" thickBot="1" x14ac:dyDescent="0.3">
      <c r="A161" s="44" t="s">
        <v>913</v>
      </c>
      <c r="B161" s="107" t="s">
        <v>914</v>
      </c>
      <c r="C161" s="78" t="s">
        <v>808</v>
      </c>
      <c r="D161" s="108">
        <v>9705</v>
      </c>
      <c r="E161" s="78" t="s">
        <v>3045</v>
      </c>
      <c r="F161" s="78" t="s">
        <v>2064</v>
      </c>
      <c r="G161" s="78" t="s">
        <v>2979</v>
      </c>
      <c r="H161" s="78" t="s">
        <v>1644</v>
      </c>
      <c r="I161" s="78" t="s">
        <v>1951</v>
      </c>
      <c r="J161" s="78" t="s">
        <v>1951</v>
      </c>
      <c r="K161" s="78" t="s">
        <v>3453</v>
      </c>
    </row>
    <row r="162" spans="1:11" ht="15.75" thickBot="1" x14ac:dyDescent="0.3">
      <c r="A162" s="44" t="s">
        <v>919</v>
      </c>
      <c r="B162" s="107" t="s">
        <v>920</v>
      </c>
      <c r="C162" s="78" t="s">
        <v>808</v>
      </c>
      <c r="D162" s="108">
        <v>8692</v>
      </c>
      <c r="E162" s="78" t="s">
        <v>2074</v>
      </c>
      <c r="F162" s="78" t="s">
        <v>2073</v>
      </c>
      <c r="G162" s="78" t="s">
        <v>2981</v>
      </c>
      <c r="H162" s="78" t="s">
        <v>1643</v>
      </c>
      <c r="I162" s="78" t="s">
        <v>2483</v>
      </c>
      <c r="J162" s="118">
        <v>1</v>
      </c>
      <c r="K162" s="78" t="s">
        <v>1660</v>
      </c>
    </row>
    <row r="163" spans="1:11" ht="15.75" thickBot="1" x14ac:dyDescent="0.3">
      <c r="A163" s="44" t="s">
        <v>927</v>
      </c>
      <c r="B163" s="107" t="s">
        <v>928</v>
      </c>
      <c r="C163" s="78" t="s">
        <v>808</v>
      </c>
      <c r="D163" s="108">
        <v>11833</v>
      </c>
      <c r="E163" s="78" t="s">
        <v>3048</v>
      </c>
      <c r="F163" s="78" t="s">
        <v>2064</v>
      </c>
      <c r="G163" s="78" t="s">
        <v>2979</v>
      </c>
      <c r="H163" s="78" t="s">
        <v>1643</v>
      </c>
      <c r="I163" s="78" t="s">
        <v>2483</v>
      </c>
      <c r="J163" s="78" t="s">
        <v>3049</v>
      </c>
      <c r="K163" s="78" t="s">
        <v>1643</v>
      </c>
    </row>
    <row r="164" spans="1:11" ht="15.75" thickBot="1" x14ac:dyDescent="0.3">
      <c r="A164" s="44" t="s">
        <v>931</v>
      </c>
      <c r="B164" s="107" t="s">
        <v>932</v>
      </c>
      <c r="C164" s="78" t="s">
        <v>808</v>
      </c>
      <c r="D164" s="108">
        <v>10857</v>
      </c>
      <c r="E164" s="78" t="s">
        <v>3051</v>
      </c>
      <c r="F164" s="78" t="s">
        <v>2091</v>
      </c>
      <c r="G164" s="78" t="s">
        <v>2991</v>
      </c>
      <c r="H164" s="78" t="s">
        <v>1643</v>
      </c>
      <c r="I164" s="78" t="s">
        <v>2483</v>
      </c>
      <c r="J164" s="78" t="s">
        <v>3052</v>
      </c>
      <c r="K164" s="78" t="s">
        <v>1643</v>
      </c>
    </row>
    <row r="165" spans="1:11" ht="15.75" thickBot="1" x14ac:dyDescent="0.3">
      <c r="A165" s="44" t="s">
        <v>935</v>
      </c>
      <c r="B165" s="107" t="s">
        <v>936</v>
      </c>
      <c r="C165" s="78" t="s">
        <v>808</v>
      </c>
      <c r="D165" s="108">
        <v>9483</v>
      </c>
      <c r="E165" s="78" t="s">
        <v>3055</v>
      </c>
      <c r="F165" s="78" t="s">
        <v>2098</v>
      </c>
      <c r="G165" s="78" t="s">
        <v>2991</v>
      </c>
      <c r="H165" s="78" t="s">
        <v>1644</v>
      </c>
      <c r="I165" s="78" t="s">
        <v>1951</v>
      </c>
      <c r="J165" s="78" t="s">
        <v>1951</v>
      </c>
      <c r="K165" s="78" t="s">
        <v>1643</v>
      </c>
    </row>
    <row r="166" spans="1:11" ht="15.75" thickBot="1" x14ac:dyDescent="0.3">
      <c r="A166" s="44" t="s">
        <v>937</v>
      </c>
      <c r="B166" s="107" t="s">
        <v>938</v>
      </c>
      <c r="C166" s="78" t="s">
        <v>808</v>
      </c>
      <c r="D166" s="108">
        <v>8257</v>
      </c>
      <c r="E166" s="78" t="s">
        <v>3056</v>
      </c>
      <c r="F166" s="78" t="s">
        <v>1952</v>
      </c>
      <c r="G166" s="78" t="s">
        <v>2999</v>
      </c>
      <c r="H166" s="78" t="s">
        <v>1643</v>
      </c>
      <c r="I166" s="78" t="s">
        <v>2483</v>
      </c>
      <c r="J166" s="78" t="s">
        <v>3057</v>
      </c>
      <c r="K166" s="78" t="s">
        <v>1660</v>
      </c>
    </row>
    <row r="167" spans="1:11" ht="15.75" thickBot="1" x14ac:dyDescent="0.3">
      <c r="A167" s="44" t="s">
        <v>943</v>
      </c>
      <c r="B167" s="107" t="s">
        <v>944</v>
      </c>
      <c r="C167" s="78" t="s">
        <v>808</v>
      </c>
      <c r="D167" s="108">
        <v>9810</v>
      </c>
      <c r="E167" s="78" t="s">
        <v>1988</v>
      </c>
      <c r="F167" s="78" t="s">
        <v>1988</v>
      </c>
      <c r="G167" s="78" t="s">
        <v>2985</v>
      </c>
      <c r="H167" s="78" t="s">
        <v>1643</v>
      </c>
      <c r="I167" s="78" t="s">
        <v>2483</v>
      </c>
      <c r="J167" s="78" t="s">
        <v>3061</v>
      </c>
      <c r="K167" s="78" t="s">
        <v>1643</v>
      </c>
    </row>
    <row r="168" spans="1:11" ht="15.75" thickBot="1" x14ac:dyDescent="0.3">
      <c r="A168" s="44" t="s">
        <v>979</v>
      </c>
      <c r="B168" s="107" t="s">
        <v>980</v>
      </c>
      <c r="C168" s="78" t="s">
        <v>808</v>
      </c>
      <c r="D168" s="108">
        <v>11862</v>
      </c>
      <c r="E168" s="78" t="s">
        <v>3080</v>
      </c>
      <c r="F168" s="78" t="s">
        <v>1926</v>
      </c>
      <c r="G168" s="78" t="s">
        <v>2991</v>
      </c>
      <c r="H168" s="78" t="s">
        <v>1643</v>
      </c>
      <c r="I168" s="78" t="s">
        <v>2483</v>
      </c>
      <c r="J168" s="118">
        <v>50</v>
      </c>
      <c r="K168" s="78" t="s">
        <v>1660</v>
      </c>
    </row>
    <row r="169" spans="1:11" ht="15.75" thickBot="1" x14ac:dyDescent="0.3">
      <c r="A169" s="44" t="s">
        <v>1003</v>
      </c>
      <c r="B169" s="107" t="s">
        <v>1004</v>
      </c>
      <c r="C169" s="78" t="s">
        <v>808</v>
      </c>
      <c r="D169" s="108">
        <v>10021</v>
      </c>
      <c r="E169" s="78" t="s">
        <v>3093</v>
      </c>
      <c r="F169" s="78" t="s">
        <v>2205</v>
      </c>
      <c r="G169" s="78" t="s">
        <v>2976</v>
      </c>
      <c r="H169" s="78" t="s">
        <v>1643</v>
      </c>
      <c r="I169" s="78" t="s">
        <v>2483</v>
      </c>
      <c r="J169" s="78" t="s">
        <v>3094</v>
      </c>
      <c r="K169" s="78" t="s">
        <v>1660</v>
      </c>
    </row>
    <row r="170" spans="1:11" ht="15.75" thickBot="1" x14ac:dyDescent="0.3">
      <c r="A170" s="44" t="s">
        <v>1015</v>
      </c>
      <c r="B170" s="107" t="s">
        <v>1016</v>
      </c>
      <c r="C170" s="78" t="s">
        <v>808</v>
      </c>
      <c r="D170" s="108">
        <v>7439</v>
      </c>
      <c r="E170" s="78" t="s">
        <v>2224</v>
      </c>
      <c r="F170" s="78" t="s">
        <v>1919</v>
      </c>
      <c r="G170" s="78" t="s">
        <v>2991</v>
      </c>
      <c r="H170" s="78" t="s">
        <v>1644</v>
      </c>
      <c r="I170" s="78" t="s">
        <v>1951</v>
      </c>
      <c r="J170" s="78" t="s">
        <v>1951</v>
      </c>
      <c r="K170" s="78" t="s">
        <v>1660</v>
      </c>
    </row>
    <row r="171" spans="1:11" ht="15.75" thickBot="1" x14ac:dyDescent="0.3">
      <c r="A171" s="44" t="s">
        <v>1029</v>
      </c>
      <c r="B171" s="107" t="s">
        <v>1030</v>
      </c>
      <c r="C171" s="78" t="s">
        <v>808</v>
      </c>
      <c r="D171" s="108">
        <v>7392</v>
      </c>
      <c r="E171" s="78" t="s">
        <v>3112</v>
      </c>
      <c r="F171" s="78" t="s">
        <v>2001</v>
      </c>
      <c r="G171" s="78" t="s">
        <v>2989</v>
      </c>
      <c r="H171" s="78" t="s">
        <v>1643</v>
      </c>
      <c r="I171" s="78" t="s">
        <v>2483</v>
      </c>
      <c r="J171" s="118">
        <v>25</v>
      </c>
      <c r="K171" s="78" t="s">
        <v>1660</v>
      </c>
    </row>
    <row r="172" spans="1:11" ht="15.75" thickBot="1" x14ac:dyDescent="0.3">
      <c r="A172" s="44" t="s">
        <v>1033</v>
      </c>
      <c r="B172" s="107" t="s">
        <v>1034</v>
      </c>
      <c r="C172" s="78" t="s">
        <v>808</v>
      </c>
      <c r="D172" s="108">
        <v>9512</v>
      </c>
      <c r="E172" s="78" t="s">
        <v>3113</v>
      </c>
      <c r="F172" s="78" t="s">
        <v>1925</v>
      </c>
      <c r="G172" s="78" t="s">
        <v>2974</v>
      </c>
      <c r="H172" s="78" t="s">
        <v>1644</v>
      </c>
      <c r="I172" s="78" t="s">
        <v>1951</v>
      </c>
      <c r="J172" s="78" t="s">
        <v>1951</v>
      </c>
      <c r="K172" s="78" t="s">
        <v>1951</v>
      </c>
    </row>
    <row r="173" spans="1:11" ht="15.75" thickBot="1" x14ac:dyDescent="0.3">
      <c r="A173" s="44" t="s">
        <v>1045</v>
      </c>
      <c r="B173" s="107" t="s">
        <v>1046</v>
      </c>
      <c r="C173" s="78" t="s">
        <v>808</v>
      </c>
      <c r="D173" s="108">
        <v>7717</v>
      </c>
      <c r="E173" s="78" t="s">
        <v>3118</v>
      </c>
      <c r="F173" s="78" t="s">
        <v>2259</v>
      </c>
      <c r="G173" s="78" t="s">
        <v>2987</v>
      </c>
      <c r="H173" s="78" t="s">
        <v>1644</v>
      </c>
      <c r="I173" s="78" t="s">
        <v>1951</v>
      </c>
      <c r="J173" s="78" t="s">
        <v>1951</v>
      </c>
      <c r="K173" s="78" t="s">
        <v>1643</v>
      </c>
    </row>
    <row r="174" spans="1:11" ht="15.75" thickBot="1" x14ac:dyDescent="0.3">
      <c r="A174" s="44" t="s">
        <v>1069</v>
      </c>
      <c r="B174" s="107" t="s">
        <v>1070</v>
      </c>
      <c r="C174" s="78" t="s">
        <v>808</v>
      </c>
      <c r="D174" s="108">
        <v>7824</v>
      </c>
      <c r="E174" s="78" t="s">
        <v>2299</v>
      </c>
      <c r="F174" s="78" t="s">
        <v>2043</v>
      </c>
      <c r="G174" s="78" t="s">
        <v>2979</v>
      </c>
      <c r="H174" s="78" t="s">
        <v>1643</v>
      </c>
      <c r="I174" s="78" t="s">
        <v>2483</v>
      </c>
      <c r="J174" s="78" t="s">
        <v>3021</v>
      </c>
      <c r="K174" s="78" t="s">
        <v>1660</v>
      </c>
    </row>
    <row r="175" spans="1:11" ht="15.75" thickBot="1" x14ac:dyDescent="0.3">
      <c r="A175" s="44" t="s">
        <v>1081</v>
      </c>
      <c r="B175" s="107" t="s">
        <v>1082</v>
      </c>
      <c r="C175" s="78" t="s">
        <v>808</v>
      </c>
      <c r="D175" s="108">
        <v>9476</v>
      </c>
      <c r="E175" s="78" t="s">
        <v>3133</v>
      </c>
      <c r="F175" s="78" t="s">
        <v>1964</v>
      </c>
      <c r="G175" s="78" t="s">
        <v>2989</v>
      </c>
      <c r="H175" s="78" t="s">
        <v>1643</v>
      </c>
      <c r="I175" s="78" t="s">
        <v>2483</v>
      </c>
      <c r="J175" s="78" t="s">
        <v>2994</v>
      </c>
      <c r="K175" s="78" t="s">
        <v>1643</v>
      </c>
    </row>
    <row r="176" spans="1:11" ht="15.75" thickBot="1" x14ac:dyDescent="0.3">
      <c r="A176" s="44" t="s">
        <v>1087</v>
      </c>
      <c r="B176" s="107" t="s">
        <v>1088</v>
      </c>
      <c r="C176" s="78" t="s">
        <v>808</v>
      </c>
      <c r="D176" s="108">
        <v>10983</v>
      </c>
      <c r="E176" s="78" t="s">
        <v>3135</v>
      </c>
      <c r="F176" s="78" t="s">
        <v>1926</v>
      </c>
      <c r="G176" s="78" t="s">
        <v>2991</v>
      </c>
      <c r="H176" s="78" t="s">
        <v>1644</v>
      </c>
      <c r="I176" s="78" t="s">
        <v>1951</v>
      </c>
      <c r="J176" s="78" t="s">
        <v>1951</v>
      </c>
      <c r="K176" s="78" t="s">
        <v>1643</v>
      </c>
    </row>
    <row r="177" spans="1:11" ht="15.75" thickBot="1" x14ac:dyDescent="0.3">
      <c r="A177" s="44" t="s">
        <v>1095</v>
      </c>
      <c r="B177" s="107" t="s">
        <v>1096</v>
      </c>
      <c r="C177" s="78" t="s">
        <v>808</v>
      </c>
      <c r="D177" s="108">
        <v>11239</v>
      </c>
      <c r="E177" s="78" t="s">
        <v>3138</v>
      </c>
      <c r="F177" s="78" t="s">
        <v>2203</v>
      </c>
      <c r="G177" s="78" t="s">
        <v>2981</v>
      </c>
      <c r="H177" s="78" t="s">
        <v>1643</v>
      </c>
      <c r="I177" s="78" t="s">
        <v>2483</v>
      </c>
      <c r="J177" s="78" t="s">
        <v>3139</v>
      </c>
      <c r="K177" s="78" t="s">
        <v>1643</v>
      </c>
    </row>
    <row r="178" spans="1:11" ht="15.75" thickBot="1" x14ac:dyDescent="0.3">
      <c r="A178" s="44" t="s">
        <v>1109</v>
      </c>
      <c r="B178" s="107" t="s">
        <v>1110</v>
      </c>
      <c r="C178" s="78" t="s">
        <v>808</v>
      </c>
      <c r="D178" s="108">
        <v>8875</v>
      </c>
      <c r="E178" s="78" t="s">
        <v>3147</v>
      </c>
      <c r="F178" s="78" t="s">
        <v>2180</v>
      </c>
      <c r="G178" s="78" t="s">
        <v>2991</v>
      </c>
      <c r="H178" s="78" t="s">
        <v>1643</v>
      </c>
      <c r="I178" s="78" t="s">
        <v>2483</v>
      </c>
      <c r="J178" s="78" t="s">
        <v>3148</v>
      </c>
      <c r="K178" s="78" t="s">
        <v>3453</v>
      </c>
    </row>
    <row r="179" spans="1:11" ht="15.75" thickBot="1" x14ac:dyDescent="0.3">
      <c r="A179" s="44" t="s">
        <v>1127</v>
      </c>
      <c r="B179" s="107" t="s">
        <v>1128</v>
      </c>
      <c r="C179" s="78" t="s">
        <v>808</v>
      </c>
      <c r="D179" s="108">
        <v>8133</v>
      </c>
      <c r="E179" s="78" t="s">
        <v>3158</v>
      </c>
      <c r="F179" s="78" t="s">
        <v>2382</v>
      </c>
      <c r="G179" s="78" t="s">
        <v>2987</v>
      </c>
      <c r="H179" s="78" t="s">
        <v>1644</v>
      </c>
      <c r="I179" s="78" t="s">
        <v>1951</v>
      </c>
      <c r="J179" s="78" t="s">
        <v>1951</v>
      </c>
      <c r="K179" s="78" t="s">
        <v>1643</v>
      </c>
    </row>
    <row r="180" spans="1:11" ht="15.75" thickBot="1" x14ac:dyDescent="0.3">
      <c r="A180" s="44" t="s">
        <v>1135</v>
      </c>
      <c r="B180" s="107" t="s">
        <v>1136</v>
      </c>
      <c r="C180" s="78" t="s">
        <v>808</v>
      </c>
      <c r="D180" s="108">
        <v>7135</v>
      </c>
      <c r="E180" s="78" t="s">
        <v>3162</v>
      </c>
      <c r="F180" s="78" t="s">
        <v>1919</v>
      </c>
      <c r="G180" s="78" t="s">
        <v>2991</v>
      </c>
      <c r="H180" s="78" t="s">
        <v>1643</v>
      </c>
      <c r="I180" s="78" t="s">
        <v>2483</v>
      </c>
      <c r="J180" s="78" t="s">
        <v>3034</v>
      </c>
      <c r="K180" s="78" t="s">
        <v>1660</v>
      </c>
    </row>
    <row r="181" spans="1:11" ht="15.75" thickBot="1" x14ac:dyDescent="0.3">
      <c r="A181" s="44" t="s">
        <v>1143</v>
      </c>
      <c r="B181" s="107" t="s">
        <v>1144</v>
      </c>
      <c r="C181" s="78" t="s">
        <v>808</v>
      </c>
      <c r="D181" s="108">
        <v>11870</v>
      </c>
      <c r="E181" s="78" t="s">
        <v>2076</v>
      </c>
      <c r="F181" s="78" t="s">
        <v>2076</v>
      </c>
      <c r="G181" s="78" t="s">
        <v>2976</v>
      </c>
      <c r="H181" s="78" t="s">
        <v>1643</v>
      </c>
      <c r="I181" s="78" t="s">
        <v>2483</v>
      </c>
      <c r="J181" s="118">
        <v>35</v>
      </c>
      <c r="K181" s="78" t="s">
        <v>1643</v>
      </c>
    </row>
    <row r="182" spans="1:11" ht="15.75" thickBot="1" x14ac:dyDescent="0.3">
      <c r="A182" s="44" t="s">
        <v>1163</v>
      </c>
      <c r="B182" s="107" t="s">
        <v>1164</v>
      </c>
      <c r="C182" s="78" t="s">
        <v>808</v>
      </c>
      <c r="D182" s="108">
        <v>8764</v>
      </c>
      <c r="E182" s="78" t="s">
        <v>3175</v>
      </c>
      <c r="F182" s="78" t="s">
        <v>1885</v>
      </c>
      <c r="G182" s="78" t="s">
        <v>2974</v>
      </c>
      <c r="H182" s="78" t="s">
        <v>1644</v>
      </c>
      <c r="I182" s="78" t="s">
        <v>1951</v>
      </c>
      <c r="J182" s="78" t="s">
        <v>1951</v>
      </c>
      <c r="K182" s="78" t="s">
        <v>1643</v>
      </c>
    </row>
    <row r="183" spans="1:11" ht="15.75" thickBot="1" x14ac:dyDescent="0.3">
      <c r="A183" s="44" t="s">
        <v>1193</v>
      </c>
      <c r="B183" s="107" t="s">
        <v>1194</v>
      </c>
      <c r="C183" s="78" t="s">
        <v>808</v>
      </c>
      <c r="D183" s="108">
        <v>9555</v>
      </c>
      <c r="E183" s="78" t="s">
        <v>3186</v>
      </c>
      <c r="F183" s="78" t="s">
        <v>2157</v>
      </c>
      <c r="G183" s="78" t="s">
        <v>2993</v>
      </c>
      <c r="H183" s="78" t="s">
        <v>1644</v>
      </c>
      <c r="I183" s="78" t="s">
        <v>1951</v>
      </c>
      <c r="J183" s="78" t="s">
        <v>1951</v>
      </c>
      <c r="K183" s="78" t="s">
        <v>1643</v>
      </c>
    </row>
    <row r="184" spans="1:11" ht="15.75" thickBot="1" x14ac:dyDescent="0.3">
      <c r="A184" s="44" t="s">
        <v>1199</v>
      </c>
      <c r="B184" s="107" t="s">
        <v>1200</v>
      </c>
      <c r="C184" s="78" t="s">
        <v>808</v>
      </c>
      <c r="D184" s="108">
        <v>9533</v>
      </c>
      <c r="E184" s="78" t="s">
        <v>2457</v>
      </c>
      <c r="F184" s="78" t="s">
        <v>2456</v>
      </c>
      <c r="G184" s="78" t="s">
        <v>2981</v>
      </c>
      <c r="H184" s="78" t="s">
        <v>1644</v>
      </c>
      <c r="I184" s="78" t="s">
        <v>1951</v>
      </c>
      <c r="J184" s="78" t="s">
        <v>1951</v>
      </c>
      <c r="K184" s="78" t="s">
        <v>1643</v>
      </c>
    </row>
    <row r="185" spans="1:11" ht="15.75" thickBot="1" x14ac:dyDescent="0.3">
      <c r="A185" s="44" t="s">
        <v>1217</v>
      </c>
      <c r="B185" s="107" t="s">
        <v>1218</v>
      </c>
      <c r="C185" s="78" t="s">
        <v>808</v>
      </c>
      <c r="D185" s="108">
        <v>10470</v>
      </c>
      <c r="E185" s="78" t="s">
        <v>3197</v>
      </c>
      <c r="F185" s="78" t="s">
        <v>1952</v>
      </c>
      <c r="G185" s="78" t="s">
        <v>2999</v>
      </c>
      <c r="H185" s="78" t="s">
        <v>1643</v>
      </c>
      <c r="I185" s="78" t="s">
        <v>2483</v>
      </c>
      <c r="J185" s="118">
        <v>200</v>
      </c>
      <c r="K185" s="78" t="s">
        <v>1660</v>
      </c>
    </row>
    <row r="186" spans="1:11" ht="15.75" thickBot="1" x14ac:dyDescent="0.3">
      <c r="A186" s="44" t="s">
        <v>1229</v>
      </c>
      <c r="B186" s="107" t="s">
        <v>1230</v>
      </c>
      <c r="C186" s="78" t="s">
        <v>808</v>
      </c>
      <c r="D186" s="108">
        <v>11581</v>
      </c>
      <c r="E186" s="78" t="s">
        <v>2715</v>
      </c>
      <c r="F186" s="78" t="s">
        <v>1952</v>
      </c>
      <c r="G186" s="78" t="s">
        <v>2999</v>
      </c>
      <c r="H186" s="78" t="s">
        <v>1643</v>
      </c>
      <c r="I186" s="78" t="s">
        <v>2483</v>
      </c>
      <c r="J186" s="78" t="s">
        <v>3132</v>
      </c>
      <c r="K186" s="78" t="s">
        <v>1660</v>
      </c>
    </row>
    <row r="187" spans="1:11" ht="15.75" thickBot="1" x14ac:dyDescent="0.3">
      <c r="A187" s="44" t="s">
        <v>1251</v>
      </c>
      <c r="B187" s="107" t="s">
        <v>1252</v>
      </c>
      <c r="C187" s="78" t="s">
        <v>808</v>
      </c>
      <c r="D187" s="108">
        <v>7312</v>
      </c>
      <c r="E187" s="78" t="s">
        <v>2515</v>
      </c>
      <c r="F187" s="78" t="s">
        <v>1948</v>
      </c>
      <c r="G187" s="78" t="s">
        <v>2974</v>
      </c>
      <c r="H187" s="78" t="s">
        <v>1643</v>
      </c>
      <c r="I187" s="78" t="s">
        <v>2483</v>
      </c>
      <c r="J187" s="78" t="s">
        <v>3143</v>
      </c>
      <c r="K187" s="78" t="s">
        <v>1660</v>
      </c>
    </row>
    <row r="188" spans="1:11" ht="15.75" thickBot="1" x14ac:dyDescent="0.3">
      <c r="A188" s="44" t="s">
        <v>1257</v>
      </c>
      <c r="B188" s="107" t="s">
        <v>1258</v>
      </c>
      <c r="C188" s="78" t="s">
        <v>808</v>
      </c>
      <c r="D188" s="108">
        <v>8344</v>
      </c>
      <c r="E188" s="78" t="s">
        <v>3211</v>
      </c>
      <c r="F188" s="78" t="s">
        <v>2519</v>
      </c>
      <c r="G188" s="78" t="s">
        <v>2981</v>
      </c>
      <c r="H188" s="78" t="s">
        <v>1644</v>
      </c>
      <c r="I188" s="78" t="s">
        <v>1951</v>
      </c>
      <c r="J188" s="78" t="s">
        <v>1951</v>
      </c>
      <c r="K188" s="78" t="s">
        <v>1643</v>
      </c>
    </row>
    <row r="189" spans="1:11" ht="15.75" thickBot="1" x14ac:dyDescent="0.3">
      <c r="A189" s="44" t="s">
        <v>1277</v>
      </c>
      <c r="B189" s="107" t="s">
        <v>1278</v>
      </c>
      <c r="C189" s="78" t="s">
        <v>808</v>
      </c>
      <c r="D189" s="108">
        <v>10715</v>
      </c>
      <c r="E189" s="78" t="s">
        <v>3221</v>
      </c>
      <c r="F189" s="78" t="s">
        <v>1925</v>
      </c>
      <c r="G189" s="78" t="s">
        <v>2974</v>
      </c>
      <c r="H189" s="78" t="s">
        <v>1644</v>
      </c>
      <c r="I189" s="78" t="s">
        <v>1951</v>
      </c>
      <c r="J189" s="78" t="s">
        <v>1951</v>
      </c>
      <c r="K189" s="78" t="s">
        <v>1660</v>
      </c>
    </row>
    <row r="190" spans="1:11" ht="15.75" thickBot="1" x14ac:dyDescent="0.3">
      <c r="A190" s="44" t="s">
        <v>1289</v>
      </c>
      <c r="B190" s="107" t="s">
        <v>1290</v>
      </c>
      <c r="C190" s="78" t="s">
        <v>808</v>
      </c>
      <c r="D190" s="108">
        <v>7424</v>
      </c>
      <c r="E190" s="78" t="s">
        <v>2551</v>
      </c>
      <c r="F190" s="78" t="s">
        <v>2064</v>
      </c>
      <c r="G190" s="78" t="s">
        <v>2979</v>
      </c>
      <c r="H190" s="78" t="s">
        <v>1644</v>
      </c>
      <c r="I190" s="78" t="s">
        <v>1951</v>
      </c>
      <c r="J190" s="78" t="s">
        <v>1951</v>
      </c>
      <c r="K190" s="78" t="s">
        <v>1660</v>
      </c>
    </row>
    <row r="191" spans="1:11" ht="15.75" thickBot="1" x14ac:dyDescent="0.3">
      <c r="A191" s="44" t="s">
        <v>1295</v>
      </c>
      <c r="B191" s="107" t="s">
        <v>1296</v>
      </c>
      <c r="C191" s="78" t="s">
        <v>808</v>
      </c>
      <c r="D191" s="108">
        <v>9765</v>
      </c>
      <c r="E191" s="78" t="s">
        <v>3226</v>
      </c>
      <c r="F191" s="78" t="s">
        <v>2556</v>
      </c>
      <c r="G191" s="78" t="s">
        <v>2985</v>
      </c>
      <c r="H191" s="78" t="s">
        <v>1644</v>
      </c>
      <c r="I191" s="78" t="s">
        <v>1951</v>
      </c>
      <c r="J191" s="78" t="s">
        <v>1951</v>
      </c>
      <c r="K191" s="78" t="s">
        <v>1660</v>
      </c>
    </row>
    <row r="192" spans="1:11" ht="15.75" thickBot="1" x14ac:dyDescent="0.3">
      <c r="A192" s="44" t="s">
        <v>1305</v>
      </c>
      <c r="B192" s="107" t="s">
        <v>1306</v>
      </c>
      <c r="C192" s="78" t="s">
        <v>808</v>
      </c>
      <c r="D192" s="108">
        <v>9623</v>
      </c>
      <c r="E192" s="78" t="s">
        <v>3231</v>
      </c>
      <c r="F192" s="78" t="s">
        <v>2572</v>
      </c>
      <c r="G192" s="78" t="s">
        <v>2981</v>
      </c>
      <c r="H192" s="78" t="s">
        <v>1643</v>
      </c>
      <c r="I192" s="78" t="s">
        <v>2483</v>
      </c>
      <c r="J192" s="78" t="s">
        <v>3232</v>
      </c>
      <c r="K192" s="78" t="s">
        <v>1643</v>
      </c>
    </row>
    <row r="193" spans="1:11" ht="15.75" thickBot="1" x14ac:dyDescent="0.3">
      <c r="A193" s="44" t="s">
        <v>1309</v>
      </c>
      <c r="B193" s="107" t="s">
        <v>1310</v>
      </c>
      <c r="C193" s="78" t="s">
        <v>808</v>
      </c>
      <c r="D193" s="108">
        <v>7656</v>
      </c>
      <c r="E193" s="78" t="s">
        <v>3233</v>
      </c>
      <c r="F193" s="78" t="s">
        <v>2292</v>
      </c>
      <c r="G193" s="78" t="s">
        <v>2981</v>
      </c>
      <c r="H193" s="78" t="s">
        <v>1643</v>
      </c>
      <c r="I193" s="78" t="s">
        <v>3003</v>
      </c>
      <c r="J193" s="78" t="s">
        <v>3234</v>
      </c>
      <c r="K193" s="78" t="s">
        <v>1643</v>
      </c>
    </row>
    <row r="194" spans="1:11" ht="15.75" thickBot="1" x14ac:dyDescent="0.3">
      <c r="A194" s="44" t="s">
        <v>1321</v>
      </c>
      <c r="B194" s="107" t="s">
        <v>1322</v>
      </c>
      <c r="C194" s="78" t="s">
        <v>808</v>
      </c>
      <c r="D194" s="108">
        <v>8354</v>
      </c>
      <c r="E194" s="78" t="s">
        <v>3238</v>
      </c>
      <c r="F194" s="78" t="s">
        <v>1948</v>
      </c>
      <c r="G194" s="78" t="s">
        <v>2974</v>
      </c>
      <c r="H194" s="78" t="s">
        <v>1644</v>
      </c>
      <c r="I194" s="78" t="s">
        <v>1951</v>
      </c>
      <c r="J194" s="78" t="s">
        <v>1951</v>
      </c>
      <c r="K194" s="78" t="s">
        <v>1643</v>
      </c>
    </row>
    <row r="195" spans="1:11" ht="15.75" thickBot="1" x14ac:dyDescent="0.3">
      <c r="A195" s="44" t="s">
        <v>1339</v>
      </c>
      <c r="B195" s="107" t="s">
        <v>1340</v>
      </c>
      <c r="C195" s="78" t="s">
        <v>808</v>
      </c>
      <c r="D195" s="108">
        <v>8640</v>
      </c>
      <c r="E195" s="78" t="s">
        <v>3246</v>
      </c>
      <c r="F195" s="78" t="s">
        <v>2613</v>
      </c>
      <c r="G195" s="78" t="s">
        <v>2985</v>
      </c>
      <c r="H195" s="78" t="s">
        <v>1644</v>
      </c>
      <c r="I195" s="78" t="s">
        <v>1951</v>
      </c>
      <c r="J195" s="78" t="s">
        <v>1951</v>
      </c>
      <c r="K195" s="78" t="s">
        <v>1660</v>
      </c>
    </row>
    <row r="196" spans="1:11" ht="15.75" thickBot="1" x14ac:dyDescent="0.3">
      <c r="A196" s="44" t="s">
        <v>1349</v>
      </c>
      <c r="B196" s="107" t="s">
        <v>1350</v>
      </c>
      <c r="C196" s="78" t="s">
        <v>808</v>
      </c>
      <c r="D196" s="108">
        <v>9969</v>
      </c>
      <c r="E196" s="78" t="s">
        <v>3250</v>
      </c>
      <c r="F196" s="78" t="s">
        <v>1964</v>
      </c>
      <c r="G196" s="78" t="s">
        <v>2989</v>
      </c>
      <c r="H196" s="78" t="s">
        <v>1643</v>
      </c>
      <c r="I196" s="78" t="s">
        <v>2483</v>
      </c>
      <c r="J196" s="78" t="s">
        <v>3251</v>
      </c>
      <c r="K196" s="78" t="s">
        <v>1660</v>
      </c>
    </row>
    <row r="197" spans="1:11" ht="15.75" thickBot="1" x14ac:dyDescent="0.3">
      <c r="A197" s="44" t="s">
        <v>1353</v>
      </c>
      <c r="B197" s="107" t="s">
        <v>1354</v>
      </c>
      <c r="C197" s="78" t="s">
        <v>808</v>
      </c>
      <c r="D197" s="108">
        <v>7034</v>
      </c>
      <c r="E197" s="78" t="s">
        <v>2632</v>
      </c>
      <c r="F197" s="78" t="s">
        <v>1926</v>
      </c>
      <c r="G197" s="78" t="s">
        <v>2991</v>
      </c>
      <c r="H197" s="78" t="s">
        <v>1643</v>
      </c>
      <c r="I197" s="78" t="s">
        <v>2483</v>
      </c>
      <c r="J197" s="78" t="s">
        <v>3232</v>
      </c>
      <c r="K197" s="78" t="s">
        <v>1660</v>
      </c>
    </row>
    <row r="198" spans="1:11" ht="15.75" thickBot="1" x14ac:dyDescent="0.3">
      <c r="A198" s="44" t="s">
        <v>1361</v>
      </c>
      <c r="B198" s="107" t="s">
        <v>1362</v>
      </c>
      <c r="C198" s="78" t="s">
        <v>808</v>
      </c>
      <c r="D198" s="108">
        <v>8833</v>
      </c>
      <c r="E198" s="78" t="s">
        <v>2376</v>
      </c>
      <c r="F198" s="78" t="s">
        <v>2376</v>
      </c>
      <c r="G198" s="78" t="s">
        <v>2993</v>
      </c>
      <c r="H198" s="78" t="s">
        <v>1643</v>
      </c>
      <c r="I198" s="78" t="s">
        <v>2483</v>
      </c>
      <c r="J198" s="78" t="s">
        <v>3091</v>
      </c>
      <c r="K198" s="78" t="s">
        <v>1644</v>
      </c>
    </row>
    <row r="199" spans="1:11" ht="15.75" thickBot="1" x14ac:dyDescent="0.3">
      <c r="A199" s="44" t="s">
        <v>1369</v>
      </c>
      <c r="B199" s="107" t="s">
        <v>1370</v>
      </c>
      <c r="C199" s="78" t="s">
        <v>808</v>
      </c>
      <c r="D199" s="108">
        <v>11503</v>
      </c>
      <c r="E199" s="78" t="s">
        <v>3260</v>
      </c>
      <c r="F199" s="78" t="s">
        <v>2052</v>
      </c>
      <c r="G199" s="78" t="s">
        <v>2974</v>
      </c>
      <c r="H199" s="78" t="s">
        <v>1644</v>
      </c>
      <c r="I199" s="78" t="s">
        <v>1951</v>
      </c>
      <c r="J199" s="78" t="s">
        <v>1951</v>
      </c>
      <c r="K199" s="78" t="s">
        <v>1951</v>
      </c>
    </row>
    <row r="200" spans="1:11" ht="15.75" thickBot="1" x14ac:dyDescent="0.3">
      <c r="A200" s="44" t="s">
        <v>1395</v>
      </c>
      <c r="B200" s="107" t="s">
        <v>1396</v>
      </c>
      <c r="C200" s="78" t="s">
        <v>808</v>
      </c>
      <c r="D200" s="108">
        <v>8891</v>
      </c>
      <c r="E200" s="78" t="s">
        <v>3272</v>
      </c>
      <c r="F200" s="78" t="s">
        <v>2064</v>
      </c>
      <c r="G200" s="78" t="s">
        <v>2979</v>
      </c>
      <c r="H200" s="78" t="s">
        <v>1644</v>
      </c>
      <c r="I200" s="78" t="s">
        <v>1951</v>
      </c>
      <c r="J200" s="78" t="s">
        <v>1951</v>
      </c>
      <c r="K200" s="78" t="s">
        <v>1643</v>
      </c>
    </row>
    <row r="201" spans="1:11" ht="15.75" thickBot="1" x14ac:dyDescent="0.3">
      <c r="A201" s="44" t="s">
        <v>1403</v>
      </c>
      <c r="B201" s="107" t="s">
        <v>1404</v>
      </c>
      <c r="C201" s="78" t="s">
        <v>808</v>
      </c>
      <c r="D201" s="108">
        <v>8543</v>
      </c>
      <c r="E201" s="78" t="s">
        <v>3275</v>
      </c>
      <c r="F201" s="78" t="s">
        <v>2259</v>
      </c>
      <c r="G201" s="78" t="s">
        <v>2987</v>
      </c>
      <c r="H201" s="78" t="s">
        <v>1643</v>
      </c>
      <c r="I201" s="78" t="s">
        <v>2483</v>
      </c>
      <c r="J201" s="118">
        <v>25</v>
      </c>
      <c r="K201" s="78" t="s">
        <v>1643</v>
      </c>
    </row>
    <row r="202" spans="1:11" ht="15.75" thickBot="1" x14ac:dyDescent="0.3">
      <c r="A202" s="44" t="s">
        <v>1411</v>
      </c>
      <c r="B202" s="107" t="s">
        <v>1412</v>
      </c>
      <c r="C202" s="78" t="s">
        <v>808</v>
      </c>
      <c r="D202" s="108">
        <v>7580</v>
      </c>
      <c r="E202" s="78" t="s">
        <v>2693</v>
      </c>
      <c r="F202" s="78" t="s">
        <v>1964</v>
      </c>
      <c r="G202" s="78" t="s">
        <v>2989</v>
      </c>
      <c r="H202" s="78" t="s">
        <v>1643</v>
      </c>
      <c r="I202" s="78" t="s">
        <v>2483</v>
      </c>
      <c r="J202" s="78" t="s">
        <v>3155</v>
      </c>
      <c r="K202" s="78" t="s">
        <v>1644</v>
      </c>
    </row>
    <row r="203" spans="1:11" ht="15.75" thickBot="1" x14ac:dyDescent="0.3">
      <c r="A203" s="44" t="s">
        <v>1419</v>
      </c>
      <c r="B203" s="107" t="s">
        <v>1420</v>
      </c>
      <c r="C203" s="78" t="s">
        <v>808</v>
      </c>
      <c r="D203" s="108">
        <v>7903</v>
      </c>
      <c r="E203" s="78" t="s">
        <v>3281</v>
      </c>
      <c r="F203" s="78" t="s">
        <v>1925</v>
      </c>
      <c r="G203" s="78" t="s">
        <v>2974</v>
      </c>
      <c r="H203" s="78" t="s">
        <v>1644</v>
      </c>
      <c r="I203" s="78" t="s">
        <v>1951</v>
      </c>
      <c r="J203" s="78" t="s">
        <v>1951</v>
      </c>
      <c r="K203" s="78" t="s">
        <v>1660</v>
      </c>
    </row>
    <row r="204" spans="1:11" ht="15.75" thickBot="1" x14ac:dyDescent="0.3">
      <c r="A204" s="44" t="s">
        <v>1435</v>
      </c>
      <c r="B204" s="107" t="s">
        <v>1436</v>
      </c>
      <c r="C204" s="78" t="s">
        <v>808</v>
      </c>
      <c r="D204" s="108">
        <v>11480</v>
      </c>
      <c r="E204" s="78" t="s">
        <v>3141</v>
      </c>
      <c r="F204" s="78" t="s">
        <v>1936</v>
      </c>
      <c r="G204" s="78" t="s">
        <v>2993</v>
      </c>
      <c r="H204" s="78" t="s">
        <v>1643</v>
      </c>
      <c r="I204" s="78" t="s">
        <v>2483</v>
      </c>
      <c r="J204" s="78" t="s">
        <v>3291</v>
      </c>
      <c r="K204" s="78" t="s">
        <v>1660</v>
      </c>
    </row>
    <row r="205" spans="1:11" ht="15.75" thickBot="1" x14ac:dyDescent="0.3">
      <c r="A205" s="44" t="s">
        <v>1437</v>
      </c>
      <c r="B205" s="107" t="s">
        <v>1438</v>
      </c>
      <c r="C205" s="78" t="s">
        <v>808</v>
      </c>
      <c r="D205" s="108">
        <v>7798</v>
      </c>
      <c r="E205" s="78" t="s">
        <v>2737</v>
      </c>
      <c r="F205" s="78" t="s">
        <v>2043</v>
      </c>
      <c r="G205" s="78" t="s">
        <v>2979</v>
      </c>
      <c r="H205" s="78" t="s">
        <v>1643</v>
      </c>
      <c r="I205" s="78" t="s">
        <v>2483</v>
      </c>
      <c r="J205" s="78" t="s">
        <v>3132</v>
      </c>
      <c r="K205" s="78" t="s">
        <v>1660</v>
      </c>
    </row>
    <row r="206" spans="1:11" ht="15.75" thickBot="1" x14ac:dyDescent="0.3">
      <c r="A206" s="44" t="s">
        <v>1445</v>
      </c>
      <c r="B206" s="107" t="s">
        <v>1446</v>
      </c>
      <c r="C206" s="78" t="s">
        <v>808</v>
      </c>
      <c r="D206" s="108">
        <v>7357</v>
      </c>
      <c r="E206" s="78" t="s">
        <v>3296</v>
      </c>
      <c r="F206" s="78" t="s">
        <v>1919</v>
      </c>
      <c r="G206" s="78" t="s">
        <v>2991</v>
      </c>
      <c r="H206" s="78" t="s">
        <v>1643</v>
      </c>
      <c r="I206" s="78" t="s">
        <v>2483</v>
      </c>
      <c r="J206" s="78" t="s">
        <v>3297</v>
      </c>
      <c r="K206" s="78" t="s">
        <v>1643</v>
      </c>
    </row>
    <row r="207" spans="1:11" ht="15.75" thickBot="1" x14ac:dyDescent="0.3">
      <c r="A207" s="44" t="s">
        <v>1451</v>
      </c>
      <c r="B207" s="107" t="s">
        <v>1452</v>
      </c>
      <c r="C207" s="78" t="s">
        <v>808</v>
      </c>
      <c r="D207" s="108">
        <v>7103</v>
      </c>
      <c r="E207" s="78" t="s">
        <v>3300</v>
      </c>
      <c r="F207" s="78" t="s">
        <v>1898</v>
      </c>
      <c r="G207" s="78" t="s">
        <v>2979</v>
      </c>
      <c r="H207" s="78" t="s">
        <v>1643</v>
      </c>
      <c r="I207" s="78" t="s">
        <v>3003</v>
      </c>
      <c r="J207" s="118">
        <v>25</v>
      </c>
      <c r="K207" s="78" t="s">
        <v>1643</v>
      </c>
    </row>
    <row r="208" spans="1:11" ht="15.75" thickBot="1" x14ac:dyDescent="0.3">
      <c r="A208" s="44" t="s">
        <v>1455</v>
      </c>
      <c r="B208" s="107" t="s">
        <v>1456</v>
      </c>
      <c r="C208" s="78" t="s">
        <v>808</v>
      </c>
      <c r="D208" s="108">
        <v>10017</v>
      </c>
      <c r="E208" s="78" t="s">
        <v>3302</v>
      </c>
      <c r="F208" s="78" t="s">
        <v>1944</v>
      </c>
      <c r="G208" s="78" t="s">
        <v>2991</v>
      </c>
      <c r="H208" s="78" t="s">
        <v>1644</v>
      </c>
      <c r="I208" s="78" t="s">
        <v>1951</v>
      </c>
      <c r="J208" s="78" t="s">
        <v>1951</v>
      </c>
      <c r="K208" s="78" t="s">
        <v>3453</v>
      </c>
    </row>
    <row r="209" spans="1:11" ht="15.75" thickBot="1" x14ac:dyDescent="0.3">
      <c r="A209" s="44" t="s">
        <v>1461</v>
      </c>
      <c r="B209" s="107" t="s">
        <v>1462</v>
      </c>
      <c r="C209" s="78" t="s">
        <v>808</v>
      </c>
      <c r="D209" s="108">
        <v>7272</v>
      </c>
      <c r="E209" s="78" t="s">
        <v>3306</v>
      </c>
      <c r="F209" s="78" t="s">
        <v>1892</v>
      </c>
      <c r="G209" s="78" t="s">
        <v>2976</v>
      </c>
      <c r="H209" s="78" t="s">
        <v>1643</v>
      </c>
      <c r="I209" s="78" t="s">
        <v>2483</v>
      </c>
      <c r="J209" s="118">
        <v>50</v>
      </c>
      <c r="K209" s="78" t="s">
        <v>1643</v>
      </c>
    </row>
    <row r="210" spans="1:11" ht="15.75" thickBot="1" x14ac:dyDescent="0.3">
      <c r="A210" s="44" t="s">
        <v>1467</v>
      </c>
      <c r="B210" s="107" t="s">
        <v>1468</v>
      </c>
      <c r="C210" s="78" t="s">
        <v>808</v>
      </c>
      <c r="D210" s="108">
        <v>11377</v>
      </c>
      <c r="E210" s="78" t="s">
        <v>2776</v>
      </c>
      <c r="F210" s="78" t="s">
        <v>2382</v>
      </c>
      <c r="G210" s="78" t="s">
        <v>2987</v>
      </c>
      <c r="H210" s="78" t="s">
        <v>1643</v>
      </c>
      <c r="I210" s="78" t="s">
        <v>2483</v>
      </c>
      <c r="J210" s="78" t="s">
        <v>3308</v>
      </c>
      <c r="K210" s="78" t="s">
        <v>1643</v>
      </c>
    </row>
    <row r="211" spans="1:11" ht="15.75" thickBot="1" x14ac:dyDescent="0.3">
      <c r="A211" s="44" t="s">
        <v>1480</v>
      </c>
      <c r="B211" s="107" t="s">
        <v>1481</v>
      </c>
      <c r="C211" s="78" t="s">
        <v>808</v>
      </c>
      <c r="D211" s="108">
        <v>8386</v>
      </c>
      <c r="E211" s="78" t="s">
        <v>2787</v>
      </c>
      <c r="F211" s="78" t="s">
        <v>2385</v>
      </c>
      <c r="G211" s="78" t="s">
        <v>2989</v>
      </c>
      <c r="H211" s="78" t="s">
        <v>1643</v>
      </c>
      <c r="I211" s="78" t="s">
        <v>2483</v>
      </c>
      <c r="J211" s="78" t="s">
        <v>3316</v>
      </c>
      <c r="K211" s="78" t="s">
        <v>1660</v>
      </c>
    </row>
    <row r="212" spans="1:11" ht="15.75" thickBot="1" x14ac:dyDescent="0.3">
      <c r="A212" s="44" t="s">
        <v>1486</v>
      </c>
      <c r="B212" s="107" t="s">
        <v>1487</v>
      </c>
      <c r="C212" s="78" t="s">
        <v>808</v>
      </c>
      <c r="D212" s="108">
        <v>9110</v>
      </c>
      <c r="E212" s="78" t="s">
        <v>2796</v>
      </c>
      <c r="F212" s="78" t="s">
        <v>2098</v>
      </c>
      <c r="G212" s="78" t="s">
        <v>2991</v>
      </c>
      <c r="H212" s="78" t="s">
        <v>1643</v>
      </c>
      <c r="I212" s="78" t="s">
        <v>2483</v>
      </c>
      <c r="J212" s="118">
        <v>20</v>
      </c>
      <c r="K212" s="78" t="s">
        <v>1660</v>
      </c>
    </row>
    <row r="213" spans="1:11" ht="15.75" thickBot="1" x14ac:dyDescent="0.3">
      <c r="A213" s="44" t="s">
        <v>1488</v>
      </c>
      <c r="B213" s="107" t="s">
        <v>1489</v>
      </c>
      <c r="C213" s="78" t="s">
        <v>808</v>
      </c>
      <c r="D213" s="108">
        <v>9645</v>
      </c>
      <c r="E213" s="78" t="s">
        <v>2540</v>
      </c>
      <c r="F213" s="78" t="s">
        <v>2540</v>
      </c>
      <c r="G213" s="78" t="s">
        <v>2981</v>
      </c>
      <c r="H213" s="78" t="s">
        <v>1643</v>
      </c>
      <c r="I213" s="78" t="s">
        <v>2483</v>
      </c>
      <c r="J213" s="78" t="s">
        <v>3317</v>
      </c>
      <c r="K213" s="78" t="s">
        <v>1643</v>
      </c>
    </row>
    <row r="214" spans="1:11" ht="15.75" thickBot="1" x14ac:dyDescent="0.3">
      <c r="A214" s="44" t="s">
        <v>1504</v>
      </c>
      <c r="B214" s="107" t="s">
        <v>1505</v>
      </c>
      <c r="C214" s="78" t="s">
        <v>808</v>
      </c>
      <c r="D214" s="108">
        <v>9301</v>
      </c>
      <c r="E214" s="78" t="s">
        <v>3325</v>
      </c>
      <c r="F214" s="78" t="s">
        <v>2376</v>
      </c>
      <c r="G214" s="78" t="s">
        <v>2987</v>
      </c>
      <c r="H214" s="78" t="s">
        <v>1643</v>
      </c>
      <c r="I214" s="78" t="s">
        <v>2483</v>
      </c>
      <c r="J214" s="78" t="s">
        <v>3326</v>
      </c>
      <c r="K214" s="78" t="s">
        <v>1643</v>
      </c>
    </row>
    <row r="215" spans="1:11" ht="15.75" thickBot="1" x14ac:dyDescent="0.3">
      <c r="A215" s="44" t="s">
        <v>1508</v>
      </c>
      <c r="B215" s="107" t="s">
        <v>1509</v>
      </c>
      <c r="C215" s="78" t="s">
        <v>808</v>
      </c>
      <c r="D215" s="108">
        <v>7851</v>
      </c>
      <c r="E215" s="78" t="s">
        <v>3327</v>
      </c>
      <c r="F215" s="78" t="s">
        <v>2820</v>
      </c>
      <c r="G215" s="78" t="s">
        <v>2985</v>
      </c>
      <c r="H215" s="78" t="s">
        <v>1643</v>
      </c>
      <c r="I215" s="78" t="s">
        <v>2483</v>
      </c>
      <c r="J215" s="78" t="s">
        <v>3328</v>
      </c>
      <c r="K215" s="78" t="s">
        <v>1660</v>
      </c>
    </row>
    <row r="216" spans="1:11" ht="15.75" thickBot="1" x14ac:dyDescent="0.3">
      <c r="A216" s="44" t="s">
        <v>1510</v>
      </c>
      <c r="B216" s="107" t="s">
        <v>1511</v>
      </c>
      <c r="C216" s="78" t="s">
        <v>808</v>
      </c>
      <c r="D216" s="108">
        <v>10250</v>
      </c>
      <c r="E216" s="78" t="s">
        <v>3329</v>
      </c>
      <c r="F216" s="78" t="s">
        <v>2091</v>
      </c>
      <c r="G216" s="78" t="s">
        <v>2991</v>
      </c>
      <c r="H216" s="78" t="s">
        <v>1643</v>
      </c>
      <c r="I216" s="78" t="s">
        <v>2483</v>
      </c>
      <c r="J216" s="78" t="s">
        <v>3168</v>
      </c>
      <c r="K216" s="78" t="s">
        <v>1643</v>
      </c>
    </row>
    <row r="217" spans="1:11" ht="15.75" thickBot="1" x14ac:dyDescent="0.3">
      <c r="A217" s="44" t="s">
        <v>1520</v>
      </c>
      <c r="B217" s="107" t="s">
        <v>1521</v>
      </c>
      <c r="C217" s="78" t="s">
        <v>808</v>
      </c>
      <c r="D217" s="108">
        <v>10662</v>
      </c>
      <c r="E217" s="78" t="s">
        <v>3332</v>
      </c>
      <c r="F217" s="78" t="s">
        <v>1930</v>
      </c>
      <c r="G217" s="78" t="s">
        <v>2979</v>
      </c>
      <c r="H217" s="78" t="s">
        <v>1644</v>
      </c>
      <c r="I217" s="78" t="s">
        <v>1951</v>
      </c>
      <c r="J217" s="78" t="s">
        <v>1951</v>
      </c>
      <c r="K217" s="78" t="s">
        <v>1643</v>
      </c>
    </row>
    <row r="218" spans="1:11" ht="15.75" thickBot="1" x14ac:dyDescent="0.3">
      <c r="A218" s="44" t="s">
        <v>1524</v>
      </c>
      <c r="B218" s="107" t="s">
        <v>1525</v>
      </c>
      <c r="C218" s="78" t="s">
        <v>808</v>
      </c>
      <c r="D218" s="108">
        <v>11985</v>
      </c>
      <c r="E218" s="78" t="s">
        <v>2043</v>
      </c>
      <c r="F218" s="78" t="s">
        <v>2043</v>
      </c>
      <c r="G218" s="78" t="s">
        <v>2979</v>
      </c>
      <c r="H218" s="78" t="s">
        <v>1644</v>
      </c>
      <c r="I218" s="78" t="s">
        <v>1951</v>
      </c>
      <c r="J218" s="78" t="s">
        <v>1951</v>
      </c>
      <c r="K218" s="78" t="s">
        <v>1660</v>
      </c>
    </row>
    <row r="219" spans="1:11" ht="15.75" thickBot="1" x14ac:dyDescent="0.3">
      <c r="A219" s="44" t="s">
        <v>1526</v>
      </c>
      <c r="B219" s="107" t="s">
        <v>1527</v>
      </c>
      <c r="C219" s="78" t="s">
        <v>808</v>
      </c>
      <c r="D219" s="108">
        <v>8147</v>
      </c>
      <c r="E219" s="78" t="s">
        <v>3333</v>
      </c>
      <c r="F219" s="78" t="s">
        <v>1930</v>
      </c>
      <c r="G219" s="78" t="s">
        <v>2979</v>
      </c>
      <c r="H219" s="78" t="s">
        <v>1643</v>
      </c>
      <c r="I219" s="78" t="s">
        <v>2483</v>
      </c>
      <c r="J219" s="78" t="s">
        <v>3334</v>
      </c>
      <c r="K219" s="78" t="s">
        <v>1643</v>
      </c>
    </row>
    <row r="220" spans="1:11" ht="15.75" thickBot="1" x14ac:dyDescent="0.3">
      <c r="A220" s="44" t="s">
        <v>1534</v>
      </c>
      <c r="B220" s="107" t="s">
        <v>1535</v>
      </c>
      <c r="C220" s="78" t="s">
        <v>808</v>
      </c>
      <c r="D220" s="108">
        <v>9714</v>
      </c>
      <c r="E220" s="78" t="s">
        <v>3339</v>
      </c>
      <c r="F220" s="78" t="s">
        <v>2091</v>
      </c>
      <c r="G220" s="78" t="s">
        <v>2991</v>
      </c>
      <c r="H220" s="78" t="s">
        <v>1643</v>
      </c>
      <c r="I220" s="78" t="s">
        <v>2483</v>
      </c>
      <c r="J220" s="78" t="s">
        <v>3079</v>
      </c>
      <c r="K220" s="78" t="s">
        <v>1660</v>
      </c>
    </row>
    <row r="221" spans="1:11" ht="15.75" thickBot="1" x14ac:dyDescent="0.3">
      <c r="A221" s="44" t="s">
        <v>1562</v>
      </c>
      <c r="B221" s="107" t="s">
        <v>1563</v>
      </c>
      <c r="C221" s="78" t="s">
        <v>808</v>
      </c>
      <c r="D221" s="108">
        <v>9514</v>
      </c>
      <c r="E221" s="78" t="s">
        <v>3353</v>
      </c>
      <c r="F221" s="78" t="s">
        <v>1976</v>
      </c>
      <c r="G221" s="78" t="s">
        <v>2987</v>
      </c>
      <c r="H221" s="78" t="s">
        <v>1644</v>
      </c>
      <c r="I221" s="78" t="s">
        <v>1951</v>
      </c>
      <c r="J221" s="78" t="s">
        <v>1951</v>
      </c>
      <c r="K221" s="78" t="s">
        <v>3453</v>
      </c>
    </row>
    <row r="222" spans="1:11" ht="15.75" thickBot="1" x14ac:dyDescent="0.3">
      <c r="A222" s="44" t="s">
        <v>1576</v>
      </c>
      <c r="B222" s="107" t="s">
        <v>1577</v>
      </c>
      <c r="C222" s="78" t="s">
        <v>808</v>
      </c>
      <c r="D222" s="108">
        <v>9138</v>
      </c>
      <c r="E222" s="78" t="s">
        <v>3357</v>
      </c>
      <c r="F222" s="78" t="s">
        <v>2607</v>
      </c>
      <c r="G222" s="78" t="s">
        <v>2979</v>
      </c>
      <c r="H222" s="78" t="s">
        <v>1643</v>
      </c>
      <c r="I222" s="78" t="s">
        <v>2483</v>
      </c>
      <c r="J222" s="78" t="s">
        <v>3358</v>
      </c>
      <c r="K222" s="78" t="s">
        <v>1660</v>
      </c>
    </row>
    <row r="223" spans="1:11" ht="15.75" thickBot="1" x14ac:dyDescent="0.3">
      <c r="A223" s="44" t="s">
        <v>1578</v>
      </c>
      <c r="B223" s="107" t="s">
        <v>1579</v>
      </c>
      <c r="C223" s="78" t="s">
        <v>808</v>
      </c>
      <c r="D223" s="108">
        <v>7370</v>
      </c>
      <c r="E223" s="78" t="s">
        <v>3359</v>
      </c>
      <c r="F223" s="78" t="s">
        <v>2184</v>
      </c>
      <c r="G223" s="78" t="s">
        <v>2981</v>
      </c>
      <c r="H223" s="78" t="s">
        <v>1643</v>
      </c>
      <c r="I223" s="78" t="s">
        <v>2483</v>
      </c>
      <c r="J223" s="118">
        <v>40</v>
      </c>
      <c r="K223" s="78" t="s">
        <v>1660</v>
      </c>
    </row>
    <row r="224" spans="1:11" ht="15.75" thickBot="1" x14ac:dyDescent="0.3">
      <c r="A224" s="44" t="s">
        <v>1582</v>
      </c>
      <c r="B224" s="107" t="s">
        <v>1583</v>
      </c>
      <c r="C224" s="78" t="s">
        <v>808</v>
      </c>
      <c r="D224" s="108">
        <v>8533</v>
      </c>
      <c r="E224" s="78" t="s">
        <v>3361</v>
      </c>
      <c r="F224" s="78" t="s">
        <v>2180</v>
      </c>
      <c r="G224" s="78" t="s">
        <v>2991</v>
      </c>
      <c r="H224" s="78" t="s">
        <v>1643</v>
      </c>
      <c r="I224" s="78" t="s">
        <v>2483</v>
      </c>
      <c r="J224" s="78" t="s">
        <v>3362</v>
      </c>
      <c r="K224" s="78" t="s">
        <v>1643</v>
      </c>
    </row>
    <row r="225" spans="1:11" ht="15.75" thickBot="1" x14ac:dyDescent="0.3">
      <c r="A225" s="44" t="s">
        <v>1584</v>
      </c>
      <c r="B225" s="107" t="s">
        <v>1585</v>
      </c>
      <c r="C225" s="78" t="s">
        <v>808</v>
      </c>
      <c r="D225" s="108">
        <v>11811</v>
      </c>
      <c r="E225" s="78" t="s">
        <v>3363</v>
      </c>
      <c r="F225" s="78" t="s">
        <v>2309</v>
      </c>
      <c r="G225" s="78" t="s">
        <v>2991</v>
      </c>
      <c r="H225" s="78" t="s">
        <v>1643</v>
      </c>
      <c r="I225" s="78" t="s">
        <v>2483</v>
      </c>
      <c r="J225" s="78" t="s">
        <v>3364</v>
      </c>
      <c r="K225" s="78" t="s">
        <v>1660</v>
      </c>
    </row>
    <row r="226" spans="1:11" ht="15.75" thickBot="1" x14ac:dyDescent="0.3">
      <c r="A226" s="44" t="s">
        <v>1590</v>
      </c>
      <c r="B226" s="107" t="s">
        <v>1591</v>
      </c>
      <c r="C226" s="78" t="s">
        <v>808</v>
      </c>
      <c r="D226" s="108">
        <v>10014</v>
      </c>
      <c r="E226" s="78" t="s">
        <v>3365</v>
      </c>
      <c r="F226" s="78" t="s">
        <v>2091</v>
      </c>
      <c r="G226" s="78" t="s">
        <v>2987</v>
      </c>
      <c r="H226" s="78" t="s">
        <v>1644</v>
      </c>
      <c r="I226" s="78" t="s">
        <v>1951</v>
      </c>
      <c r="J226" s="78" t="s">
        <v>1951</v>
      </c>
      <c r="K226" s="78" t="s">
        <v>1660</v>
      </c>
    </row>
    <row r="227" spans="1:11" ht="15.75" thickBot="1" x14ac:dyDescent="0.3">
      <c r="A227" s="44" t="s">
        <v>801</v>
      </c>
      <c r="B227" s="107" t="s">
        <v>802</v>
      </c>
      <c r="C227" s="78" t="s">
        <v>803</v>
      </c>
      <c r="D227" s="108">
        <v>21133</v>
      </c>
      <c r="E227" s="78" t="s">
        <v>2975</v>
      </c>
      <c r="F227" s="78" t="s">
        <v>1892</v>
      </c>
      <c r="G227" s="78" t="s">
        <v>2976</v>
      </c>
      <c r="H227" s="78" t="s">
        <v>1643</v>
      </c>
      <c r="I227" s="78" t="s">
        <v>2483</v>
      </c>
      <c r="J227" s="78" t="s">
        <v>2977</v>
      </c>
      <c r="K227" s="78" t="s">
        <v>1660</v>
      </c>
    </row>
    <row r="228" spans="1:11" ht="15.75" thickBot="1" x14ac:dyDescent="0.3">
      <c r="A228" s="44" t="s">
        <v>818</v>
      </c>
      <c r="B228" s="107" t="s">
        <v>819</v>
      </c>
      <c r="C228" s="78" t="s">
        <v>803</v>
      </c>
      <c r="D228" s="108">
        <v>17401</v>
      </c>
      <c r="E228" s="78" t="s">
        <v>1919</v>
      </c>
      <c r="F228" s="78" t="s">
        <v>1919</v>
      </c>
      <c r="G228" s="78" t="s">
        <v>2989</v>
      </c>
      <c r="H228" s="78" t="s">
        <v>1643</v>
      </c>
      <c r="I228" s="78" t="s">
        <v>2483</v>
      </c>
      <c r="J228" s="118">
        <v>20</v>
      </c>
      <c r="K228" s="78" t="s">
        <v>1643</v>
      </c>
    </row>
    <row r="229" spans="1:11" ht="15.75" thickBot="1" x14ac:dyDescent="0.3">
      <c r="A229" s="44" t="s">
        <v>846</v>
      </c>
      <c r="B229" s="107" t="s">
        <v>847</v>
      </c>
      <c r="C229" s="78" t="s">
        <v>803</v>
      </c>
      <c r="D229" s="108">
        <v>21412</v>
      </c>
      <c r="E229" s="78" t="s">
        <v>3005</v>
      </c>
      <c r="F229" s="78" t="s">
        <v>1885</v>
      </c>
      <c r="G229" s="78" t="s">
        <v>2974</v>
      </c>
      <c r="H229" s="78" t="s">
        <v>1644</v>
      </c>
      <c r="I229" s="78" t="s">
        <v>1951</v>
      </c>
      <c r="J229" s="78" t="s">
        <v>1951</v>
      </c>
      <c r="K229" s="78" t="s">
        <v>3453</v>
      </c>
    </row>
    <row r="230" spans="1:11" ht="15.75" thickBot="1" x14ac:dyDescent="0.3">
      <c r="A230" s="44" t="s">
        <v>851</v>
      </c>
      <c r="B230" s="107" t="s">
        <v>852</v>
      </c>
      <c r="C230" s="78" t="s">
        <v>803</v>
      </c>
      <c r="D230" s="108">
        <v>25883</v>
      </c>
      <c r="E230" s="78" t="s">
        <v>3008</v>
      </c>
      <c r="F230" s="78" t="s">
        <v>1925</v>
      </c>
      <c r="G230" s="78" t="s">
        <v>2974</v>
      </c>
      <c r="H230" s="78" t="s">
        <v>1643</v>
      </c>
      <c r="I230" s="78" t="s">
        <v>2483</v>
      </c>
      <c r="J230" s="78" t="s">
        <v>3009</v>
      </c>
      <c r="K230" s="78" t="s">
        <v>1951</v>
      </c>
    </row>
    <row r="231" spans="1:11" ht="15.75" thickBot="1" x14ac:dyDescent="0.3">
      <c r="A231" s="44" t="s">
        <v>871</v>
      </c>
      <c r="B231" s="107" t="s">
        <v>872</v>
      </c>
      <c r="C231" s="78" t="s">
        <v>803</v>
      </c>
      <c r="D231" s="108">
        <v>24787</v>
      </c>
      <c r="E231" s="78" t="s">
        <v>3020</v>
      </c>
      <c r="F231" s="78" t="s">
        <v>2001</v>
      </c>
      <c r="G231" s="78" t="s">
        <v>2989</v>
      </c>
      <c r="H231" s="78" t="s">
        <v>1643</v>
      </c>
      <c r="I231" s="78" t="s">
        <v>2483</v>
      </c>
      <c r="J231" s="78" t="s">
        <v>3021</v>
      </c>
      <c r="K231" s="78" t="s">
        <v>1643</v>
      </c>
    </row>
    <row r="232" spans="1:11" ht="15.75" thickBot="1" x14ac:dyDescent="0.3">
      <c r="A232" s="44" t="s">
        <v>877</v>
      </c>
      <c r="B232" s="107" t="s">
        <v>878</v>
      </c>
      <c r="C232" s="78" t="s">
        <v>803</v>
      </c>
      <c r="D232" s="108">
        <v>14970</v>
      </c>
      <c r="E232" s="78" t="s">
        <v>3023</v>
      </c>
      <c r="F232" s="78" t="s">
        <v>1885</v>
      </c>
      <c r="G232" s="78" t="s">
        <v>2974</v>
      </c>
      <c r="H232" s="78" t="s">
        <v>1643</v>
      </c>
      <c r="I232" s="78" t="s">
        <v>2483</v>
      </c>
      <c r="J232" s="118">
        <v>125</v>
      </c>
      <c r="K232" s="78" t="s">
        <v>1660</v>
      </c>
    </row>
    <row r="233" spans="1:11" ht="15.75" thickBot="1" x14ac:dyDescent="0.3">
      <c r="A233" s="44" t="s">
        <v>887</v>
      </c>
      <c r="B233" s="107" t="s">
        <v>888</v>
      </c>
      <c r="C233" s="78" t="s">
        <v>803</v>
      </c>
      <c r="D233" s="108">
        <v>20025</v>
      </c>
      <c r="E233" s="78" t="s">
        <v>3029</v>
      </c>
      <c r="F233" s="78" t="s">
        <v>1976</v>
      </c>
      <c r="G233" s="78" t="s">
        <v>2987</v>
      </c>
      <c r="H233" s="78" t="s">
        <v>1643</v>
      </c>
      <c r="I233" s="78" t="s">
        <v>2483</v>
      </c>
      <c r="J233" s="78" t="s">
        <v>3030</v>
      </c>
      <c r="K233" s="78" t="s">
        <v>1643</v>
      </c>
    </row>
    <row r="234" spans="1:11" ht="15.75" thickBot="1" x14ac:dyDescent="0.3">
      <c r="A234" s="44" t="s">
        <v>899</v>
      </c>
      <c r="B234" s="107" t="s">
        <v>900</v>
      </c>
      <c r="C234" s="78" t="s">
        <v>803</v>
      </c>
      <c r="D234" s="108">
        <v>15175</v>
      </c>
      <c r="E234" s="78" t="s">
        <v>3035</v>
      </c>
      <c r="F234" s="78" t="s">
        <v>1885</v>
      </c>
      <c r="G234" s="78" t="s">
        <v>2974</v>
      </c>
      <c r="H234" s="78" t="s">
        <v>1643</v>
      </c>
      <c r="I234" s="78" t="s">
        <v>2483</v>
      </c>
      <c r="J234" s="78" t="s">
        <v>3036</v>
      </c>
      <c r="K234" s="78" t="s">
        <v>1660</v>
      </c>
    </row>
    <row r="235" spans="1:11" ht="15.75" thickBot="1" x14ac:dyDescent="0.3">
      <c r="A235" s="44" t="s">
        <v>901</v>
      </c>
      <c r="B235" s="107" t="s">
        <v>902</v>
      </c>
      <c r="C235" s="78" t="s">
        <v>803</v>
      </c>
      <c r="D235" s="108">
        <v>12667</v>
      </c>
      <c r="E235" s="78" t="s">
        <v>2043</v>
      </c>
      <c r="F235" s="78" t="s">
        <v>2043</v>
      </c>
      <c r="G235" s="78" t="s">
        <v>2979</v>
      </c>
      <c r="H235" s="78" t="s">
        <v>1643</v>
      </c>
      <c r="I235" s="78" t="s">
        <v>2483</v>
      </c>
      <c r="J235" s="78" t="s">
        <v>3037</v>
      </c>
      <c r="K235" s="78" t="s">
        <v>1643</v>
      </c>
    </row>
    <row r="236" spans="1:11" ht="15.75" thickBot="1" x14ac:dyDescent="0.3">
      <c r="A236" s="44" t="s">
        <v>905</v>
      </c>
      <c r="B236" s="107" t="s">
        <v>906</v>
      </c>
      <c r="C236" s="78" t="s">
        <v>803</v>
      </c>
      <c r="D236" s="108">
        <v>19336</v>
      </c>
      <c r="E236" s="78" t="s">
        <v>3040</v>
      </c>
      <c r="F236" s="78" t="s">
        <v>1980</v>
      </c>
      <c r="G236" s="78" t="s">
        <v>2979</v>
      </c>
      <c r="H236" s="78" t="s">
        <v>1643</v>
      </c>
      <c r="I236" s="78" t="s">
        <v>2483</v>
      </c>
      <c r="J236" s="78" t="s">
        <v>3041</v>
      </c>
      <c r="K236" s="78" t="s">
        <v>1643</v>
      </c>
    </row>
    <row r="237" spans="1:11" ht="15.75" thickBot="1" x14ac:dyDescent="0.3">
      <c r="A237" s="44" t="s">
        <v>941</v>
      </c>
      <c r="B237" s="107" t="s">
        <v>942</v>
      </c>
      <c r="C237" s="78" t="s">
        <v>803</v>
      </c>
      <c r="D237" s="108">
        <v>15068</v>
      </c>
      <c r="E237" s="78" t="s">
        <v>3059</v>
      </c>
      <c r="F237" s="78" t="s">
        <v>1919</v>
      </c>
      <c r="G237" s="78" t="s">
        <v>2989</v>
      </c>
      <c r="H237" s="78" t="s">
        <v>1643</v>
      </c>
      <c r="I237" s="78" t="s">
        <v>2483</v>
      </c>
      <c r="J237" s="78" t="s">
        <v>3060</v>
      </c>
      <c r="K237" s="78" t="s">
        <v>3453</v>
      </c>
    </row>
    <row r="238" spans="1:11" ht="15.75" thickBot="1" x14ac:dyDescent="0.3">
      <c r="A238" s="44" t="s">
        <v>945</v>
      </c>
      <c r="B238" s="107" t="s">
        <v>946</v>
      </c>
      <c r="C238" s="78" t="s">
        <v>803</v>
      </c>
      <c r="D238" s="108">
        <v>24370</v>
      </c>
      <c r="E238" s="78" t="s">
        <v>3062</v>
      </c>
      <c r="F238" s="78" t="s">
        <v>1999</v>
      </c>
      <c r="G238" s="78" t="s">
        <v>2976</v>
      </c>
      <c r="H238" s="78" t="s">
        <v>1643</v>
      </c>
      <c r="I238" s="78" t="s">
        <v>2483</v>
      </c>
      <c r="J238" s="78" t="s">
        <v>3063</v>
      </c>
      <c r="K238" s="78" t="s">
        <v>1643</v>
      </c>
    </row>
    <row r="239" spans="1:11" ht="15.75" thickBot="1" x14ac:dyDescent="0.3">
      <c r="A239" s="44" t="s">
        <v>949</v>
      </c>
      <c r="B239" s="107" t="s">
        <v>950</v>
      </c>
      <c r="C239" s="78" t="s">
        <v>803</v>
      </c>
      <c r="D239" s="108">
        <v>13894</v>
      </c>
      <c r="E239" s="78" t="s">
        <v>2120</v>
      </c>
      <c r="F239" s="78" t="s">
        <v>2120</v>
      </c>
      <c r="G239" s="78" t="s">
        <v>2985</v>
      </c>
      <c r="H239" s="78" t="s">
        <v>1643</v>
      </c>
      <c r="I239" s="78" t="s">
        <v>2483</v>
      </c>
      <c r="J239" s="78" t="s">
        <v>3064</v>
      </c>
      <c r="K239" s="78" t="s">
        <v>1660</v>
      </c>
    </row>
    <row r="240" spans="1:11" ht="15.75" thickBot="1" x14ac:dyDescent="0.3">
      <c r="A240" s="44" t="s">
        <v>951</v>
      </c>
      <c r="B240" s="107" t="s">
        <v>952</v>
      </c>
      <c r="C240" s="78" t="s">
        <v>803</v>
      </c>
      <c r="D240" s="108">
        <v>15010</v>
      </c>
      <c r="E240" s="78" t="s">
        <v>3065</v>
      </c>
      <c r="F240" s="78" t="s">
        <v>1948</v>
      </c>
      <c r="G240" s="78" t="s">
        <v>2974</v>
      </c>
      <c r="H240" s="78" t="s">
        <v>1643</v>
      </c>
      <c r="I240" s="78" t="s">
        <v>2483</v>
      </c>
      <c r="J240" s="118">
        <v>125</v>
      </c>
      <c r="K240" s="78" t="s">
        <v>1660</v>
      </c>
    </row>
    <row r="241" spans="1:11" ht="15.75" thickBot="1" x14ac:dyDescent="0.3">
      <c r="A241" s="44" t="s">
        <v>965</v>
      </c>
      <c r="B241" s="107" t="s">
        <v>966</v>
      </c>
      <c r="C241" s="78" t="s">
        <v>803</v>
      </c>
      <c r="D241" s="108">
        <v>12982</v>
      </c>
      <c r="E241" s="78" t="s">
        <v>2142</v>
      </c>
      <c r="F241" s="78" t="s">
        <v>2001</v>
      </c>
      <c r="G241" s="78" t="s">
        <v>2989</v>
      </c>
      <c r="H241" s="78" t="s">
        <v>1643</v>
      </c>
      <c r="I241" s="78" t="s">
        <v>2483</v>
      </c>
      <c r="J241" s="78" t="s">
        <v>3074</v>
      </c>
      <c r="K241" s="78" t="s">
        <v>1643</v>
      </c>
    </row>
    <row r="242" spans="1:11" ht="15.75" thickBot="1" x14ac:dyDescent="0.3">
      <c r="A242" s="44" t="s">
        <v>975</v>
      </c>
      <c r="B242" s="107" t="s">
        <v>976</v>
      </c>
      <c r="C242" s="78" t="s">
        <v>803</v>
      </c>
      <c r="D242" s="108">
        <v>14854</v>
      </c>
      <c r="E242" s="78" t="s">
        <v>2161</v>
      </c>
      <c r="F242" s="78" t="s">
        <v>1964</v>
      </c>
      <c r="G242" s="78" t="s">
        <v>2989</v>
      </c>
      <c r="H242" s="78" t="s">
        <v>1643</v>
      </c>
      <c r="I242" s="78" t="s">
        <v>2483</v>
      </c>
      <c r="J242" s="78" t="s">
        <v>3079</v>
      </c>
      <c r="K242" s="78" t="s">
        <v>1660</v>
      </c>
    </row>
    <row r="243" spans="1:11" ht="15.75" thickBot="1" x14ac:dyDescent="0.3">
      <c r="A243" s="44" t="s">
        <v>981</v>
      </c>
      <c r="B243" s="107" t="s">
        <v>982</v>
      </c>
      <c r="C243" s="78" t="s">
        <v>803</v>
      </c>
      <c r="D243" s="108">
        <v>14074</v>
      </c>
      <c r="E243" s="78" t="s">
        <v>3081</v>
      </c>
      <c r="F243" s="78" t="s">
        <v>2172</v>
      </c>
      <c r="G243" s="78" t="s">
        <v>2981</v>
      </c>
      <c r="H243" s="78" t="s">
        <v>1643</v>
      </c>
      <c r="I243" s="78" t="s">
        <v>2483</v>
      </c>
      <c r="J243" s="78" t="s">
        <v>3082</v>
      </c>
      <c r="K243" s="78" t="s">
        <v>1660</v>
      </c>
    </row>
    <row r="244" spans="1:11" ht="15.75" thickBot="1" x14ac:dyDescent="0.3">
      <c r="A244" s="44" t="s">
        <v>1007</v>
      </c>
      <c r="B244" s="107" t="s">
        <v>1008</v>
      </c>
      <c r="C244" s="78" t="s">
        <v>803</v>
      </c>
      <c r="D244" s="108">
        <v>20542</v>
      </c>
      <c r="E244" s="78" t="s">
        <v>2212</v>
      </c>
      <c r="F244" s="78" t="s">
        <v>1980</v>
      </c>
      <c r="G244" s="78" t="s">
        <v>2976</v>
      </c>
      <c r="H244" s="78" t="s">
        <v>1643</v>
      </c>
      <c r="I244" s="78" t="s">
        <v>2483</v>
      </c>
      <c r="J244" s="78" t="s">
        <v>3098</v>
      </c>
      <c r="K244" s="78" t="s">
        <v>1660</v>
      </c>
    </row>
    <row r="245" spans="1:11" ht="15.75" thickBot="1" x14ac:dyDescent="0.3">
      <c r="A245" s="44" t="s">
        <v>1009</v>
      </c>
      <c r="B245" s="107" t="s">
        <v>1010</v>
      </c>
      <c r="C245" s="78" t="s">
        <v>803</v>
      </c>
      <c r="D245" s="108">
        <v>19591</v>
      </c>
      <c r="E245" s="78" t="s">
        <v>3099</v>
      </c>
      <c r="F245" s="78" t="s">
        <v>1948</v>
      </c>
      <c r="G245" s="78" t="s">
        <v>2974</v>
      </c>
      <c r="H245" s="78" t="s">
        <v>1643</v>
      </c>
      <c r="I245" s="78" t="s">
        <v>2483</v>
      </c>
      <c r="J245" s="78" t="s">
        <v>3100</v>
      </c>
      <c r="K245" s="78" t="s">
        <v>1660</v>
      </c>
    </row>
    <row r="246" spans="1:11" ht="15.75" thickBot="1" x14ac:dyDescent="0.3">
      <c r="A246" s="44" t="s">
        <v>1017</v>
      </c>
      <c r="B246" s="107" t="s">
        <v>1018</v>
      </c>
      <c r="C246" s="78" t="s">
        <v>803</v>
      </c>
      <c r="D246" s="108">
        <v>13306</v>
      </c>
      <c r="E246" s="78" t="s">
        <v>3104</v>
      </c>
      <c r="F246" s="78" t="s">
        <v>2095</v>
      </c>
      <c r="G246" s="78" t="s">
        <v>2989</v>
      </c>
      <c r="H246" s="78" t="s">
        <v>1643</v>
      </c>
      <c r="I246" s="78" t="s">
        <v>3003</v>
      </c>
      <c r="J246" s="78" t="s">
        <v>3105</v>
      </c>
      <c r="K246" s="78" t="s">
        <v>1643</v>
      </c>
    </row>
    <row r="247" spans="1:11" ht="15.75" thickBot="1" x14ac:dyDescent="0.3">
      <c r="A247" s="44" t="s">
        <v>1027</v>
      </c>
      <c r="B247" s="107" t="s">
        <v>1028</v>
      </c>
      <c r="C247" s="78" t="s">
        <v>803</v>
      </c>
      <c r="D247" s="108">
        <v>12670</v>
      </c>
      <c r="E247" s="78" t="s">
        <v>3110</v>
      </c>
      <c r="F247" s="78" t="s">
        <v>1999</v>
      </c>
      <c r="G247" s="78" t="s">
        <v>2976</v>
      </c>
      <c r="H247" s="78" t="s">
        <v>1643</v>
      </c>
      <c r="I247" s="78" t="s">
        <v>2483</v>
      </c>
      <c r="J247" s="78" t="s">
        <v>3111</v>
      </c>
      <c r="K247" s="78" t="s">
        <v>1660</v>
      </c>
    </row>
    <row r="248" spans="1:11" ht="15.75" thickBot="1" x14ac:dyDescent="0.3">
      <c r="A248" s="44" t="s">
        <v>1043</v>
      </c>
      <c r="B248" s="107" t="s">
        <v>1044</v>
      </c>
      <c r="C248" s="78" t="s">
        <v>803</v>
      </c>
      <c r="D248" s="108">
        <v>25830</v>
      </c>
      <c r="E248" s="78" t="s">
        <v>3116</v>
      </c>
      <c r="F248" s="78" t="s">
        <v>2203</v>
      </c>
      <c r="G248" s="78" t="s">
        <v>2981</v>
      </c>
      <c r="H248" s="78" t="s">
        <v>1643</v>
      </c>
      <c r="I248" s="78" t="s">
        <v>2483</v>
      </c>
      <c r="J248" s="78" t="s">
        <v>3117</v>
      </c>
      <c r="K248" s="78" t="s">
        <v>1643</v>
      </c>
    </row>
    <row r="249" spans="1:11" ht="15.75" thickBot="1" x14ac:dyDescent="0.3">
      <c r="A249" s="44" t="s">
        <v>1053</v>
      </c>
      <c r="B249" s="107" t="s">
        <v>1054</v>
      </c>
      <c r="C249" s="78" t="s">
        <v>803</v>
      </c>
      <c r="D249" s="108">
        <v>14230</v>
      </c>
      <c r="E249" s="78" t="s">
        <v>3120</v>
      </c>
      <c r="F249" s="78" t="s">
        <v>1919</v>
      </c>
      <c r="G249" s="78" t="s">
        <v>2991</v>
      </c>
      <c r="H249" s="78" t="s">
        <v>1643</v>
      </c>
      <c r="I249" s="78" t="s">
        <v>2483</v>
      </c>
      <c r="J249" s="118">
        <v>30</v>
      </c>
      <c r="K249" s="78" t="s">
        <v>1643</v>
      </c>
    </row>
    <row r="250" spans="1:11" ht="15.75" thickBot="1" x14ac:dyDescent="0.3">
      <c r="A250" s="44" t="s">
        <v>1055</v>
      </c>
      <c r="B250" s="107" t="s">
        <v>1056</v>
      </c>
      <c r="C250" s="78" t="s">
        <v>803</v>
      </c>
      <c r="D250" s="108">
        <v>19900</v>
      </c>
      <c r="E250" s="78" t="s">
        <v>3121</v>
      </c>
      <c r="F250" s="78" t="s">
        <v>1885</v>
      </c>
      <c r="G250" s="78" t="s">
        <v>2974</v>
      </c>
      <c r="H250" s="78" t="s">
        <v>1643</v>
      </c>
      <c r="I250" s="78" t="s">
        <v>2483</v>
      </c>
      <c r="J250" s="78" t="s">
        <v>3091</v>
      </c>
      <c r="K250" s="78" t="s">
        <v>1660</v>
      </c>
    </row>
    <row r="251" spans="1:11" ht="15.75" thickBot="1" x14ac:dyDescent="0.3">
      <c r="A251" s="44" t="s">
        <v>1059</v>
      </c>
      <c r="B251" s="107" t="s">
        <v>1060</v>
      </c>
      <c r="C251" s="78" t="s">
        <v>803</v>
      </c>
      <c r="D251" s="108">
        <v>17626</v>
      </c>
      <c r="E251" s="78" t="s">
        <v>3122</v>
      </c>
      <c r="F251" s="78" t="s">
        <v>2091</v>
      </c>
      <c r="G251" s="78" t="s">
        <v>2991</v>
      </c>
      <c r="H251" s="78" t="s">
        <v>1643</v>
      </c>
      <c r="I251" s="78" t="s">
        <v>2483</v>
      </c>
      <c r="J251" s="78" t="s">
        <v>3123</v>
      </c>
      <c r="K251" s="78" t="s">
        <v>1660</v>
      </c>
    </row>
    <row r="252" spans="1:11" ht="15.75" thickBot="1" x14ac:dyDescent="0.3">
      <c r="A252" s="44" t="s">
        <v>1061</v>
      </c>
      <c r="B252" s="107" t="s">
        <v>1062</v>
      </c>
      <c r="C252" s="78" t="s">
        <v>803</v>
      </c>
      <c r="D252" s="108">
        <v>17823</v>
      </c>
      <c r="E252" s="78" t="s">
        <v>3124</v>
      </c>
      <c r="F252" s="78" t="s">
        <v>1925</v>
      </c>
      <c r="G252" s="78" t="s">
        <v>2974</v>
      </c>
      <c r="H252" s="78" t="s">
        <v>1643</v>
      </c>
      <c r="I252" s="78" t="s">
        <v>2483</v>
      </c>
      <c r="J252" s="118">
        <v>65</v>
      </c>
      <c r="K252" s="78" t="s">
        <v>1643</v>
      </c>
    </row>
    <row r="253" spans="1:11" ht="15.75" thickBot="1" x14ac:dyDescent="0.3">
      <c r="A253" s="44" t="s">
        <v>1067</v>
      </c>
      <c r="B253" s="107" t="s">
        <v>1068</v>
      </c>
      <c r="C253" s="78" t="s">
        <v>803</v>
      </c>
      <c r="D253" s="108">
        <v>17068</v>
      </c>
      <c r="E253" s="78" t="s">
        <v>3126</v>
      </c>
      <c r="F253" s="78" t="s">
        <v>2052</v>
      </c>
      <c r="G253" s="78" t="s">
        <v>2974</v>
      </c>
      <c r="H253" s="78" t="s">
        <v>1643</v>
      </c>
      <c r="I253" s="78" t="s">
        <v>2483</v>
      </c>
      <c r="J253" s="78" t="s">
        <v>3127</v>
      </c>
      <c r="K253" s="78" t="s">
        <v>1643</v>
      </c>
    </row>
    <row r="254" spans="1:11" ht="15.75" thickBot="1" x14ac:dyDescent="0.3">
      <c r="A254" s="44" t="s">
        <v>1073</v>
      </c>
      <c r="B254" s="107" t="s">
        <v>1074</v>
      </c>
      <c r="C254" s="78" t="s">
        <v>803</v>
      </c>
      <c r="D254" s="108">
        <v>14480</v>
      </c>
      <c r="E254" s="78" t="s">
        <v>3129</v>
      </c>
      <c r="F254" s="78" t="s">
        <v>1952</v>
      </c>
      <c r="G254" s="78" t="s">
        <v>2999</v>
      </c>
      <c r="H254" s="78" t="s">
        <v>1643</v>
      </c>
      <c r="I254" s="78" t="s">
        <v>2483</v>
      </c>
      <c r="J254" s="118">
        <v>200</v>
      </c>
      <c r="K254" s="78" t="s">
        <v>1660</v>
      </c>
    </row>
    <row r="255" spans="1:11" ht="15.75" thickBot="1" x14ac:dyDescent="0.3">
      <c r="A255" s="44" t="s">
        <v>1077</v>
      </c>
      <c r="B255" s="107" t="s">
        <v>1078</v>
      </c>
      <c r="C255" s="78" t="s">
        <v>803</v>
      </c>
      <c r="D255" s="108">
        <v>13326</v>
      </c>
      <c r="E255" s="78" t="s">
        <v>2533</v>
      </c>
      <c r="F255" s="78" t="s">
        <v>2180</v>
      </c>
      <c r="G255" s="78" t="s">
        <v>2991</v>
      </c>
      <c r="H255" s="78" t="s">
        <v>1643</v>
      </c>
      <c r="I255" s="78" t="s">
        <v>2483</v>
      </c>
      <c r="J255" s="78" t="s">
        <v>3131</v>
      </c>
      <c r="K255" s="78" t="s">
        <v>1660</v>
      </c>
    </row>
    <row r="256" spans="1:11" ht="15.75" thickBot="1" x14ac:dyDescent="0.3">
      <c r="A256" s="44" t="s">
        <v>1079</v>
      </c>
      <c r="B256" s="107" t="s">
        <v>1080</v>
      </c>
      <c r="C256" s="78" t="s">
        <v>803</v>
      </c>
      <c r="D256" s="108">
        <v>13598</v>
      </c>
      <c r="E256" s="78" t="s">
        <v>2310</v>
      </c>
      <c r="F256" s="78" t="s">
        <v>2309</v>
      </c>
      <c r="G256" s="78" t="s">
        <v>2991</v>
      </c>
      <c r="H256" s="78" t="s">
        <v>1643</v>
      </c>
      <c r="I256" s="78" t="s">
        <v>3003</v>
      </c>
      <c r="J256" s="78" t="s">
        <v>3132</v>
      </c>
      <c r="K256" s="78" t="s">
        <v>1660</v>
      </c>
    </row>
    <row r="257" spans="1:11" ht="15.75" thickBot="1" x14ac:dyDescent="0.3">
      <c r="A257" s="44" t="s">
        <v>1097</v>
      </c>
      <c r="B257" s="107" t="s">
        <v>1098</v>
      </c>
      <c r="C257" s="78" t="s">
        <v>803</v>
      </c>
      <c r="D257" s="108">
        <v>25692</v>
      </c>
      <c r="E257" s="78" t="s">
        <v>2332</v>
      </c>
      <c r="F257" s="78" t="s">
        <v>2332</v>
      </c>
      <c r="G257" s="78" t="s">
        <v>2979</v>
      </c>
      <c r="H257" s="78" t="s">
        <v>1643</v>
      </c>
      <c r="I257" s="78" t="s">
        <v>2483</v>
      </c>
      <c r="J257" s="78" t="s">
        <v>3140</v>
      </c>
      <c r="K257" s="78" t="s">
        <v>1660</v>
      </c>
    </row>
    <row r="258" spans="1:11" ht="15.75" thickBot="1" x14ac:dyDescent="0.3">
      <c r="A258" s="44" t="s">
        <v>1105</v>
      </c>
      <c r="B258" s="107" t="s">
        <v>1106</v>
      </c>
      <c r="C258" s="78" t="s">
        <v>803</v>
      </c>
      <c r="D258" s="108">
        <v>15959</v>
      </c>
      <c r="E258" s="78" t="s">
        <v>3144</v>
      </c>
      <c r="F258" s="78" t="s">
        <v>1999</v>
      </c>
      <c r="G258" s="78" t="s">
        <v>2976</v>
      </c>
      <c r="H258" s="78" t="s">
        <v>1644</v>
      </c>
      <c r="I258" s="78" t="s">
        <v>1951</v>
      </c>
      <c r="J258" s="78" t="s">
        <v>1951</v>
      </c>
      <c r="K258" s="78" t="s">
        <v>1660</v>
      </c>
    </row>
    <row r="259" spans="1:11" ht="15.75" thickBot="1" x14ac:dyDescent="0.3">
      <c r="A259" s="44" t="s">
        <v>1115</v>
      </c>
      <c r="B259" s="107" t="s">
        <v>1116</v>
      </c>
      <c r="C259" s="78" t="s">
        <v>803</v>
      </c>
      <c r="D259" s="108">
        <v>21165</v>
      </c>
      <c r="E259" s="78" t="s">
        <v>2360</v>
      </c>
      <c r="F259" s="78" t="s">
        <v>2052</v>
      </c>
      <c r="G259" s="78" t="s">
        <v>2974</v>
      </c>
      <c r="H259" s="78" t="s">
        <v>1644</v>
      </c>
      <c r="I259" s="78" t="s">
        <v>1951</v>
      </c>
      <c r="J259" s="78" t="s">
        <v>1951</v>
      </c>
      <c r="K259" s="78" t="s">
        <v>3453</v>
      </c>
    </row>
    <row r="260" spans="1:11" ht="15.75" thickBot="1" x14ac:dyDescent="0.3">
      <c r="A260" s="44" t="s">
        <v>1117</v>
      </c>
      <c r="B260" s="107" t="s">
        <v>1118</v>
      </c>
      <c r="C260" s="78" t="s">
        <v>803</v>
      </c>
      <c r="D260" s="108">
        <v>22423</v>
      </c>
      <c r="E260" s="78" t="s">
        <v>3150</v>
      </c>
      <c r="F260" s="78" t="s">
        <v>1925</v>
      </c>
      <c r="G260" s="78" t="s">
        <v>2974</v>
      </c>
      <c r="H260" s="78" t="s">
        <v>1643</v>
      </c>
      <c r="I260" s="78" t="s">
        <v>2483</v>
      </c>
      <c r="J260" s="78" t="s">
        <v>3151</v>
      </c>
      <c r="K260" s="78" t="s">
        <v>1660</v>
      </c>
    </row>
    <row r="261" spans="1:11" ht="15.75" thickBot="1" x14ac:dyDescent="0.3">
      <c r="A261" s="44" t="s">
        <v>1121</v>
      </c>
      <c r="B261" s="107" t="s">
        <v>1122</v>
      </c>
      <c r="C261" s="78" t="s">
        <v>803</v>
      </c>
      <c r="D261" s="108">
        <v>14236</v>
      </c>
      <c r="E261" s="78" t="s">
        <v>3154</v>
      </c>
      <c r="F261" s="78" t="s">
        <v>1925</v>
      </c>
      <c r="G261" s="78" t="s">
        <v>2999</v>
      </c>
      <c r="H261" s="78" t="s">
        <v>1643</v>
      </c>
      <c r="I261" s="78" t="s">
        <v>2483</v>
      </c>
      <c r="J261" s="78" t="s">
        <v>3155</v>
      </c>
      <c r="K261" s="78" t="s">
        <v>1660</v>
      </c>
    </row>
    <row r="262" spans="1:11" ht="15.75" thickBot="1" x14ac:dyDescent="0.3">
      <c r="A262" s="44" t="s">
        <v>1123</v>
      </c>
      <c r="B262" s="107" t="s">
        <v>1124</v>
      </c>
      <c r="C262" s="78" t="s">
        <v>803</v>
      </c>
      <c r="D262" s="108">
        <v>12920</v>
      </c>
      <c r="E262" s="78" t="s">
        <v>3156</v>
      </c>
      <c r="F262" s="78" t="s">
        <v>2376</v>
      </c>
      <c r="G262" s="78" t="s">
        <v>2993</v>
      </c>
      <c r="H262" s="78" t="s">
        <v>1643</v>
      </c>
      <c r="I262" s="78" t="s">
        <v>2483</v>
      </c>
      <c r="J262" s="78" t="s">
        <v>3136</v>
      </c>
      <c r="K262" s="78" t="s">
        <v>1644</v>
      </c>
    </row>
    <row r="263" spans="1:11" ht="15.75" thickBot="1" x14ac:dyDescent="0.3">
      <c r="A263" s="44" t="s">
        <v>1125</v>
      </c>
      <c r="B263" s="107" t="s">
        <v>1126</v>
      </c>
      <c r="C263" s="78" t="s">
        <v>803</v>
      </c>
      <c r="D263" s="108">
        <v>24587</v>
      </c>
      <c r="E263" s="78" t="s">
        <v>2379</v>
      </c>
      <c r="F263" s="78" t="s">
        <v>1952</v>
      </c>
      <c r="G263" s="78" t="s">
        <v>2999</v>
      </c>
      <c r="H263" s="78" t="s">
        <v>1643</v>
      </c>
      <c r="I263" s="78" t="s">
        <v>2483</v>
      </c>
      <c r="J263" s="78" t="s">
        <v>3157</v>
      </c>
      <c r="K263" s="78" t="s">
        <v>1660</v>
      </c>
    </row>
    <row r="264" spans="1:11" ht="15.75" thickBot="1" x14ac:dyDescent="0.3">
      <c r="A264" s="44" t="s">
        <v>1131</v>
      </c>
      <c r="B264" s="107" t="s">
        <v>1132</v>
      </c>
      <c r="C264" s="78" t="s">
        <v>803</v>
      </c>
      <c r="D264" s="108">
        <v>13233</v>
      </c>
      <c r="E264" s="78" t="s">
        <v>3106</v>
      </c>
      <c r="F264" s="78" t="s">
        <v>2205</v>
      </c>
      <c r="G264" s="78" t="s">
        <v>2991</v>
      </c>
      <c r="H264" s="78" t="s">
        <v>1643</v>
      </c>
      <c r="I264" s="78" t="s">
        <v>2483</v>
      </c>
      <c r="J264" s="78" t="s">
        <v>3160</v>
      </c>
      <c r="K264" s="78" t="s">
        <v>1643</v>
      </c>
    </row>
    <row r="265" spans="1:11" ht="15.75" thickBot="1" x14ac:dyDescent="0.3">
      <c r="A265" s="44" t="s">
        <v>1133</v>
      </c>
      <c r="B265" s="107" t="s">
        <v>1134</v>
      </c>
      <c r="C265" s="78" t="s">
        <v>803</v>
      </c>
      <c r="D265" s="108">
        <v>16422</v>
      </c>
      <c r="E265" s="78" t="s">
        <v>3161</v>
      </c>
      <c r="F265" s="78" t="s">
        <v>1885</v>
      </c>
      <c r="G265" s="78" t="s">
        <v>2974</v>
      </c>
      <c r="H265" s="78" t="s">
        <v>1643</v>
      </c>
      <c r="I265" s="78" t="s">
        <v>2483</v>
      </c>
      <c r="J265" s="78" t="s">
        <v>3057</v>
      </c>
      <c r="K265" s="78" t="s">
        <v>1660</v>
      </c>
    </row>
    <row r="266" spans="1:11" ht="15.75" thickBot="1" x14ac:dyDescent="0.3">
      <c r="A266" s="44" t="s">
        <v>1141</v>
      </c>
      <c r="B266" s="107" t="s">
        <v>1142</v>
      </c>
      <c r="C266" s="78" t="s">
        <v>803</v>
      </c>
      <c r="D266" s="108">
        <v>19202</v>
      </c>
      <c r="E266" s="78" t="s">
        <v>2401</v>
      </c>
      <c r="F266" s="78" t="s">
        <v>1885</v>
      </c>
      <c r="G266" s="78" t="s">
        <v>2974</v>
      </c>
      <c r="H266" s="78" t="s">
        <v>1643</v>
      </c>
      <c r="I266" s="78" t="s">
        <v>2483</v>
      </c>
      <c r="J266" s="78" t="s">
        <v>3091</v>
      </c>
      <c r="K266" s="78" t="s">
        <v>1660</v>
      </c>
    </row>
    <row r="267" spans="1:11" ht="15.75" thickBot="1" x14ac:dyDescent="0.3">
      <c r="A267" s="44" t="s">
        <v>1145</v>
      </c>
      <c r="B267" s="107" t="s">
        <v>1146</v>
      </c>
      <c r="C267" s="78" t="s">
        <v>803</v>
      </c>
      <c r="D267" s="108">
        <v>23088</v>
      </c>
      <c r="E267" s="78" t="s">
        <v>2407</v>
      </c>
      <c r="F267" s="78" t="s">
        <v>1885</v>
      </c>
      <c r="G267" s="78" t="s">
        <v>2993</v>
      </c>
      <c r="H267" s="78" t="s">
        <v>1643</v>
      </c>
      <c r="I267" s="78" t="s">
        <v>2483</v>
      </c>
      <c r="J267" s="78" t="s">
        <v>3127</v>
      </c>
      <c r="K267" s="78" t="s">
        <v>1643</v>
      </c>
    </row>
    <row r="268" spans="1:11" ht="15.75" thickBot="1" x14ac:dyDescent="0.3">
      <c r="A268" s="44" t="s">
        <v>1153</v>
      </c>
      <c r="B268" s="107" t="s">
        <v>1154</v>
      </c>
      <c r="C268" s="78" t="s">
        <v>803</v>
      </c>
      <c r="D268" s="108">
        <v>15322</v>
      </c>
      <c r="E268" s="78" t="s">
        <v>3169</v>
      </c>
      <c r="F268" s="78" t="s">
        <v>2415</v>
      </c>
      <c r="G268" s="78" t="s">
        <v>2979</v>
      </c>
      <c r="H268" s="78" t="s">
        <v>1644</v>
      </c>
      <c r="I268" s="78" t="s">
        <v>1951</v>
      </c>
      <c r="J268" s="78" t="s">
        <v>1951</v>
      </c>
      <c r="K268" s="78" t="s">
        <v>3453</v>
      </c>
    </row>
    <row r="269" spans="1:11" ht="15.75" thickBot="1" x14ac:dyDescent="0.3">
      <c r="A269" s="44" t="s">
        <v>1155</v>
      </c>
      <c r="B269" s="107" t="s">
        <v>1156</v>
      </c>
      <c r="C269" s="78" t="s">
        <v>803</v>
      </c>
      <c r="D269" s="108">
        <v>22115</v>
      </c>
      <c r="E269" s="78" t="s">
        <v>3170</v>
      </c>
      <c r="F269" s="78" t="s">
        <v>1926</v>
      </c>
      <c r="G269" s="78" t="s">
        <v>2991</v>
      </c>
      <c r="H269" s="78" t="s">
        <v>1643</v>
      </c>
      <c r="I269" s="78" t="s">
        <v>2483</v>
      </c>
      <c r="J269" s="78" t="s">
        <v>3171</v>
      </c>
      <c r="K269" s="78" t="s">
        <v>1643</v>
      </c>
    </row>
    <row r="270" spans="1:11" ht="15.75" thickBot="1" x14ac:dyDescent="0.3">
      <c r="A270" s="44" t="s">
        <v>1169</v>
      </c>
      <c r="B270" s="107" t="s">
        <v>1170</v>
      </c>
      <c r="C270" s="78" t="s">
        <v>803</v>
      </c>
      <c r="D270" s="108">
        <v>21871</v>
      </c>
      <c r="E270" s="78" t="s">
        <v>1944</v>
      </c>
      <c r="F270" s="78" t="s">
        <v>1944</v>
      </c>
      <c r="G270" s="78" t="s">
        <v>2991</v>
      </c>
      <c r="H270" s="78" t="s">
        <v>1643</v>
      </c>
      <c r="I270" s="78" t="s">
        <v>2483</v>
      </c>
      <c r="J270" s="78" t="s">
        <v>2994</v>
      </c>
      <c r="K270" s="78" t="s">
        <v>1660</v>
      </c>
    </row>
    <row r="271" spans="1:11" ht="15.75" thickBot="1" x14ac:dyDescent="0.3">
      <c r="A271" s="44" t="s">
        <v>1175</v>
      </c>
      <c r="B271" s="107" t="s">
        <v>1176</v>
      </c>
      <c r="C271" s="78" t="s">
        <v>803</v>
      </c>
      <c r="D271" s="108">
        <v>13600</v>
      </c>
      <c r="E271" s="78" t="s">
        <v>3181</v>
      </c>
      <c r="F271" s="78" t="s">
        <v>2292</v>
      </c>
      <c r="G271" s="78" t="s">
        <v>2981</v>
      </c>
      <c r="H271" s="78" t="s">
        <v>1644</v>
      </c>
      <c r="I271" s="78" t="s">
        <v>1951</v>
      </c>
      <c r="J271" s="78" t="s">
        <v>1951</v>
      </c>
      <c r="K271" s="78" t="s">
        <v>1643</v>
      </c>
    </row>
    <row r="272" spans="1:11" ht="15.75" thickBot="1" x14ac:dyDescent="0.3">
      <c r="A272" s="44" t="s">
        <v>1189</v>
      </c>
      <c r="B272" s="107" t="s">
        <v>1190</v>
      </c>
      <c r="C272" s="78" t="s">
        <v>803</v>
      </c>
      <c r="D272" s="108">
        <v>17153</v>
      </c>
      <c r="E272" s="78" t="s">
        <v>2451</v>
      </c>
      <c r="F272" s="78" t="s">
        <v>2451</v>
      </c>
      <c r="G272" s="78" t="s">
        <v>2985</v>
      </c>
      <c r="H272" s="78" t="s">
        <v>1644</v>
      </c>
      <c r="I272" s="78" t="s">
        <v>1951</v>
      </c>
      <c r="J272" s="78" t="s">
        <v>1951</v>
      </c>
      <c r="K272" s="78" t="s">
        <v>1660</v>
      </c>
    </row>
    <row r="273" spans="1:11" ht="15.75" thickBot="1" x14ac:dyDescent="0.3">
      <c r="A273" s="44" t="s">
        <v>1207</v>
      </c>
      <c r="B273" s="107" t="s">
        <v>1208</v>
      </c>
      <c r="C273" s="78" t="s">
        <v>803</v>
      </c>
      <c r="D273" s="108">
        <v>25369</v>
      </c>
      <c r="E273" s="78" t="s">
        <v>3192</v>
      </c>
      <c r="F273" s="78" t="s">
        <v>1925</v>
      </c>
      <c r="G273" s="78" t="s">
        <v>2974</v>
      </c>
      <c r="H273" s="78" t="s">
        <v>1643</v>
      </c>
      <c r="I273" s="78" t="s">
        <v>2483</v>
      </c>
      <c r="J273" s="78" t="s">
        <v>3453</v>
      </c>
      <c r="K273" s="78" t="s">
        <v>1660</v>
      </c>
    </row>
    <row r="274" spans="1:11" ht="15.75" thickBot="1" x14ac:dyDescent="0.3">
      <c r="A274" s="44" t="s">
        <v>1223</v>
      </c>
      <c r="B274" s="107" t="s">
        <v>1224</v>
      </c>
      <c r="C274" s="78" t="s">
        <v>803</v>
      </c>
      <c r="D274" s="108">
        <v>22258</v>
      </c>
      <c r="E274" s="78" t="s">
        <v>3199</v>
      </c>
      <c r="F274" s="78" t="s">
        <v>2001</v>
      </c>
      <c r="G274" s="78" t="s">
        <v>2989</v>
      </c>
      <c r="H274" s="78" t="s">
        <v>1643</v>
      </c>
      <c r="I274" s="78" t="s">
        <v>2483</v>
      </c>
      <c r="J274" s="118">
        <v>120</v>
      </c>
      <c r="K274" s="78" t="s">
        <v>1643</v>
      </c>
    </row>
    <row r="275" spans="1:11" ht="15.75" thickBot="1" x14ac:dyDescent="0.3">
      <c r="A275" s="44" t="s">
        <v>1235</v>
      </c>
      <c r="B275" s="107" t="s">
        <v>1236</v>
      </c>
      <c r="C275" s="78" t="s">
        <v>803</v>
      </c>
      <c r="D275" s="108">
        <v>14545</v>
      </c>
      <c r="E275" s="78" t="s">
        <v>3203</v>
      </c>
      <c r="F275" s="78" t="s">
        <v>1885</v>
      </c>
      <c r="G275" s="78" t="s">
        <v>2974</v>
      </c>
      <c r="H275" s="78" t="s">
        <v>1644</v>
      </c>
      <c r="I275" s="78" t="s">
        <v>1951</v>
      </c>
      <c r="J275" s="78" t="s">
        <v>1951</v>
      </c>
      <c r="K275" s="78" t="s">
        <v>3453</v>
      </c>
    </row>
    <row r="276" spans="1:11" ht="15.75" thickBot="1" x14ac:dyDescent="0.3">
      <c r="A276" s="44" t="s">
        <v>1241</v>
      </c>
      <c r="B276" s="107" t="s">
        <v>1242</v>
      </c>
      <c r="C276" s="78" t="s">
        <v>803</v>
      </c>
      <c r="D276" s="108">
        <v>13452</v>
      </c>
      <c r="E276" s="78" t="s">
        <v>3205</v>
      </c>
      <c r="F276" s="78" t="s">
        <v>1952</v>
      </c>
      <c r="G276" s="78" t="s">
        <v>2999</v>
      </c>
      <c r="H276" s="78" t="s">
        <v>1643</v>
      </c>
      <c r="I276" s="78" t="s">
        <v>2483</v>
      </c>
      <c r="J276" s="78" t="s">
        <v>3206</v>
      </c>
      <c r="K276" s="78" t="s">
        <v>1644</v>
      </c>
    </row>
    <row r="277" spans="1:11" ht="15.75" thickBot="1" x14ac:dyDescent="0.3">
      <c r="A277" s="44" t="s">
        <v>1255</v>
      </c>
      <c r="B277" s="107" t="s">
        <v>1256</v>
      </c>
      <c r="C277" s="78" t="s">
        <v>803</v>
      </c>
      <c r="D277" s="108">
        <v>22995</v>
      </c>
      <c r="E277" s="78" t="s">
        <v>2517</v>
      </c>
      <c r="F277" s="78" t="s">
        <v>2517</v>
      </c>
      <c r="G277" s="78" t="s">
        <v>2987</v>
      </c>
      <c r="H277" s="78" t="s">
        <v>1643</v>
      </c>
      <c r="I277" s="78" t="s">
        <v>2483</v>
      </c>
      <c r="J277" s="118">
        <v>75</v>
      </c>
      <c r="K277" s="78" t="s">
        <v>1660</v>
      </c>
    </row>
    <row r="278" spans="1:11" ht="15.75" thickBot="1" x14ac:dyDescent="0.3">
      <c r="A278" s="44" t="s">
        <v>1265</v>
      </c>
      <c r="B278" s="107" t="s">
        <v>1266</v>
      </c>
      <c r="C278" s="78" t="s">
        <v>803</v>
      </c>
      <c r="D278" s="108">
        <v>14948</v>
      </c>
      <c r="E278" s="78" t="s">
        <v>3214</v>
      </c>
      <c r="F278" s="78" t="s">
        <v>1905</v>
      </c>
      <c r="G278" s="78" t="s">
        <v>2976</v>
      </c>
      <c r="H278" s="78" t="s">
        <v>1643</v>
      </c>
      <c r="I278" s="78" t="s">
        <v>2483</v>
      </c>
      <c r="J278" s="78" t="s">
        <v>3215</v>
      </c>
      <c r="K278" s="78" t="s">
        <v>1660</v>
      </c>
    </row>
    <row r="279" spans="1:11" ht="15.75" thickBot="1" x14ac:dyDescent="0.3">
      <c r="A279" s="44" t="s">
        <v>1269</v>
      </c>
      <c r="B279" s="107" t="s">
        <v>1270</v>
      </c>
      <c r="C279" s="78" t="s">
        <v>803</v>
      </c>
      <c r="D279" s="108">
        <v>18393</v>
      </c>
      <c r="E279" s="78" t="s">
        <v>2531</v>
      </c>
      <c r="F279" s="78" t="s">
        <v>2001</v>
      </c>
      <c r="G279" s="78" t="s">
        <v>2989</v>
      </c>
      <c r="H279" s="78" t="s">
        <v>1643</v>
      </c>
      <c r="I279" s="78" t="s">
        <v>2483</v>
      </c>
      <c r="J279" s="78" t="s">
        <v>3217</v>
      </c>
      <c r="K279" s="78" t="s">
        <v>1643</v>
      </c>
    </row>
    <row r="280" spans="1:11" ht="15.75" thickBot="1" x14ac:dyDescent="0.3">
      <c r="A280" s="44" t="s">
        <v>1281</v>
      </c>
      <c r="B280" s="107" t="s">
        <v>1282</v>
      </c>
      <c r="C280" s="78" t="s">
        <v>803</v>
      </c>
      <c r="D280" s="108">
        <v>14384</v>
      </c>
      <c r="E280" s="78" t="s">
        <v>3222</v>
      </c>
      <c r="F280" s="78" t="s">
        <v>2540</v>
      </c>
      <c r="G280" s="78" t="s">
        <v>2981</v>
      </c>
      <c r="H280" s="78" t="s">
        <v>1643</v>
      </c>
      <c r="I280" s="78" t="s">
        <v>2483</v>
      </c>
      <c r="J280" s="118">
        <v>15</v>
      </c>
      <c r="K280" s="78" t="s">
        <v>1660</v>
      </c>
    </row>
    <row r="281" spans="1:11" ht="15.75" thickBot="1" x14ac:dyDescent="0.3">
      <c r="A281" s="44" t="s">
        <v>1285</v>
      </c>
      <c r="B281" s="107" t="s">
        <v>1286</v>
      </c>
      <c r="C281" s="78" t="s">
        <v>803</v>
      </c>
      <c r="D281" s="108">
        <v>17511</v>
      </c>
      <c r="E281" s="78" t="s">
        <v>2545</v>
      </c>
      <c r="F281" s="78" t="s">
        <v>2544</v>
      </c>
      <c r="G281" s="78" t="s">
        <v>2976</v>
      </c>
      <c r="H281" s="78" t="s">
        <v>1643</v>
      </c>
      <c r="I281" s="78" t="s">
        <v>2483</v>
      </c>
      <c r="J281" s="78" t="s">
        <v>3136</v>
      </c>
      <c r="K281" s="78" t="s">
        <v>1643</v>
      </c>
    </row>
    <row r="282" spans="1:11" ht="15.75" thickBot="1" x14ac:dyDescent="0.3">
      <c r="A282" s="44" t="s">
        <v>1287</v>
      </c>
      <c r="B282" s="107" t="s">
        <v>1288</v>
      </c>
      <c r="C282" s="78" t="s">
        <v>803</v>
      </c>
      <c r="D282" s="108">
        <v>15736</v>
      </c>
      <c r="E282" s="78" t="s">
        <v>2549</v>
      </c>
      <c r="F282" s="78" t="s">
        <v>1885</v>
      </c>
      <c r="G282" s="78" t="s">
        <v>2974</v>
      </c>
      <c r="H282" s="78" t="s">
        <v>1643</v>
      </c>
      <c r="I282" s="78" t="s">
        <v>2483</v>
      </c>
      <c r="J282" s="118">
        <v>150</v>
      </c>
      <c r="K282" s="78" t="s">
        <v>1660</v>
      </c>
    </row>
    <row r="283" spans="1:11" ht="15.75" thickBot="1" x14ac:dyDescent="0.3">
      <c r="A283" s="44" t="s">
        <v>1291</v>
      </c>
      <c r="B283" s="107" t="s">
        <v>1292</v>
      </c>
      <c r="C283" s="78" t="s">
        <v>803</v>
      </c>
      <c r="D283" s="108">
        <v>13097</v>
      </c>
      <c r="E283" s="78" t="s">
        <v>3224</v>
      </c>
      <c r="F283" s="78" t="s">
        <v>2267</v>
      </c>
      <c r="G283" s="78" t="s">
        <v>3225</v>
      </c>
      <c r="H283" s="78" t="s">
        <v>1644</v>
      </c>
      <c r="I283" s="78" t="s">
        <v>1951</v>
      </c>
      <c r="J283" s="78" t="s">
        <v>1951</v>
      </c>
      <c r="K283" s="78" t="s">
        <v>3453</v>
      </c>
    </row>
    <row r="284" spans="1:11" ht="15.75" thickBot="1" x14ac:dyDescent="0.3">
      <c r="A284" s="44" t="s">
        <v>1301</v>
      </c>
      <c r="B284" s="107" t="s">
        <v>1302</v>
      </c>
      <c r="C284" s="78" t="s">
        <v>803</v>
      </c>
      <c r="D284" s="108">
        <v>22857</v>
      </c>
      <c r="E284" s="78" t="s">
        <v>3228</v>
      </c>
      <c r="F284" s="78" t="s">
        <v>1952</v>
      </c>
      <c r="G284" s="78" t="s">
        <v>2999</v>
      </c>
      <c r="H284" s="78" t="s">
        <v>1643</v>
      </c>
      <c r="I284" s="78" t="s">
        <v>2483</v>
      </c>
      <c r="J284" s="78" t="s">
        <v>3229</v>
      </c>
      <c r="K284" s="78" t="s">
        <v>1660</v>
      </c>
    </row>
    <row r="285" spans="1:11" ht="15.75" thickBot="1" x14ac:dyDescent="0.3">
      <c r="A285" s="44" t="s">
        <v>1315</v>
      </c>
      <c r="B285" s="107" t="s">
        <v>1316</v>
      </c>
      <c r="C285" s="78" t="s">
        <v>803</v>
      </c>
      <c r="D285" s="108">
        <v>25686</v>
      </c>
      <c r="E285" s="78" t="s">
        <v>2585</v>
      </c>
      <c r="F285" s="78" t="s">
        <v>2001</v>
      </c>
      <c r="G285" s="78" t="s">
        <v>2989</v>
      </c>
      <c r="H285" s="78" t="s">
        <v>1643</v>
      </c>
      <c r="I285" s="78" t="s">
        <v>2483</v>
      </c>
      <c r="J285" s="118">
        <v>25</v>
      </c>
      <c r="K285" s="78" t="s">
        <v>1643</v>
      </c>
    </row>
    <row r="286" spans="1:11" ht="15.75" thickBot="1" x14ac:dyDescent="0.3">
      <c r="A286" s="44" t="s">
        <v>1331</v>
      </c>
      <c r="B286" s="107" t="s">
        <v>1332</v>
      </c>
      <c r="C286" s="78" t="s">
        <v>803</v>
      </c>
      <c r="D286" s="108">
        <v>12561</v>
      </c>
      <c r="E286" s="78" t="s">
        <v>3242</v>
      </c>
      <c r="F286" s="78" t="s">
        <v>2607</v>
      </c>
      <c r="G286" s="78" t="s">
        <v>2979</v>
      </c>
      <c r="H286" s="78" t="s">
        <v>1644</v>
      </c>
      <c r="I286" s="78" t="s">
        <v>1951</v>
      </c>
      <c r="J286" s="78" t="s">
        <v>1951</v>
      </c>
      <c r="K286" s="78" t="s">
        <v>1643</v>
      </c>
    </row>
    <row r="287" spans="1:11" ht="15.75" thickBot="1" x14ac:dyDescent="0.3">
      <c r="A287" s="44" t="s">
        <v>1341</v>
      </c>
      <c r="B287" s="107" t="s">
        <v>1342</v>
      </c>
      <c r="C287" s="78" t="s">
        <v>803</v>
      </c>
      <c r="D287" s="108">
        <v>24164</v>
      </c>
      <c r="E287" s="78" t="s">
        <v>3247</v>
      </c>
      <c r="F287" s="78" t="s">
        <v>2616</v>
      </c>
      <c r="G287" s="78" t="s">
        <v>2985</v>
      </c>
      <c r="H287" s="78" t="s">
        <v>1643</v>
      </c>
      <c r="I287" s="78" t="s">
        <v>2483</v>
      </c>
      <c r="J287" s="78" t="s">
        <v>3248</v>
      </c>
      <c r="K287" s="78" t="s">
        <v>1660</v>
      </c>
    </row>
    <row r="288" spans="1:11" ht="15.75" thickBot="1" x14ac:dyDescent="0.3">
      <c r="A288" s="44" t="s">
        <v>1343</v>
      </c>
      <c r="B288" s="107" t="s">
        <v>1344</v>
      </c>
      <c r="C288" s="78" t="s">
        <v>803</v>
      </c>
      <c r="D288" s="108">
        <v>14230</v>
      </c>
      <c r="E288" s="78" t="s">
        <v>2616</v>
      </c>
      <c r="F288" s="78" t="s">
        <v>1919</v>
      </c>
      <c r="G288" s="78" t="s">
        <v>2989</v>
      </c>
      <c r="H288" s="78" t="s">
        <v>1643</v>
      </c>
      <c r="I288" s="78" t="s">
        <v>2483</v>
      </c>
      <c r="J288" s="78" t="s">
        <v>3249</v>
      </c>
      <c r="K288" s="78" t="s">
        <v>1643</v>
      </c>
    </row>
    <row r="289" spans="1:11" ht="15.75" thickBot="1" x14ac:dyDescent="0.3">
      <c r="A289" s="44" t="s">
        <v>1347</v>
      </c>
      <c r="B289" s="107" t="s">
        <v>1348</v>
      </c>
      <c r="C289" s="78" t="s">
        <v>803</v>
      </c>
      <c r="D289" s="108">
        <v>20526</v>
      </c>
      <c r="E289" s="78" t="s">
        <v>2624</v>
      </c>
      <c r="F289" s="78" t="s">
        <v>1885</v>
      </c>
      <c r="G289" s="78" t="s">
        <v>2974</v>
      </c>
      <c r="H289" s="78" t="s">
        <v>1644</v>
      </c>
      <c r="I289" s="78" t="s">
        <v>1951</v>
      </c>
      <c r="J289" s="78" t="s">
        <v>1951</v>
      </c>
      <c r="K289" s="78" t="s">
        <v>1660</v>
      </c>
    </row>
    <row r="290" spans="1:11" ht="15.75" thickBot="1" x14ac:dyDescent="0.3">
      <c r="A290" s="44" t="s">
        <v>1355</v>
      </c>
      <c r="B290" s="107" t="s">
        <v>1356</v>
      </c>
      <c r="C290" s="78" t="s">
        <v>803</v>
      </c>
      <c r="D290" s="108">
        <v>13579</v>
      </c>
      <c r="E290" s="78" t="s">
        <v>2634</v>
      </c>
      <c r="F290" s="78" t="s">
        <v>2385</v>
      </c>
      <c r="G290" s="78" t="s">
        <v>2989</v>
      </c>
      <c r="H290" s="78" t="s">
        <v>1643</v>
      </c>
      <c r="I290" s="78" t="s">
        <v>2483</v>
      </c>
      <c r="J290" s="118">
        <v>50</v>
      </c>
      <c r="K290" s="78" t="s">
        <v>1660</v>
      </c>
    </row>
    <row r="291" spans="1:11" ht="15.75" thickBot="1" x14ac:dyDescent="0.3">
      <c r="A291" s="44" t="s">
        <v>1365</v>
      </c>
      <c r="B291" s="107" t="s">
        <v>1366</v>
      </c>
      <c r="C291" s="78" t="s">
        <v>803</v>
      </c>
      <c r="D291" s="108">
        <v>16709</v>
      </c>
      <c r="E291" s="78" t="s">
        <v>3256</v>
      </c>
      <c r="F291" s="78" t="s">
        <v>1903</v>
      </c>
      <c r="G291" s="78" t="s">
        <v>2985</v>
      </c>
      <c r="H291" s="78" t="s">
        <v>1643</v>
      </c>
      <c r="I291" s="78" t="s">
        <v>2483</v>
      </c>
      <c r="J291" s="78" t="s">
        <v>3257</v>
      </c>
      <c r="K291" s="78" t="s">
        <v>1643</v>
      </c>
    </row>
    <row r="292" spans="1:11" ht="15.75" thickBot="1" x14ac:dyDescent="0.3">
      <c r="A292" s="44" t="s">
        <v>1381</v>
      </c>
      <c r="B292" s="107" t="s">
        <v>1382</v>
      </c>
      <c r="C292" s="78" t="s">
        <v>803</v>
      </c>
      <c r="D292" s="108">
        <v>19629</v>
      </c>
      <c r="E292" s="78" t="s">
        <v>2073</v>
      </c>
      <c r="F292" s="78" t="s">
        <v>2073</v>
      </c>
      <c r="G292" s="78" t="s">
        <v>2981</v>
      </c>
      <c r="H292" s="78" t="s">
        <v>1643</v>
      </c>
      <c r="I292" s="78" t="s">
        <v>2483</v>
      </c>
      <c r="J292" s="78" t="s">
        <v>3264</v>
      </c>
      <c r="K292" s="78" t="s">
        <v>1643</v>
      </c>
    </row>
    <row r="293" spans="1:11" ht="15.75" thickBot="1" x14ac:dyDescent="0.3">
      <c r="A293" s="44" t="s">
        <v>1383</v>
      </c>
      <c r="B293" s="107" t="s">
        <v>1384</v>
      </c>
      <c r="C293" s="78" t="s">
        <v>803</v>
      </c>
      <c r="D293" s="108">
        <v>13912</v>
      </c>
      <c r="E293" s="78" t="s">
        <v>3265</v>
      </c>
      <c r="F293" s="78" t="s">
        <v>1944</v>
      </c>
      <c r="G293" s="78" t="s">
        <v>2976</v>
      </c>
      <c r="H293" s="78" t="s">
        <v>1644</v>
      </c>
      <c r="I293" s="78" t="s">
        <v>1951</v>
      </c>
      <c r="J293" s="78" t="s">
        <v>1951</v>
      </c>
      <c r="K293" s="78" t="s">
        <v>1643</v>
      </c>
    </row>
    <row r="294" spans="1:11" ht="15.75" thickBot="1" x14ac:dyDescent="0.3">
      <c r="A294" s="44" t="s">
        <v>1387</v>
      </c>
      <c r="B294" s="107" t="s">
        <v>1388</v>
      </c>
      <c r="C294" s="78" t="s">
        <v>803</v>
      </c>
      <c r="D294" s="108">
        <v>14878</v>
      </c>
      <c r="E294" s="78" t="s">
        <v>3267</v>
      </c>
      <c r="F294" s="78" t="s">
        <v>2685</v>
      </c>
      <c r="G294" s="78" t="s">
        <v>2985</v>
      </c>
      <c r="H294" s="78" t="s">
        <v>1643</v>
      </c>
      <c r="I294" s="78" t="s">
        <v>2483</v>
      </c>
      <c r="J294" s="118">
        <v>50</v>
      </c>
      <c r="K294" s="78" t="s">
        <v>1643</v>
      </c>
    </row>
    <row r="295" spans="1:11" ht="15.75" thickBot="1" x14ac:dyDescent="0.3">
      <c r="A295" s="44" t="s">
        <v>1421</v>
      </c>
      <c r="B295" s="107" t="s">
        <v>1422</v>
      </c>
      <c r="C295" s="78" t="s">
        <v>803</v>
      </c>
      <c r="D295" s="108">
        <v>12486</v>
      </c>
      <c r="E295" s="78" t="s">
        <v>3282</v>
      </c>
      <c r="F295" s="78" t="s">
        <v>1925</v>
      </c>
      <c r="G295" s="78" t="s">
        <v>2974</v>
      </c>
      <c r="H295" s="78" t="s">
        <v>1644</v>
      </c>
      <c r="I295" s="78" t="s">
        <v>1951</v>
      </c>
      <c r="J295" s="78" t="s">
        <v>1951</v>
      </c>
      <c r="K295" s="78" t="s">
        <v>1644</v>
      </c>
    </row>
    <row r="296" spans="1:11" ht="15.75" thickBot="1" x14ac:dyDescent="0.3">
      <c r="A296" s="44" t="s">
        <v>1447</v>
      </c>
      <c r="B296" s="107" t="s">
        <v>1448</v>
      </c>
      <c r="C296" s="78" t="s">
        <v>803</v>
      </c>
      <c r="D296" s="108">
        <v>16753</v>
      </c>
      <c r="E296" s="78" t="s">
        <v>3203</v>
      </c>
      <c r="F296" s="78" t="s">
        <v>1948</v>
      </c>
      <c r="G296" s="78" t="s">
        <v>2974</v>
      </c>
      <c r="H296" s="78" t="s">
        <v>1643</v>
      </c>
      <c r="I296" s="78" t="s">
        <v>2483</v>
      </c>
      <c r="J296" s="118">
        <v>130</v>
      </c>
      <c r="K296" s="78" t="s">
        <v>1660</v>
      </c>
    </row>
    <row r="297" spans="1:11" ht="15.75" thickBot="1" x14ac:dyDescent="0.3">
      <c r="A297" s="44" t="s">
        <v>1490</v>
      </c>
      <c r="B297" s="107" t="s">
        <v>1491</v>
      </c>
      <c r="C297" s="78" t="s">
        <v>803</v>
      </c>
      <c r="D297" s="108">
        <v>18260</v>
      </c>
      <c r="E297" s="78" t="s">
        <v>2799</v>
      </c>
      <c r="F297" s="78" t="s">
        <v>1926</v>
      </c>
      <c r="G297" s="78" t="s">
        <v>2991</v>
      </c>
      <c r="H297" s="78" t="s">
        <v>1643</v>
      </c>
      <c r="I297" s="78" t="s">
        <v>2483</v>
      </c>
      <c r="J297" s="118">
        <v>88</v>
      </c>
      <c r="K297" s="78" t="s">
        <v>1643</v>
      </c>
    </row>
    <row r="298" spans="1:11" ht="15.75" thickBot="1" x14ac:dyDescent="0.3">
      <c r="A298" s="44" t="s">
        <v>1492</v>
      </c>
      <c r="B298" s="107" t="s">
        <v>1493</v>
      </c>
      <c r="C298" s="78" t="s">
        <v>803</v>
      </c>
      <c r="D298" s="108">
        <v>13940</v>
      </c>
      <c r="E298" s="78" t="s">
        <v>3318</v>
      </c>
      <c r="F298" s="78" t="s">
        <v>1885</v>
      </c>
      <c r="G298" s="78" t="s">
        <v>2974</v>
      </c>
      <c r="H298" s="78" t="s">
        <v>1643</v>
      </c>
      <c r="I298" s="78" t="s">
        <v>2483</v>
      </c>
      <c r="J298" s="78" t="s">
        <v>3136</v>
      </c>
      <c r="K298" s="78" t="s">
        <v>1951</v>
      </c>
    </row>
    <row r="299" spans="1:11" ht="15.75" thickBot="1" x14ac:dyDescent="0.3">
      <c r="A299" s="44" t="s">
        <v>1498</v>
      </c>
      <c r="B299" s="107" t="s">
        <v>1499</v>
      </c>
      <c r="C299" s="78" t="s">
        <v>803</v>
      </c>
      <c r="D299" s="108">
        <v>17937</v>
      </c>
      <c r="E299" s="78" t="s">
        <v>2810</v>
      </c>
      <c r="F299" s="78" t="s">
        <v>2068</v>
      </c>
      <c r="G299" s="78" t="s">
        <v>2989</v>
      </c>
      <c r="H299" s="78" t="s">
        <v>1643</v>
      </c>
      <c r="I299" s="78" t="s">
        <v>2483</v>
      </c>
      <c r="J299" s="78" t="s">
        <v>3322</v>
      </c>
      <c r="K299" s="78" t="s">
        <v>1660</v>
      </c>
    </row>
    <row r="300" spans="1:11" ht="15.75" thickBot="1" x14ac:dyDescent="0.3">
      <c r="A300" s="44" t="s">
        <v>1516</v>
      </c>
      <c r="B300" s="107" t="s">
        <v>1517</v>
      </c>
      <c r="C300" s="78" t="s">
        <v>803</v>
      </c>
      <c r="D300" s="108">
        <v>18134</v>
      </c>
      <c r="E300" s="78" t="s">
        <v>2828</v>
      </c>
      <c r="F300" s="78" t="s">
        <v>1892</v>
      </c>
      <c r="G300" s="78" t="s">
        <v>2976</v>
      </c>
      <c r="H300" s="78" t="s">
        <v>1643</v>
      </c>
      <c r="I300" s="78" t="s">
        <v>2483</v>
      </c>
      <c r="J300" s="78" t="s">
        <v>3148</v>
      </c>
      <c r="K300" s="78" t="s">
        <v>1660</v>
      </c>
    </row>
    <row r="301" spans="1:11" ht="15.75" thickBot="1" x14ac:dyDescent="0.3">
      <c r="A301" s="44" t="s">
        <v>1528</v>
      </c>
      <c r="B301" s="107" t="s">
        <v>1529</v>
      </c>
      <c r="C301" s="78" t="s">
        <v>803</v>
      </c>
      <c r="D301" s="108">
        <v>15497</v>
      </c>
      <c r="E301" s="78" t="s">
        <v>3335</v>
      </c>
      <c r="F301" s="78" t="s">
        <v>2205</v>
      </c>
      <c r="G301" s="78" t="s">
        <v>2991</v>
      </c>
      <c r="H301" s="78" t="s">
        <v>1643</v>
      </c>
      <c r="I301" s="78" t="s">
        <v>2483</v>
      </c>
      <c r="J301" s="78" t="s">
        <v>3336</v>
      </c>
      <c r="K301" s="78" t="s">
        <v>1644</v>
      </c>
    </row>
    <row r="302" spans="1:11" ht="15.75" thickBot="1" x14ac:dyDescent="0.3">
      <c r="A302" s="44" t="s">
        <v>1532</v>
      </c>
      <c r="B302" s="107" t="s">
        <v>1533</v>
      </c>
      <c r="C302" s="78" t="s">
        <v>803</v>
      </c>
      <c r="D302" s="108">
        <v>14253</v>
      </c>
      <c r="E302" s="78" t="s">
        <v>3337</v>
      </c>
      <c r="F302" s="78" t="s">
        <v>2068</v>
      </c>
      <c r="G302" s="78" t="s">
        <v>2989</v>
      </c>
      <c r="H302" s="78" t="s">
        <v>1643</v>
      </c>
      <c r="I302" s="78" t="s">
        <v>2483</v>
      </c>
      <c r="J302" s="78" t="s">
        <v>3338</v>
      </c>
      <c r="K302" s="78" t="s">
        <v>1643</v>
      </c>
    </row>
    <row r="303" spans="1:11" ht="15.75" thickBot="1" x14ac:dyDescent="0.3">
      <c r="A303" s="44" t="s">
        <v>1552</v>
      </c>
      <c r="B303" s="107" t="s">
        <v>1553</v>
      </c>
      <c r="C303" s="78" t="s">
        <v>803</v>
      </c>
      <c r="D303" s="108">
        <v>12238</v>
      </c>
      <c r="E303" s="78" t="s">
        <v>3347</v>
      </c>
      <c r="F303" s="78" t="s">
        <v>1964</v>
      </c>
      <c r="G303" s="78" t="s">
        <v>2989</v>
      </c>
      <c r="H303" s="78" t="s">
        <v>1643</v>
      </c>
      <c r="I303" s="78" t="s">
        <v>2483</v>
      </c>
      <c r="J303" s="118">
        <v>50</v>
      </c>
      <c r="K303" s="78" t="s">
        <v>1643</v>
      </c>
    </row>
    <row r="304" spans="1:11" ht="15.75" thickBot="1" x14ac:dyDescent="0.3">
      <c r="A304" s="44" t="s">
        <v>1572</v>
      </c>
      <c r="B304" s="107" t="s">
        <v>1573</v>
      </c>
      <c r="C304" s="78" t="s">
        <v>803</v>
      </c>
      <c r="D304" s="108">
        <v>17593</v>
      </c>
      <c r="E304" s="78" t="s">
        <v>1925</v>
      </c>
      <c r="F304" s="78" t="s">
        <v>1925</v>
      </c>
      <c r="G304" s="78" t="s">
        <v>2974</v>
      </c>
      <c r="H304" s="78" t="s">
        <v>1643</v>
      </c>
      <c r="I304" s="78" t="s">
        <v>2483</v>
      </c>
      <c r="J304" s="78" t="s">
        <v>3132</v>
      </c>
      <c r="K304" s="78" t="s">
        <v>1644</v>
      </c>
    </row>
    <row r="305" spans="1:11" ht="15.75" thickBot="1" x14ac:dyDescent="0.3">
      <c r="A305" s="44" t="s">
        <v>1598</v>
      </c>
      <c r="B305" s="107" t="s">
        <v>1599</v>
      </c>
      <c r="C305" s="78" t="s">
        <v>803</v>
      </c>
      <c r="D305" s="108">
        <v>13498</v>
      </c>
      <c r="E305" s="78" t="s">
        <v>3369</v>
      </c>
      <c r="F305" s="78" t="s">
        <v>1885</v>
      </c>
      <c r="G305" s="78" t="s">
        <v>2974</v>
      </c>
      <c r="H305" s="78" t="s">
        <v>1643</v>
      </c>
      <c r="I305" s="78" t="s">
        <v>2483</v>
      </c>
      <c r="J305" s="118">
        <v>125</v>
      </c>
      <c r="K305" s="78" t="s">
        <v>1660</v>
      </c>
    </row>
    <row r="306" spans="1:11" ht="15.75" thickBot="1" x14ac:dyDescent="0.3">
      <c r="A306" s="44" t="s">
        <v>820</v>
      </c>
      <c r="B306" s="107" t="s">
        <v>821</v>
      </c>
      <c r="C306" s="78" t="s">
        <v>822</v>
      </c>
      <c r="D306" s="108">
        <v>28210</v>
      </c>
      <c r="E306" s="78" t="s">
        <v>2990</v>
      </c>
      <c r="F306" s="78" t="s">
        <v>1925</v>
      </c>
      <c r="G306" s="78" t="s">
        <v>2974</v>
      </c>
      <c r="H306" s="78" t="s">
        <v>1644</v>
      </c>
      <c r="I306" s="78" t="s">
        <v>1951</v>
      </c>
      <c r="J306" s="78" t="s">
        <v>1951</v>
      </c>
      <c r="K306" s="78" t="s">
        <v>3453</v>
      </c>
    </row>
    <row r="307" spans="1:11" ht="15.75" thickBot="1" x14ac:dyDescent="0.3">
      <c r="A307" s="44" t="s">
        <v>823</v>
      </c>
      <c r="B307" s="107" t="s">
        <v>824</v>
      </c>
      <c r="C307" s="78" t="s">
        <v>822</v>
      </c>
      <c r="D307" s="108">
        <v>28283</v>
      </c>
      <c r="E307" s="78" t="s">
        <v>1927</v>
      </c>
      <c r="F307" s="78" t="s">
        <v>1926</v>
      </c>
      <c r="G307" s="78" t="s">
        <v>2991</v>
      </c>
      <c r="H307" s="78" t="s">
        <v>1643</v>
      </c>
      <c r="I307" s="78" t="s">
        <v>2483</v>
      </c>
      <c r="J307" s="118">
        <v>25</v>
      </c>
      <c r="K307" s="78" t="s">
        <v>1643</v>
      </c>
    </row>
    <row r="308" spans="1:11" ht="15.75" thickBot="1" x14ac:dyDescent="0.3">
      <c r="A308" s="44" t="s">
        <v>831</v>
      </c>
      <c r="B308" s="107" t="s">
        <v>832</v>
      </c>
      <c r="C308" s="78" t="s">
        <v>822</v>
      </c>
      <c r="D308" s="108">
        <v>29598</v>
      </c>
      <c r="E308" s="78" t="s">
        <v>1939</v>
      </c>
      <c r="F308" s="78" t="s">
        <v>1939</v>
      </c>
      <c r="G308" s="78" t="s">
        <v>2981</v>
      </c>
      <c r="H308" s="78" t="s">
        <v>1643</v>
      </c>
      <c r="I308" s="78" t="s">
        <v>2483</v>
      </c>
      <c r="J308" s="78" t="s">
        <v>2994</v>
      </c>
      <c r="K308" s="78" t="s">
        <v>1660</v>
      </c>
    </row>
    <row r="309" spans="1:11" ht="15.75" thickBot="1" x14ac:dyDescent="0.3">
      <c r="A309" s="44" t="s">
        <v>855</v>
      </c>
      <c r="B309" s="107" t="s">
        <v>856</v>
      </c>
      <c r="C309" s="78" t="s">
        <v>822</v>
      </c>
      <c r="D309" s="108">
        <v>35350</v>
      </c>
      <c r="E309" s="78" t="s">
        <v>3012</v>
      </c>
      <c r="F309" s="78" t="s">
        <v>1885</v>
      </c>
      <c r="G309" s="78" t="s">
        <v>2974</v>
      </c>
      <c r="H309" s="78" t="s">
        <v>1644</v>
      </c>
      <c r="I309" s="78" t="s">
        <v>1951</v>
      </c>
      <c r="J309" s="78" t="s">
        <v>1951</v>
      </c>
      <c r="K309" s="78" t="s">
        <v>1643</v>
      </c>
    </row>
    <row r="310" spans="1:11" ht="15.75" thickBot="1" x14ac:dyDescent="0.3">
      <c r="A310" s="44" t="s">
        <v>867</v>
      </c>
      <c r="B310" s="107" t="s">
        <v>868</v>
      </c>
      <c r="C310" s="78" t="s">
        <v>822</v>
      </c>
      <c r="D310" s="108">
        <v>42361</v>
      </c>
      <c r="E310" s="78" t="s">
        <v>3019</v>
      </c>
      <c r="F310" s="78" t="s">
        <v>1925</v>
      </c>
      <c r="G310" s="78" t="s">
        <v>2974</v>
      </c>
      <c r="H310" s="78" t="s">
        <v>1644</v>
      </c>
      <c r="I310" s="78" t="s">
        <v>1951</v>
      </c>
      <c r="J310" s="78" t="s">
        <v>1951</v>
      </c>
      <c r="K310" s="78" t="s">
        <v>1660</v>
      </c>
    </row>
    <row r="311" spans="1:11" ht="15.75" thickBot="1" x14ac:dyDescent="0.3">
      <c r="A311" s="44" t="s">
        <v>891</v>
      </c>
      <c r="B311" s="107" t="s">
        <v>892</v>
      </c>
      <c r="C311" s="78" t="s">
        <v>822</v>
      </c>
      <c r="D311" s="108">
        <v>41070</v>
      </c>
      <c r="E311" s="78" t="s">
        <v>3032</v>
      </c>
      <c r="F311" s="78" t="s">
        <v>1885</v>
      </c>
      <c r="G311" s="78" t="s">
        <v>2974</v>
      </c>
      <c r="H311" s="78" t="s">
        <v>1644</v>
      </c>
      <c r="I311" s="78" t="s">
        <v>1951</v>
      </c>
      <c r="J311" s="78" t="s">
        <v>1951</v>
      </c>
      <c r="K311" s="78" t="s">
        <v>1660</v>
      </c>
    </row>
    <row r="312" spans="1:11" ht="15.75" thickBot="1" x14ac:dyDescent="0.3">
      <c r="A312" s="44" t="s">
        <v>897</v>
      </c>
      <c r="B312" s="107" t="s">
        <v>898</v>
      </c>
      <c r="C312" s="78" t="s">
        <v>822</v>
      </c>
      <c r="D312" s="108">
        <v>46905</v>
      </c>
      <c r="E312" s="78" t="s">
        <v>2034</v>
      </c>
      <c r="F312" s="78" t="s">
        <v>2033</v>
      </c>
      <c r="G312" s="78" t="s">
        <v>2976</v>
      </c>
      <c r="H312" s="78" t="s">
        <v>1643</v>
      </c>
      <c r="I312" s="78" t="s">
        <v>2483</v>
      </c>
      <c r="J312" s="78" t="s">
        <v>3034</v>
      </c>
      <c r="K312" s="78" t="s">
        <v>1643</v>
      </c>
    </row>
    <row r="313" spans="1:11" ht="15.75" thickBot="1" x14ac:dyDescent="0.3">
      <c r="A313" s="44" t="s">
        <v>907</v>
      </c>
      <c r="B313" s="107" t="s">
        <v>908</v>
      </c>
      <c r="C313" s="78" t="s">
        <v>822</v>
      </c>
      <c r="D313" s="108">
        <v>43254</v>
      </c>
      <c r="E313" s="78" t="s">
        <v>3042</v>
      </c>
      <c r="F313" s="78" t="s">
        <v>2052</v>
      </c>
      <c r="G313" s="78" t="s">
        <v>2974</v>
      </c>
      <c r="H313" s="78" t="s">
        <v>1644</v>
      </c>
      <c r="I313" s="78" t="s">
        <v>1951</v>
      </c>
      <c r="J313" s="78" t="s">
        <v>1951</v>
      </c>
      <c r="K313" s="78" t="s">
        <v>3453</v>
      </c>
    </row>
    <row r="314" spans="1:11" ht="15.75" thickBot="1" x14ac:dyDescent="0.3">
      <c r="A314" s="44" t="s">
        <v>917</v>
      </c>
      <c r="B314" s="107" t="s">
        <v>918</v>
      </c>
      <c r="C314" s="78" t="s">
        <v>822</v>
      </c>
      <c r="D314" s="108">
        <v>35087</v>
      </c>
      <c r="E314" s="78" t="s">
        <v>2071</v>
      </c>
      <c r="F314" s="78" t="s">
        <v>2070</v>
      </c>
      <c r="G314" s="78" t="s">
        <v>2987</v>
      </c>
      <c r="H314" s="78" t="s">
        <v>1644</v>
      </c>
      <c r="I314" s="78" t="s">
        <v>1951</v>
      </c>
      <c r="J314" s="78" t="s">
        <v>1951</v>
      </c>
      <c r="K314" s="78" t="s">
        <v>1643</v>
      </c>
    </row>
    <row r="315" spans="1:11" ht="15.75" thickBot="1" x14ac:dyDescent="0.3">
      <c r="A315" s="44" t="s">
        <v>933</v>
      </c>
      <c r="B315" s="107" t="s">
        <v>934</v>
      </c>
      <c r="C315" s="78" t="s">
        <v>822</v>
      </c>
      <c r="D315" s="108">
        <v>38002</v>
      </c>
      <c r="E315" s="78" t="s">
        <v>3053</v>
      </c>
      <c r="F315" s="78" t="s">
        <v>2095</v>
      </c>
      <c r="G315" s="78" t="s">
        <v>2989</v>
      </c>
      <c r="H315" s="78" t="s">
        <v>1643</v>
      </c>
      <c r="I315" s="78" t="s">
        <v>2483</v>
      </c>
      <c r="J315" s="78" t="s">
        <v>3054</v>
      </c>
      <c r="K315" s="78" t="s">
        <v>1660</v>
      </c>
    </row>
    <row r="316" spans="1:11" ht="15.75" thickBot="1" x14ac:dyDescent="0.3">
      <c r="A316" s="44" t="s">
        <v>953</v>
      </c>
      <c r="B316" s="107" t="s">
        <v>954</v>
      </c>
      <c r="C316" s="78" t="s">
        <v>822</v>
      </c>
      <c r="D316" s="108">
        <v>43381</v>
      </c>
      <c r="E316" s="78" t="s">
        <v>2130</v>
      </c>
      <c r="F316" s="78" t="s">
        <v>1952</v>
      </c>
      <c r="G316" s="78" t="s">
        <v>2999</v>
      </c>
      <c r="H316" s="78" t="s">
        <v>1643</v>
      </c>
      <c r="I316" s="78" t="s">
        <v>2483</v>
      </c>
      <c r="J316" s="78" t="s">
        <v>3066</v>
      </c>
      <c r="K316" s="78" t="s">
        <v>1660</v>
      </c>
    </row>
    <row r="317" spans="1:11" ht="15.75" thickBot="1" x14ac:dyDescent="0.3">
      <c r="A317" s="44" t="s">
        <v>957</v>
      </c>
      <c r="B317" s="107" t="s">
        <v>958</v>
      </c>
      <c r="C317" s="78" t="s">
        <v>822</v>
      </c>
      <c r="D317" s="108">
        <v>35563</v>
      </c>
      <c r="E317" s="78" t="s">
        <v>3069</v>
      </c>
      <c r="F317" s="78" t="s">
        <v>1885</v>
      </c>
      <c r="G317" s="78" t="s">
        <v>2974</v>
      </c>
      <c r="H317" s="78" t="s">
        <v>1644</v>
      </c>
      <c r="I317" s="78" t="s">
        <v>1951</v>
      </c>
      <c r="J317" s="78" t="s">
        <v>1951</v>
      </c>
      <c r="K317" s="78" t="s">
        <v>1660</v>
      </c>
    </row>
    <row r="318" spans="1:11" ht="15.75" thickBot="1" x14ac:dyDescent="0.3">
      <c r="A318" s="44" t="s">
        <v>971</v>
      </c>
      <c r="B318" s="107" t="s">
        <v>972</v>
      </c>
      <c r="C318" s="78" t="s">
        <v>822</v>
      </c>
      <c r="D318" s="108">
        <v>40186</v>
      </c>
      <c r="E318" s="78" t="s">
        <v>3076</v>
      </c>
      <c r="F318" s="78" t="s">
        <v>1885</v>
      </c>
      <c r="G318" s="78" t="s">
        <v>2974</v>
      </c>
      <c r="H318" s="78" t="s">
        <v>1644</v>
      </c>
      <c r="I318" s="78" t="s">
        <v>1951</v>
      </c>
      <c r="J318" s="78" t="s">
        <v>1951</v>
      </c>
      <c r="K318" s="78" t="s">
        <v>1951</v>
      </c>
    </row>
    <row r="319" spans="1:11" ht="15.75" thickBot="1" x14ac:dyDescent="0.3">
      <c r="A319" s="44" t="s">
        <v>973</v>
      </c>
      <c r="B319" s="107" t="s">
        <v>974</v>
      </c>
      <c r="C319" s="78" t="s">
        <v>822</v>
      </c>
      <c r="D319" s="108">
        <v>28263</v>
      </c>
      <c r="E319" s="78" t="s">
        <v>3077</v>
      </c>
      <c r="F319" s="78" t="s">
        <v>2157</v>
      </c>
      <c r="G319" s="78" t="s">
        <v>2993</v>
      </c>
      <c r="H319" s="78" t="s">
        <v>1643</v>
      </c>
      <c r="I319" s="78" t="s">
        <v>2483</v>
      </c>
      <c r="J319" s="78" t="s">
        <v>3078</v>
      </c>
      <c r="K319" s="78" t="s">
        <v>1643</v>
      </c>
    </row>
    <row r="320" spans="1:11" ht="15.75" thickBot="1" x14ac:dyDescent="0.3">
      <c r="A320" s="44" t="s">
        <v>983</v>
      </c>
      <c r="B320" s="107" t="s">
        <v>984</v>
      </c>
      <c r="C320" s="78" t="s">
        <v>822</v>
      </c>
      <c r="D320" s="108">
        <v>26391</v>
      </c>
      <c r="E320" s="78" t="s">
        <v>2178</v>
      </c>
      <c r="F320" s="78" t="s">
        <v>2052</v>
      </c>
      <c r="G320" s="78" t="s">
        <v>2974</v>
      </c>
      <c r="H320" s="78" t="s">
        <v>1643</v>
      </c>
      <c r="I320" s="78" t="s">
        <v>2483</v>
      </c>
      <c r="J320" s="78" t="s">
        <v>3083</v>
      </c>
      <c r="K320" s="78" t="s">
        <v>1660</v>
      </c>
    </row>
    <row r="321" spans="1:11" ht="15.75" thickBot="1" x14ac:dyDescent="0.3">
      <c r="A321" s="44" t="s">
        <v>1001</v>
      </c>
      <c r="B321" s="107" t="s">
        <v>1002</v>
      </c>
      <c r="C321" s="78" t="s">
        <v>822</v>
      </c>
      <c r="D321" s="108">
        <v>32799</v>
      </c>
      <c r="E321" s="78" t="s">
        <v>3046</v>
      </c>
      <c r="F321" s="78" t="s">
        <v>1999</v>
      </c>
      <c r="G321" s="78" t="s">
        <v>2976</v>
      </c>
      <c r="H321" s="78" t="s">
        <v>1644</v>
      </c>
      <c r="I321" s="78" t="s">
        <v>1951</v>
      </c>
      <c r="J321" s="78" t="s">
        <v>1951</v>
      </c>
      <c r="K321" s="78" t="s">
        <v>1660</v>
      </c>
    </row>
    <row r="322" spans="1:11" ht="15.75" thickBot="1" x14ac:dyDescent="0.3">
      <c r="A322" s="44" t="s">
        <v>1011</v>
      </c>
      <c r="B322" s="107" t="s">
        <v>1012</v>
      </c>
      <c r="C322" s="78" t="s">
        <v>822</v>
      </c>
      <c r="D322" s="108">
        <v>26168</v>
      </c>
      <c r="E322" s="78" t="s">
        <v>3101</v>
      </c>
      <c r="F322" s="78" t="s">
        <v>2221</v>
      </c>
      <c r="G322" s="78" t="s">
        <v>2981</v>
      </c>
      <c r="H322" s="78" t="s">
        <v>1643</v>
      </c>
      <c r="I322" s="78" t="s">
        <v>2483</v>
      </c>
      <c r="J322" s="78" t="s">
        <v>3102</v>
      </c>
      <c r="K322" s="78" t="s">
        <v>1660</v>
      </c>
    </row>
    <row r="323" spans="1:11" ht="15.75" thickBot="1" x14ac:dyDescent="0.3">
      <c r="A323" s="44" t="s">
        <v>1023</v>
      </c>
      <c r="B323" s="107" t="s">
        <v>1024</v>
      </c>
      <c r="C323" s="78" t="s">
        <v>822</v>
      </c>
      <c r="D323" s="108">
        <v>48579</v>
      </c>
      <c r="E323" s="78" t="s">
        <v>3107</v>
      </c>
      <c r="F323" s="78" t="s">
        <v>1884</v>
      </c>
      <c r="G323" s="78" t="s">
        <v>2976</v>
      </c>
      <c r="H323" s="78" t="s">
        <v>1643</v>
      </c>
      <c r="I323" s="78" t="s">
        <v>2483</v>
      </c>
      <c r="J323" s="78" t="s">
        <v>3108</v>
      </c>
      <c r="K323" s="78" t="s">
        <v>1660</v>
      </c>
    </row>
    <row r="324" spans="1:11" ht="15.75" thickBot="1" x14ac:dyDescent="0.3">
      <c r="A324" s="44" t="s">
        <v>1025</v>
      </c>
      <c r="B324" s="107" t="s">
        <v>1026</v>
      </c>
      <c r="C324" s="78" t="s">
        <v>822</v>
      </c>
      <c r="D324" s="108">
        <v>32442</v>
      </c>
      <c r="E324" s="78" t="s">
        <v>3109</v>
      </c>
      <c r="F324" s="78" t="s">
        <v>1952</v>
      </c>
      <c r="G324" s="78" t="s">
        <v>2999</v>
      </c>
      <c r="H324" s="78" t="s">
        <v>1643</v>
      </c>
      <c r="I324" s="78" t="s">
        <v>2483</v>
      </c>
      <c r="J324" s="118">
        <v>200</v>
      </c>
      <c r="K324" s="78" t="s">
        <v>1660</v>
      </c>
    </row>
    <row r="325" spans="1:11" ht="15.75" thickBot="1" x14ac:dyDescent="0.3">
      <c r="A325" s="44" t="s">
        <v>1085</v>
      </c>
      <c r="B325" s="107" t="s">
        <v>1086</v>
      </c>
      <c r="C325" s="78" t="s">
        <v>822</v>
      </c>
      <c r="D325" s="108">
        <v>27692</v>
      </c>
      <c r="E325" s="78" t="s">
        <v>3134</v>
      </c>
      <c r="F325" s="78" t="s">
        <v>1925</v>
      </c>
      <c r="G325" s="78" t="s">
        <v>2974</v>
      </c>
      <c r="H325" s="78" t="s">
        <v>1644</v>
      </c>
      <c r="I325" s="78" t="s">
        <v>1951</v>
      </c>
      <c r="J325" s="78" t="s">
        <v>1951</v>
      </c>
      <c r="K325" s="78" t="s">
        <v>1951</v>
      </c>
    </row>
    <row r="326" spans="1:11" ht="15.75" thickBot="1" x14ac:dyDescent="0.3">
      <c r="A326" s="44" t="s">
        <v>1093</v>
      </c>
      <c r="B326" s="107" t="s">
        <v>1094</v>
      </c>
      <c r="C326" s="78" t="s">
        <v>822</v>
      </c>
      <c r="D326" s="108">
        <v>46985</v>
      </c>
      <c r="E326" s="78" t="s">
        <v>3137</v>
      </c>
      <c r="F326" s="78" t="s">
        <v>1926</v>
      </c>
      <c r="G326" s="78" t="s">
        <v>2991</v>
      </c>
      <c r="H326" s="78" t="s">
        <v>1643</v>
      </c>
      <c r="I326" s="78" t="s">
        <v>2483</v>
      </c>
      <c r="J326" s="118">
        <v>115</v>
      </c>
      <c r="K326" s="78" t="s">
        <v>1660</v>
      </c>
    </row>
    <row r="327" spans="1:11" ht="15.75" thickBot="1" x14ac:dyDescent="0.3">
      <c r="A327" s="44" t="s">
        <v>1113</v>
      </c>
      <c r="B327" s="107" t="s">
        <v>1114</v>
      </c>
      <c r="C327" s="78" t="s">
        <v>822</v>
      </c>
      <c r="D327" s="108">
        <v>40898</v>
      </c>
      <c r="E327" s="78" t="s">
        <v>2309</v>
      </c>
      <c r="F327" s="78" t="s">
        <v>2309</v>
      </c>
      <c r="G327" s="78" t="s">
        <v>2991</v>
      </c>
      <c r="H327" s="78" t="s">
        <v>1643</v>
      </c>
      <c r="I327" s="78" t="s">
        <v>2483</v>
      </c>
      <c r="J327" s="78" t="s">
        <v>3136</v>
      </c>
      <c r="K327" s="78" t="s">
        <v>1660</v>
      </c>
    </row>
    <row r="328" spans="1:11" ht="15.75" thickBot="1" x14ac:dyDescent="0.3">
      <c r="A328" s="44" t="s">
        <v>1171</v>
      </c>
      <c r="B328" s="107" t="s">
        <v>1172</v>
      </c>
      <c r="C328" s="78" t="s">
        <v>822</v>
      </c>
      <c r="D328" s="108">
        <v>41786</v>
      </c>
      <c r="E328" s="78" t="s">
        <v>3179</v>
      </c>
      <c r="F328" s="78" t="s">
        <v>2432</v>
      </c>
      <c r="G328" s="78" t="s">
        <v>2979</v>
      </c>
      <c r="H328" s="78" t="s">
        <v>1644</v>
      </c>
      <c r="I328" s="78" t="s">
        <v>1951</v>
      </c>
      <c r="J328" s="78" t="s">
        <v>1951</v>
      </c>
      <c r="K328" s="78" t="s">
        <v>1660</v>
      </c>
    </row>
    <row r="329" spans="1:11" ht="15.75" thickBot="1" x14ac:dyDescent="0.3">
      <c r="A329" s="44" t="s">
        <v>1215</v>
      </c>
      <c r="B329" s="107" t="s">
        <v>1216</v>
      </c>
      <c r="C329" s="78" t="s">
        <v>822</v>
      </c>
      <c r="D329" s="108">
        <v>40771</v>
      </c>
      <c r="E329" s="78" t="s">
        <v>2975</v>
      </c>
      <c r="F329" s="78" t="s">
        <v>1892</v>
      </c>
      <c r="G329" s="78" t="s">
        <v>2976</v>
      </c>
      <c r="H329" s="78" t="s">
        <v>1643</v>
      </c>
      <c r="I329" s="78" t="s">
        <v>2483</v>
      </c>
      <c r="J329" s="78" t="s">
        <v>3196</v>
      </c>
      <c r="K329" s="78" t="s">
        <v>1660</v>
      </c>
    </row>
    <row r="330" spans="1:11" ht="15.75" thickBot="1" x14ac:dyDescent="0.3">
      <c r="A330" s="44" t="s">
        <v>1221</v>
      </c>
      <c r="B330" s="107" t="s">
        <v>1222</v>
      </c>
      <c r="C330" s="78" t="s">
        <v>822</v>
      </c>
      <c r="D330" s="108">
        <v>38144</v>
      </c>
      <c r="E330" s="78" t="s">
        <v>3198</v>
      </c>
      <c r="F330" s="78" t="s">
        <v>1925</v>
      </c>
      <c r="G330" s="78" t="s">
        <v>2974</v>
      </c>
      <c r="H330" s="78" t="s">
        <v>1644</v>
      </c>
      <c r="I330" s="78" t="s">
        <v>1951</v>
      </c>
      <c r="J330" s="78" t="s">
        <v>1951</v>
      </c>
      <c r="K330" s="78" t="s">
        <v>1660</v>
      </c>
    </row>
    <row r="331" spans="1:11" ht="15.75" thickBot="1" x14ac:dyDescent="0.3">
      <c r="A331" s="44" t="s">
        <v>1231</v>
      </c>
      <c r="B331" s="107" t="s">
        <v>1232</v>
      </c>
      <c r="C331" s="78" t="s">
        <v>822</v>
      </c>
      <c r="D331" s="108">
        <v>35540</v>
      </c>
      <c r="E331" s="78" t="s">
        <v>2492</v>
      </c>
      <c r="F331" s="78" t="s">
        <v>1926</v>
      </c>
      <c r="G331" s="78" t="s">
        <v>2991</v>
      </c>
      <c r="H331" s="78" t="s">
        <v>1643</v>
      </c>
      <c r="I331" s="78" t="s">
        <v>2483</v>
      </c>
      <c r="J331" s="78" t="s">
        <v>3085</v>
      </c>
      <c r="K331" s="78" t="s">
        <v>1660</v>
      </c>
    </row>
    <row r="332" spans="1:11" ht="15.75" thickBot="1" x14ac:dyDescent="0.3">
      <c r="A332" s="44" t="s">
        <v>1247</v>
      </c>
      <c r="B332" s="107" t="s">
        <v>1248</v>
      </c>
      <c r="C332" s="78" t="s">
        <v>822</v>
      </c>
      <c r="D332" s="108">
        <v>29694</v>
      </c>
      <c r="E332" s="78" t="s">
        <v>3209</v>
      </c>
      <c r="F332" s="78" t="s">
        <v>1885</v>
      </c>
      <c r="G332" s="78" t="s">
        <v>2974</v>
      </c>
      <c r="H332" s="78" t="s">
        <v>1643</v>
      </c>
      <c r="I332" s="78" t="s">
        <v>2483</v>
      </c>
      <c r="J332" s="118">
        <v>100</v>
      </c>
      <c r="K332" s="78" t="s">
        <v>1660</v>
      </c>
    </row>
    <row r="333" spans="1:11" ht="15.75" thickBot="1" x14ac:dyDescent="0.3">
      <c r="A333" s="44" t="s">
        <v>1267</v>
      </c>
      <c r="B333" s="107" t="s">
        <v>1268</v>
      </c>
      <c r="C333" s="78" t="s">
        <v>822</v>
      </c>
      <c r="D333" s="108">
        <v>28646</v>
      </c>
      <c r="E333" s="78" t="s">
        <v>3216</v>
      </c>
      <c r="F333" s="78" t="s">
        <v>2529</v>
      </c>
      <c r="G333" s="78" t="s">
        <v>2987</v>
      </c>
      <c r="H333" s="78" t="s">
        <v>1643</v>
      </c>
      <c r="I333" s="78" t="s">
        <v>2483</v>
      </c>
      <c r="J333" s="78" t="s">
        <v>3453</v>
      </c>
      <c r="K333" s="78" t="s">
        <v>1660</v>
      </c>
    </row>
    <row r="334" spans="1:11" ht="15.75" thickBot="1" x14ac:dyDescent="0.3">
      <c r="A334" s="44" t="s">
        <v>1323</v>
      </c>
      <c r="B334" s="107" t="s">
        <v>1324</v>
      </c>
      <c r="C334" s="78" t="s">
        <v>822</v>
      </c>
      <c r="D334" s="108">
        <v>34467</v>
      </c>
      <c r="E334" s="78" t="s">
        <v>2595</v>
      </c>
      <c r="F334" s="78" t="s">
        <v>1925</v>
      </c>
      <c r="G334" s="78" t="s">
        <v>2974</v>
      </c>
      <c r="H334" s="78" t="s">
        <v>1644</v>
      </c>
      <c r="I334" s="78" t="s">
        <v>1951</v>
      </c>
      <c r="J334" s="78" t="s">
        <v>1951</v>
      </c>
      <c r="K334" s="78" t="s">
        <v>1660</v>
      </c>
    </row>
    <row r="335" spans="1:11" ht="15.75" thickBot="1" x14ac:dyDescent="0.3">
      <c r="A335" s="44" t="s">
        <v>1329</v>
      </c>
      <c r="B335" s="107" t="s">
        <v>1330</v>
      </c>
      <c r="C335" s="78" t="s">
        <v>822</v>
      </c>
      <c r="D335" s="108">
        <v>29319</v>
      </c>
      <c r="E335" s="78" t="s">
        <v>3241</v>
      </c>
      <c r="F335" s="78" t="s">
        <v>1885</v>
      </c>
      <c r="G335" s="78" t="s">
        <v>2974</v>
      </c>
      <c r="H335" s="78" t="s">
        <v>1643</v>
      </c>
      <c r="I335" s="78" t="s">
        <v>2483</v>
      </c>
      <c r="J335" s="78" t="s">
        <v>3091</v>
      </c>
      <c r="K335" s="78" t="s">
        <v>1660</v>
      </c>
    </row>
    <row r="336" spans="1:11" ht="15.75" thickBot="1" x14ac:dyDescent="0.3">
      <c r="A336" s="44" t="s">
        <v>1335</v>
      </c>
      <c r="B336" s="107" t="s">
        <v>1336</v>
      </c>
      <c r="C336" s="78" t="s">
        <v>822</v>
      </c>
      <c r="D336" s="108">
        <v>35394</v>
      </c>
      <c r="E336" s="78" t="s">
        <v>3244</v>
      </c>
      <c r="F336" s="78" t="s">
        <v>1885</v>
      </c>
      <c r="G336" s="78" t="s">
        <v>2974</v>
      </c>
      <c r="H336" s="78" t="s">
        <v>1643</v>
      </c>
      <c r="I336" s="78" t="s">
        <v>2483</v>
      </c>
      <c r="J336" s="118">
        <v>200</v>
      </c>
      <c r="K336" s="78" t="s">
        <v>1660</v>
      </c>
    </row>
    <row r="337" spans="1:11" ht="15.75" thickBot="1" x14ac:dyDescent="0.3">
      <c r="A337" s="44" t="s">
        <v>1363</v>
      </c>
      <c r="B337" s="107" t="s">
        <v>1364</v>
      </c>
      <c r="C337" s="78" t="s">
        <v>822</v>
      </c>
      <c r="D337" s="108">
        <v>36441</v>
      </c>
      <c r="E337" s="78" t="s">
        <v>2292</v>
      </c>
      <c r="F337" s="78" t="s">
        <v>2292</v>
      </c>
      <c r="G337" s="78" t="s">
        <v>2981</v>
      </c>
      <c r="H337" s="78" t="s">
        <v>1643</v>
      </c>
      <c r="I337" s="78" t="s">
        <v>2483</v>
      </c>
      <c r="J337" s="78" t="s">
        <v>3255</v>
      </c>
      <c r="K337" s="78" t="s">
        <v>1660</v>
      </c>
    </row>
    <row r="338" spans="1:11" ht="15.75" thickBot="1" x14ac:dyDescent="0.3">
      <c r="A338" s="44" t="s">
        <v>1373</v>
      </c>
      <c r="B338" s="107" t="s">
        <v>1374</v>
      </c>
      <c r="C338" s="78" t="s">
        <v>822</v>
      </c>
      <c r="D338" s="108">
        <v>36656</v>
      </c>
      <c r="E338" s="78" t="s">
        <v>2662</v>
      </c>
      <c r="F338" s="78" t="s">
        <v>1925</v>
      </c>
      <c r="G338" s="78" t="s">
        <v>2974</v>
      </c>
      <c r="H338" s="78" t="s">
        <v>1643</v>
      </c>
      <c r="I338" s="78" t="s">
        <v>2483</v>
      </c>
      <c r="J338" s="118">
        <v>150</v>
      </c>
      <c r="K338" s="78" t="s">
        <v>1660</v>
      </c>
    </row>
    <row r="339" spans="1:11" ht="15.75" thickBot="1" x14ac:dyDescent="0.3">
      <c r="A339" s="44" t="s">
        <v>1401</v>
      </c>
      <c r="B339" s="107" t="s">
        <v>1402</v>
      </c>
      <c r="C339" s="78" t="s">
        <v>822</v>
      </c>
      <c r="D339" s="108">
        <v>48362</v>
      </c>
      <c r="E339" s="78" t="s">
        <v>2701</v>
      </c>
      <c r="F339" s="78" t="s">
        <v>1925</v>
      </c>
      <c r="G339" s="78" t="s">
        <v>2974</v>
      </c>
      <c r="H339" s="78" t="s">
        <v>1643</v>
      </c>
      <c r="I339" s="78" t="s">
        <v>2483</v>
      </c>
      <c r="J339" s="78" t="s">
        <v>3274</v>
      </c>
      <c r="K339" s="78" t="s">
        <v>1660</v>
      </c>
    </row>
    <row r="340" spans="1:11" ht="15.75" thickBot="1" x14ac:dyDescent="0.3">
      <c r="A340" s="44" t="s">
        <v>1425</v>
      </c>
      <c r="B340" s="107" t="s">
        <v>1426</v>
      </c>
      <c r="C340" s="78" t="s">
        <v>822</v>
      </c>
      <c r="D340" s="108">
        <v>33839</v>
      </c>
      <c r="E340" s="78" t="s">
        <v>3284</v>
      </c>
      <c r="F340" s="78" t="s">
        <v>1952</v>
      </c>
      <c r="G340" s="78" t="s">
        <v>2999</v>
      </c>
      <c r="H340" s="78" t="s">
        <v>1643</v>
      </c>
      <c r="I340" s="78" t="s">
        <v>2483</v>
      </c>
      <c r="J340" s="78" t="s">
        <v>3285</v>
      </c>
      <c r="K340" s="78" t="s">
        <v>1643</v>
      </c>
    </row>
    <row r="341" spans="1:11" ht="15.75" thickBot="1" x14ac:dyDescent="0.3">
      <c r="A341" s="44" t="s">
        <v>1427</v>
      </c>
      <c r="B341" s="107" t="s">
        <v>1428</v>
      </c>
      <c r="C341" s="78" t="s">
        <v>822</v>
      </c>
      <c r="D341" s="108">
        <v>39868</v>
      </c>
      <c r="E341" s="78" t="s">
        <v>3286</v>
      </c>
      <c r="F341" s="78" t="s">
        <v>1925</v>
      </c>
      <c r="G341" s="78" t="s">
        <v>2974</v>
      </c>
      <c r="H341" s="78" t="s">
        <v>1644</v>
      </c>
      <c r="I341" s="78" t="s">
        <v>1951</v>
      </c>
      <c r="J341" s="78" t="s">
        <v>1951</v>
      </c>
      <c r="K341" s="78" t="s">
        <v>1643</v>
      </c>
    </row>
    <row r="342" spans="1:11" ht="15.75" thickBot="1" x14ac:dyDescent="0.3">
      <c r="A342" s="44" t="s">
        <v>1431</v>
      </c>
      <c r="B342" s="107" t="s">
        <v>1432</v>
      </c>
      <c r="C342" s="78" t="s">
        <v>822</v>
      </c>
      <c r="D342" s="108">
        <v>47299</v>
      </c>
      <c r="E342" s="78" t="s">
        <v>3287</v>
      </c>
      <c r="F342" s="78" t="s">
        <v>1952</v>
      </c>
      <c r="G342" s="78" t="s">
        <v>2999</v>
      </c>
      <c r="H342" s="78" t="s">
        <v>1643</v>
      </c>
      <c r="I342" s="78" t="s">
        <v>2483</v>
      </c>
      <c r="J342" s="78" t="s">
        <v>3288</v>
      </c>
      <c r="K342" s="78" t="s">
        <v>1660</v>
      </c>
    </row>
    <row r="343" spans="1:11" ht="15.75" thickBot="1" x14ac:dyDescent="0.3">
      <c r="A343" s="44" t="s">
        <v>1449</v>
      </c>
      <c r="B343" s="107" t="s">
        <v>1450</v>
      </c>
      <c r="C343" s="78" t="s">
        <v>822</v>
      </c>
      <c r="D343" s="108">
        <v>26376</v>
      </c>
      <c r="E343" s="78" t="s">
        <v>3298</v>
      </c>
      <c r="F343" s="78" t="s">
        <v>1948</v>
      </c>
      <c r="G343" s="78" t="s">
        <v>2974</v>
      </c>
      <c r="H343" s="78" t="s">
        <v>1643</v>
      </c>
      <c r="I343" s="78" t="s">
        <v>2483</v>
      </c>
      <c r="J343" s="78" t="s">
        <v>3299</v>
      </c>
      <c r="K343" s="78" t="s">
        <v>1660</v>
      </c>
    </row>
    <row r="344" spans="1:11" ht="15.75" thickBot="1" x14ac:dyDescent="0.3">
      <c r="A344" s="44" t="s">
        <v>1474</v>
      </c>
      <c r="B344" s="107" t="s">
        <v>1475</v>
      </c>
      <c r="C344" s="78" t="s">
        <v>822</v>
      </c>
      <c r="D344" s="108">
        <v>27920</v>
      </c>
      <c r="E344" s="78" t="s">
        <v>2780</v>
      </c>
      <c r="F344" s="78" t="s">
        <v>2157</v>
      </c>
      <c r="G344" s="78" t="s">
        <v>2993</v>
      </c>
      <c r="H344" s="78" t="s">
        <v>1643</v>
      </c>
      <c r="I344" s="78" t="s">
        <v>2483</v>
      </c>
      <c r="J344" s="78" t="s">
        <v>3312</v>
      </c>
      <c r="K344" s="78" t="s">
        <v>1660</v>
      </c>
    </row>
    <row r="345" spans="1:11" ht="15.75" thickBot="1" x14ac:dyDescent="0.3">
      <c r="A345" s="44" t="s">
        <v>1484</v>
      </c>
      <c r="B345" s="107" t="s">
        <v>1485</v>
      </c>
      <c r="C345" s="78" t="s">
        <v>822</v>
      </c>
      <c r="D345" s="108">
        <v>30047</v>
      </c>
      <c r="E345" s="78" t="s">
        <v>2795</v>
      </c>
      <c r="F345" s="78" t="s">
        <v>1925</v>
      </c>
      <c r="G345" s="78" t="s">
        <v>2974</v>
      </c>
      <c r="H345" s="78" t="s">
        <v>1644</v>
      </c>
      <c r="I345" s="78" t="s">
        <v>1951</v>
      </c>
      <c r="J345" s="78" t="s">
        <v>1951</v>
      </c>
      <c r="K345" s="78" t="s">
        <v>1660</v>
      </c>
    </row>
    <row r="346" spans="1:11" ht="15.75" thickBot="1" x14ac:dyDescent="0.3">
      <c r="A346" s="44" t="s">
        <v>1502</v>
      </c>
      <c r="B346" s="107" t="s">
        <v>1503</v>
      </c>
      <c r="C346" s="78" t="s">
        <v>822</v>
      </c>
      <c r="D346" s="108">
        <v>43031</v>
      </c>
      <c r="E346" s="78" t="s">
        <v>3323</v>
      </c>
      <c r="F346" s="78" t="s">
        <v>2207</v>
      </c>
      <c r="G346" s="78" t="s">
        <v>2981</v>
      </c>
      <c r="H346" s="78" t="s">
        <v>1643</v>
      </c>
      <c r="I346" s="78" t="s">
        <v>2483</v>
      </c>
      <c r="J346" s="78" t="s">
        <v>3324</v>
      </c>
      <c r="K346" s="78" t="s">
        <v>1643</v>
      </c>
    </row>
    <row r="347" spans="1:11" ht="15.75" thickBot="1" x14ac:dyDescent="0.3">
      <c r="A347" s="44" t="s">
        <v>1546</v>
      </c>
      <c r="B347" s="107" t="s">
        <v>1547</v>
      </c>
      <c r="C347" s="78" t="s">
        <v>822</v>
      </c>
      <c r="D347" s="108">
        <v>44265</v>
      </c>
      <c r="E347" s="78" t="s">
        <v>2861</v>
      </c>
      <c r="F347" s="78" t="s">
        <v>2385</v>
      </c>
      <c r="G347" s="78" t="s">
        <v>2989</v>
      </c>
      <c r="H347" s="78" t="s">
        <v>1643</v>
      </c>
      <c r="I347" s="78" t="s">
        <v>2483</v>
      </c>
      <c r="J347" s="78" t="s">
        <v>3346</v>
      </c>
      <c r="K347" s="78" t="s">
        <v>1643</v>
      </c>
    </row>
    <row r="348" spans="1:11" ht="15.75" thickBot="1" x14ac:dyDescent="0.3">
      <c r="A348" s="44" t="s">
        <v>1586</v>
      </c>
      <c r="B348" s="107" t="s">
        <v>1587</v>
      </c>
      <c r="C348" s="78" t="s">
        <v>822</v>
      </c>
      <c r="D348" s="108">
        <v>30019</v>
      </c>
      <c r="E348" s="78" t="s">
        <v>2904</v>
      </c>
      <c r="F348" s="78" t="s">
        <v>1885</v>
      </c>
      <c r="G348" s="78" t="s">
        <v>2974</v>
      </c>
      <c r="H348" s="78" t="s">
        <v>1644</v>
      </c>
      <c r="I348" s="78" t="s">
        <v>1951</v>
      </c>
      <c r="J348" s="78" t="s">
        <v>1951</v>
      </c>
      <c r="K348" s="78" t="s">
        <v>3453</v>
      </c>
    </row>
    <row r="349" spans="1:11" ht="15.75" thickBot="1" x14ac:dyDescent="0.3">
      <c r="A349" s="44" t="s">
        <v>835</v>
      </c>
      <c r="B349" s="107" t="s">
        <v>836</v>
      </c>
      <c r="C349" s="78" t="s">
        <v>837</v>
      </c>
      <c r="D349" s="108">
        <v>163590</v>
      </c>
      <c r="E349" s="78" t="s">
        <v>2996</v>
      </c>
      <c r="F349" s="78" t="s">
        <v>1948</v>
      </c>
      <c r="G349" s="78" t="s">
        <v>2997</v>
      </c>
      <c r="H349" s="78" t="s">
        <v>1643</v>
      </c>
      <c r="I349" s="78" t="s">
        <v>2483</v>
      </c>
      <c r="J349" s="78" t="s">
        <v>2998</v>
      </c>
      <c r="K349" s="78" t="s">
        <v>1660</v>
      </c>
    </row>
    <row r="350" spans="1:11" ht="15.75" thickBot="1" x14ac:dyDescent="0.3">
      <c r="A350" s="44" t="s">
        <v>861</v>
      </c>
      <c r="B350" s="107" t="s">
        <v>862</v>
      </c>
      <c r="C350" s="78" t="s">
        <v>837</v>
      </c>
      <c r="D350" s="108">
        <v>107681</v>
      </c>
      <c r="E350" s="78" t="s">
        <v>3016</v>
      </c>
      <c r="F350" s="78" t="s">
        <v>1984</v>
      </c>
      <c r="G350" s="78" t="s">
        <v>2993</v>
      </c>
      <c r="H350" s="78" t="s">
        <v>1644</v>
      </c>
      <c r="I350" s="78" t="s">
        <v>1951</v>
      </c>
      <c r="J350" s="78" t="s">
        <v>1951</v>
      </c>
      <c r="K350" s="78" t="s">
        <v>1660</v>
      </c>
    </row>
    <row r="351" spans="1:11" ht="15.75" thickBot="1" x14ac:dyDescent="0.3">
      <c r="A351" s="44" t="s">
        <v>923</v>
      </c>
      <c r="B351" s="107" t="s">
        <v>924</v>
      </c>
      <c r="C351" s="78" t="s">
        <v>837</v>
      </c>
      <c r="D351" s="108">
        <v>90173</v>
      </c>
      <c r="E351" s="78" t="s">
        <v>2079</v>
      </c>
      <c r="F351" s="78" t="s">
        <v>1925</v>
      </c>
      <c r="G351" s="78" t="s">
        <v>2974</v>
      </c>
      <c r="H351" s="78" t="s">
        <v>1643</v>
      </c>
      <c r="I351" s="78" t="s">
        <v>2483</v>
      </c>
      <c r="J351" s="118">
        <v>140</v>
      </c>
      <c r="K351" s="78" t="s">
        <v>1951</v>
      </c>
    </row>
    <row r="352" spans="1:11" ht="15.75" thickBot="1" x14ac:dyDescent="0.3">
      <c r="A352" s="44" t="s">
        <v>925</v>
      </c>
      <c r="B352" s="107" t="s">
        <v>926</v>
      </c>
      <c r="C352" s="78" t="s">
        <v>837</v>
      </c>
      <c r="D352" s="108">
        <v>238859</v>
      </c>
      <c r="E352" s="78" t="s">
        <v>3046</v>
      </c>
      <c r="F352" s="78" t="s">
        <v>1884</v>
      </c>
      <c r="G352" s="78" t="s">
        <v>2993</v>
      </c>
      <c r="H352" s="78" t="s">
        <v>1643</v>
      </c>
      <c r="I352" s="78" t="s">
        <v>2483</v>
      </c>
      <c r="J352" s="78" t="s">
        <v>3047</v>
      </c>
      <c r="K352" s="78" t="s">
        <v>1660</v>
      </c>
    </row>
    <row r="353" spans="1:11" ht="15.75" thickBot="1" x14ac:dyDescent="0.3">
      <c r="A353" s="44" t="s">
        <v>955</v>
      </c>
      <c r="B353" s="107" t="s">
        <v>956</v>
      </c>
      <c r="C353" s="78" t="s">
        <v>837</v>
      </c>
      <c r="D353" s="108">
        <v>51640</v>
      </c>
      <c r="E353" s="78" t="s">
        <v>3067</v>
      </c>
      <c r="F353" s="78" t="s">
        <v>2132</v>
      </c>
      <c r="G353" s="78" t="s">
        <v>2993</v>
      </c>
      <c r="H353" s="78" t="s">
        <v>1643</v>
      </c>
      <c r="I353" s="78" t="s">
        <v>2483</v>
      </c>
      <c r="J353" s="78" t="s">
        <v>3068</v>
      </c>
      <c r="K353" s="78" t="s">
        <v>1660</v>
      </c>
    </row>
    <row r="354" spans="1:11" ht="15.75" thickBot="1" x14ac:dyDescent="0.3">
      <c r="A354" s="44" t="s">
        <v>961</v>
      </c>
      <c r="B354" s="107" t="s">
        <v>962</v>
      </c>
      <c r="C354" s="78" t="s">
        <v>837</v>
      </c>
      <c r="D354" s="108">
        <v>169833</v>
      </c>
      <c r="E354" s="78" t="s">
        <v>3071</v>
      </c>
      <c r="F354" s="78" t="s">
        <v>1952</v>
      </c>
      <c r="G354" s="78" t="s">
        <v>2999</v>
      </c>
      <c r="H354" s="78" t="s">
        <v>1643</v>
      </c>
      <c r="I354" s="78" t="s">
        <v>2483</v>
      </c>
      <c r="J354" s="78" t="s">
        <v>3072</v>
      </c>
      <c r="K354" s="78" t="s">
        <v>1660</v>
      </c>
    </row>
    <row r="355" spans="1:11" ht="15.75" thickBot="1" x14ac:dyDescent="0.3">
      <c r="A355" s="44" t="s">
        <v>995</v>
      </c>
      <c r="B355" s="107" t="s">
        <v>996</v>
      </c>
      <c r="C355" s="78" t="s">
        <v>837</v>
      </c>
      <c r="D355" s="108">
        <v>57774</v>
      </c>
      <c r="E355" s="78" t="s">
        <v>2193</v>
      </c>
      <c r="F355" s="78" t="s">
        <v>1925</v>
      </c>
      <c r="G355" s="78" t="s">
        <v>2974</v>
      </c>
      <c r="H355" s="78" t="s">
        <v>1643</v>
      </c>
      <c r="I355" s="78" t="s">
        <v>2483</v>
      </c>
      <c r="J355" s="78" t="s">
        <v>3453</v>
      </c>
      <c r="K355" s="78" t="s">
        <v>1660</v>
      </c>
    </row>
    <row r="356" spans="1:11" ht="15.75" thickBot="1" x14ac:dyDescent="0.3">
      <c r="A356" s="44" t="s">
        <v>997</v>
      </c>
      <c r="B356" s="107" t="s">
        <v>998</v>
      </c>
      <c r="C356" s="78" t="s">
        <v>837</v>
      </c>
      <c r="D356" s="108">
        <v>98153</v>
      </c>
      <c r="E356" s="78" t="s">
        <v>3090</v>
      </c>
      <c r="F356" s="78" t="s">
        <v>1925</v>
      </c>
      <c r="G356" s="78" t="s">
        <v>2974</v>
      </c>
      <c r="H356" s="78" t="s">
        <v>1643</v>
      </c>
      <c r="I356" s="78" t="s">
        <v>2483</v>
      </c>
      <c r="J356" s="78" t="s">
        <v>3091</v>
      </c>
      <c r="K356" s="78" t="s">
        <v>1660</v>
      </c>
    </row>
    <row r="357" spans="1:11" ht="15.75" thickBot="1" x14ac:dyDescent="0.3">
      <c r="A357" s="44" t="s">
        <v>1005</v>
      </c>
      <c r="B357" s="107" t="s">
        <v>1006</v>
      </c>
      <c r="C357" s="78" t="s">
        <v>837</v>
      </c>
      <c r="D357" s="108">
        <v>713777</v>
      </c>
      <c r="E357" s="78" t="s">
        <v>3095</v>
      </c>
      <c r="F357" s="78" t="s">
        <v>1925</v>
      </c>
      <c r="G357" s="78" t="s">
        <v>3096</v>
      </c>
      <c r="H357" s="78" t="s">
        <v>1643</v>
      </c>
      <c r="I357" s="78" t="s">
        <v>2483</v>
      </c>
      <c r="J357" s="78" t="s">
        <v>3097</v>
      </c>
      <c r="K357" s="78" t="s">
        <v>1660</v>
      </c>
    </row>
    <row r="358" spans="1:11" ht="15.75" thickBot="1" x14ac:dyDescent="0.3">
      <c r="A358" s="44" t="s">
        <v>1051</v>
      </c>
      <c r="B358" s="107" t="s">
        <v>1052</v>
      </c>
      <c r="C358" s="78" t="s">
        <v>837</v>
      </c>
      <c r="D358" s="108">
        <v>90112</v>
      </c>
      <c r="E358" s="78" t="s">
        <v>3119</v>
      </c>
      <c r="F358" s="78" t="s">
        <v>1885</v>
      </c>
      <c r="G358" s="78" t="s">
        <v>2974</v>
      </c>
      <c r="H358" s="78" t="s">
        <v>1644</v>
      </c>
      <c r="I358" s="78" t="s">
        <v>1951</v>
      </c>
      <c r="J358" s="78" t="s">
        <v>1951</v>
      </c>
      <c r="K358" s="78" t="s">
        <v>1660</v>
      </c>
    </row>
    <row r="359" spans="1:11" ht="15.75" thickBot="1" x14ac:dyDescent="0.3">
      <c r="A359" s="44" t="s">
        <v>1063</v>
      </c>
      <c r="B359" s="107" t="s">
        <v>1064</v>
      </c>
      <c r="C359" s="78" t="s">
        <v>837</v>
      </c>
      <c r="D359" s="108">
        <v>102434</v>
      </c>
      <c r="E359" s="78" t="s">
        <v>2326</v>
      </c>
      <c r="F359" s="78" t="s">
        <v>2286</v>
      </c>
      <c r="G359" s="78" t="s">
        <v>2993</v>
      </c>
      <c r="H359" s="78" t="s">
        <v>1644</v>
      </c>
      <c r="I359" s="78" t="s">
        <v>1951</v>
      </c>
      <c r="J359" s="78" t="s">
        <v>1951</v>
      </c>
      <c r="K359" s="78" t="s">
        <v>1660</v>
      </c>
    </row>
    <row r="360" spans="1:11" ht="15.75" thickBot="1" x14ac:dyDescent="0.3">
      <c r="A360" s="44" t="s">
        <v>1089</v>
      </c>
      <c r="B360" s="107" t="s">
        <v>1090</v>
      </c>
      <c r="C360" s="78" t="s">
        <v>837</v>
      </c>
      <c r="D360" s="108">
        <v>332567</v>
      </c>
      <c r="E360" s="78" t="s">
        <v>2326</v>
      </c>
      <c r="F360" s="78" t="s">
        <v>2286</v>
      </c>
      <c r="G360" s="78" t="s">
        <v>2993</v>
      </c>
      <c r="H360" s="78" t="s">
        <v>1643</v>
      </c>
      <c r="I360" s="78" t="s">
        <v>2483</v>
      </c>
      <c r="J360" s="78" t="s">
        <v>3136</v>
      </c>
      <c r="K360" s="78" t="s">
        <v>1643</v>
      </c>
    </row>
    <row r="361" spans="1:11" ht="15.75" thickBot="1" x14ac:dyDescent="0.3">
      <c r="A361" s="44" t="s">
        <v>1103</v>
      </c>
      <c r="B361" s="107" t="s">
        <v>1104</v>
      </c>
      <c r="C361" s="78" t="s">
        <v>837</v>
      </c>
      <c r="D361" s="108">
        <v>76707</v>
      </c>
      <c r="E361" s="78" t="s">
        <v>2140</v>
      </c>
      <c r="F361" s="78" t="s">
        <v>2140</v>
      </c>
      <c r="G361" s="78" t="s">
        <v>2993</v>
      </c>
      <c r="H361" s="78" t="s">
        <v>1643</v>
      </c>
      <c r="I361" s="78" t="s">
        <v>2483</v>
      </c>
      <c r="J361" s="78" t="s">
        <v>3143</v>
      </c>
      <c r="K361" s="78" t="s">
        <v>1643</v>
      </c>
    </row>
    <row r="362" spans="1:11" ht="15.75" thickBot="1" x14ac:dyDescent="0.3">
      <c r="A362" s="44" t="s">
        <v>1107</v>
      </c>
      <c r="B362" s="107" t="s">
        <v>1108</v>
      </c>
      <c r="C362" s="78" t="s">
        <v>837</v>
      </c>
      <c r="D362" s="108">
        <v>188040</v>
      </c>
      <c r="E362" s="78" t="s">
        <v>3145</v>
      </c>
      <c r="F362" s="78" t="s">
        <v>2098</v>
      </c>
      <c r="G362" s="78" t="s">
        <v>2991</v>
      </c>
      <c r="H362" s="78" t="s">
        <v>1643</v>
      </c>
      <c r="I362" s="78" t="s">
        <v>2483</v>
      </c>
      <c r="J362" s="78" t="s">
        <v>3146</v>
      </c>
      <c r="K362" s="78" t="s">
        <v>1951</v>
      </c>
    </row>
    <row r="363" spans="1:11" ht="15.75" thickBot="1" x14ac:dyDescent="0.3">
      <c r="A363" s="44" t="s">
        <v>1111</v>
      </c>
      <c r="B363" s="107" t="s">
        <v>1112</v>
      </c>
      <c r="C363" s="78" t="s">
        <v>837</v>
      </c>
      <c r="D363" s="108">
        <v>51133</v>
      </c>
      <c r="E363" s="78" t="s">
        <v>3149</v>
      </c>
      <c r="F363" s="78" t="s">
        <v>1925</v>
      </c>
      <c r="G363" s="78" t="s">
        <v>2974</v>
      </c>
      <c r="H363" s="78" t="s">
        <v>1643</v>
      </c>
      <c r="I363" s="78" t="s">
        <v>2483</v>
      </c>
      <c r="J363" s="118">
        <v>200</v>
      </c>
      <c r="K363" s="78" t="s">
        <v>1660</v>
      </c>
    </row>
    <row r="364" spans="1:11" ht="15.75" thickBot="1" x14ac:dyDescent="0.3">
      <c r="A364" s="44" t="s">
        <v>1137</v>
      </c>
      <c r="B364" s="107" t="s">
        <v>1138</v>
      </c>
      <c r="C364" s="78" t="s">
        <v>837</v>
      </c>
      <c r="D364" s="108">
        <v>102423</v>
      </c>
      <c r="E364" s="78" t="s">
        <v>3163</v>
      </c>
      <c r="F364" s="78" t="s">
        <v>1926</v>
      </c>
      <c r="G364" s="78" t="s">
        <v>2991</v>
      </c>
      <c r="H364" s="78" t="s">
        <v>1643</v>
      </c>
      <c r="I364" s="78" t="s">
        <v>2483</v>
      </c>
      <c r="J364" s="78" t="s">
        <v>3164</v>
      </c>
      <c r="K364" s="78" t="s">
        <v>1643</v>
      </c>
    </row>
    <row r="365" spans="1:11" ht="15.75" thickBot="1" x14ac:dyDescent="0.3">
      <c r="A365" s="44" t="s">
        <v>1159</v>
      </c>
      <c r="B365" s="107" t="s">
        <v>1160</v>
      </c>
      <c r="C365" s="78" t="s">
        <v>837</v>
      </c>
      <c r="D365" s="108">
        <v>52529</v>
      </c>
      <c r="E365" s="78" t="s">
        <v>3173</v>
      </c>
      <c r="F365" s="78" t="s">
        <v>2052</v>
      </c>
      <c r="G365" s="78" t="s">
        <v>2974</v>
      </c>
      <c r="H365" s="78" t="s">
        <v>1643</v>
      </c>
      <c r="I365" s="78" t="s">
        <v>2483</v>
      </c>
      <c r="J365" s="78" t="s">
        <v>3174</v>
      </c>
      <c r="K365" s="78" t="s">
        <v>1660</v>
      </c>
    </row>
    <row r="366" spans="1:11" ht="15.75" thickBot="1" x14ac:dyDescent="0.3">
      <c r="A366" s="44" t="s">
        <v>1179</v>
      </c>
      <c r="B366" s="107" t="s">
        <v>1180</v>
      </c>
      <c r="C366" s="78" t="s">
        <v>837</v>
      </c>
      <c r="D366" s="108">
        <v>160248</v>
      </c>
      <c r="E366" s="78" t="s">
        <v>2439</v>
      </c>
      <c r="F366" s="78" t="s">
        <v>2439</v>
      </c>
      <c r="G366" s="78" t="s">
        <v>2976</v>
      </c>
      <c r="H366" s="78" t="s">
        <v>1643</v>
      </c>
      <c r="I366" s="78" t="s">
        <v>2483</v>
      </c>
      <c r="J366" s="118">
        <v>75</v>
      </c>
      <c r="K366" s="78" t="s">
        <v>1660</v>
      </c>
    </row>
    <row r="367" spans="1:11" ht="15.75" thickBot="1" x14ac:dyDescent="0.3">
      <c r="A367" s="44" t="s">
        <v>1187</v>
      </c>
      <c r="B367" s="107" t="s">
        <v>1188</v>
      </c>
      <c r="C367" s="78" t="s">
        <v>837</v>
      </c>
      <c r="D367" s="108">
        <v>116445</v>
      </c>
      <c r="E367" s="78" t="s">
        <v>1964</v>
      </c>
      <c r="F367" s="78" t="s">
        <v>1964</v>
      </c>
      <c r="G367" s="78" t="s">
        <v>2989</v>
      </c>
      <c r="H367" s="78" t="s">
        <v>1643</v>
      </c>
      <c r="I367" s="78" t="s">
        <v>2483</v>
      </c>
      <c r="J367" s="78" t="s">
        <v>3184</v>
      </c>
      <c r="K367" s="78" t="s">
        <v>1660</v>
      </c>
    </row>
    <row r="368" spans="1:11" ht="15.75" thickBot="1" x14ac:dyDescent="0.3">
      <c r="A368" s="44" t="s">
        <v>1191</v>
      </c>
      <c r="B368" s="107" t="s">
        <v>1192</v>
      </c>
      <c r="C368" s="78" t="s">
        <v>837</v>
      </c>
      <c r="D368" s="108">
        <v>395660</v>
      </c>
      <c r="E368" s="78" t="s">
        <v>3185</v>
      </c>
      <c r="F368" s="78" t="s">
        <v>2098</v>
      </c>
      <c r="G368" s="78" t="s">
        <v>2991</v>
      </c>
      <c r="H368" s="78" t="s">
        <v>1643</v>
      </c>
      <c r="I368" s="78" t="s">
        <v>2483</v>
      </c>
      <c r="J368" s="118">
        <v>84</v>
      </c>
      <c r="K368" s="78" t="s">
        <v>1660</v>
      </c>
    </row>
    <row r="369" spans="1:11" ht="15.75" thickBot="1" x14ac:dyDescent="0.3">
      <c r="A369" s="44" t="s">
        <v>1201</v>
      </c>
      <c r="B369" s="107" t="s">
        <v>1202</v>
      </c>
      <c r="C369" s="78" t="s">
        <v>837</v>
      </c>
      <c r="D369" s="108">
        <v>60006</v>
      </c>
      <c r="E369" s="78" t="s">
        <v>1936</v>
      </c>
      <c r="F369" s="78" t="s">
        <v>1936</v>
      </c>
      <c r="G369" s="78" t="s">
        <v>2993</v>
      </c>
      <c r="H369" s="78" t="s">
        <v>1643</v>
      </c>
      <c r="I369" s="78" t="s">
        <v>2483</v>
      </c>
      <c r="J369" s="78" t="s">
        <v>3189</v>
      </c>
      <c r="K369" s="78" t="s">
        <v>1660</v>
      </c>
    </row>
    <row r="370" spans="1:11" ht="15.75" thickBot="1" x14ac:dyDescent="0.3">
      <c r="A370" s="44" t="s">
        <v>1227</v>
      </c>
      <c r="B370" s="107" t="s">
        <v>1228</v>
      </c>
      <c r="C370" s="78" t="s">
        <v>837</v>
      </c>
      <c r="D370" s="108">
        <v>96942</v>
      </c>
      <c r="E370" s="78" t="s">
        <v>3200</v>
      </c>
      <c r="F370" s="78" t="s">
        <v>1925</v>
      </c>
      <c r="G370" s="78" t="s">
        <v>2974</v>
      </c>
      <c r="H370" s="78" t="s">
        <v>1643</v>
      </c>
      <c r="I370" s="78" t="s">
        <v>2483</v>
      </c>
      <c r="J370" s="78" t="s">
        <v>3201</v>
      </c>
      <c r="K370" s="78" t="s">
        <v>1660</v>
      </c>
    </row>
    <row r="371" spans="1:11" ht="15.75" thickBot="1" x14ac:dyDescent="0.3">
      <c r="A371" s="44" t="s">
        <v>1293</v>
      </c>
      <c r="B371" s="107" t="s">
        <v>1294</v>
      </c>
      <c r="C371" s="78" t="s">
        <v>837</v>
      </c>
      <c r="D371" s="108">
        <v>149955</v>
      </c>
      <c r="E371" s="78" t="s">
        <v>2544</v>
      </c>
      <c r="F371" s="78" t="s">
        <v>2544</v>
      </c>
      <c r="G371" s="78" t="s">
        <v>2976</v>
      </c>
      <c r="H371" s="78" t="s">
        <v>1643</v>
      </c>
      <c r="I371" s="78" t="s">
        <v>2483</v>
      </c>
      <c r="J371" s="118">
        <v>100</v>
      </c>
      <c r="K371" s="78" t="s">
        <v>1660</v>
      </c>
    </row>
    <row r="372" spans="1:11" ht="15.75" thickBot="1" x14ac:dyDescent="0.3">
      <c r="A372" s="44" t="s">
        <v>1307</v>
      </c>
      <c r="B372" s="107" t="s">
        <v>1308</v>
      </c>
      <c r="C372" s="78" t="s">
        <v>837</v>
      </c>
      <c r="D372" s="108">
        <v>105852</v>
      </c>
      <c r="E372" s="78" t="s">
        <v>2309</v>
      </c>
      <c r="F372" s="78" t="s">
        <v>2309</v>
      </c>
      <c r="G372" s="78" t="s">
        <v>2991</v>
      </c>
      <c r="H372" s="78" t="s">
        <v>1643</v>
      </c>
      <c r="I372" s="78" t="s">
        <v>2483</v>
      </c>
      <c r="J372" s="118">
        <v>75</v>
      </c>
      <c r="K372" s="78" t="s">
        <v>1660</v>
      </c>
    </row>
    <row r="373" spans="1:11" ht="15.75" thickBot="1" x14ac:dyDescent="0.3">
      <c r="A373" s="44" t="s">
        <v>1327</v>
      </c>
      <c r="B373" s="107" t="s">
        <v>1328</v>
      </c>
      <c r="C373" s="78" t="s">
        <v>837</v>
      </c>
      <c r="D373" s="108">
        <v>55374</v>
      </c>
      <c r="E373" s="78" t="s">
        <v>3240</v>
      </c>
      <c r="F373" s="78" t="s">
        <v>1885</v>
      </c>
      <c r="G373" s="78" t="s">
        <v>2974</v>
      </c>
      <c r="H373" s="78" t="s">
        <v>1643</v>
      </c>
      <c r="I373" s="78" t="s">
        <v>2483</v>
      </c>
      <c r="J373" s="118">
        <v>111</v>
      </c>
      <c r="K373" s="78" t="s">
        <v>1660</v>
      </c>
    </row>
    <row r="374" spans="1:11" ht="15.75" thickBot="1" x14ac:dyDescent="0.3">
      <c r="A374" s="44" t="s">
        <v>1375</v>
      </c>
      <c r="B374" s="107" t="s">
        <v>1376</v>
      </c>
      <c r="C374" s="78" t="s">
        <v>837</v>
      </c>
      <c r="D374" s="108">
        <v>59515</v>
      </c>
      <c r="E374" s="78" t="s">
        <v>3261</v>
      </c>
      <c r="F374" s="78" t="s">
        <v>1885</v>
      </c>
      <c r="G374" s="78" t="s">
        <v>2974</v>
      </c>
      <c r="H374" s="78" t="s">
        <v>1644</v>
      </c>
      <c r="I374" s="78" t="s">
        <v>1951</v>
      </c>
      <c r="J374" s="78" t="s">
        <v>1951</v>
      </c>
      <c r="K374" s="78" t="s">
        <v>1951</v>
      </c>
    </row>
    <row r="375" spans="1:11" ht="15.75" thickBot="1" x14ac:dyDescent="0.3">
      <c r="A375" s="44" t="s">
        <v>1379</v>
      </c>
      <c r="B375" s="107" t="s">
        <v>1380</v>
      </c>
      <c r="C375" s="78" t="s">
        <v>837</v>
      </c>
      <c r="D375" s="108">
        <v>52170</v>
      </c>
      <c r="E375" s="78" t="s">
        <v>3262</v>
      </c>
      <c r="F375" s="78" t="s">
        <v>1964</v>
      </c>
      <c r="G375" s="78" t="s">
        <v>2989</v>
      </c>
      <c r="H375" s="78" t="s">
        <v>1643</v>
      </c>
      <c r="I375" s="78" t="s">
        <v>2483</v>
      </c>
      <c r="J375" s="78" t="s">
        <v>3263</v>
      </c>
      <c r="K375" s="78" t="s">
        <v>1660</v>
      </c>
    </row>
    <row r="376" spans="1:11" ht="15.75" thickBot="1" x14ac:dyDescent="0.3">
      <c r="A376" s="44" t="s">
        <v>1389</v>
      </c>
      <c r="B376" s="107" t="s">
        <v>1390</v>
      </c>
      <c r="C376" s="78" t="s">
        <v>837</v>
      </c>
      <c r="D376" s="108">
        <v>124690</v>
      </c>
      <c r="E376" s="78" t="s">
        <v>2043</v>
      </c>
      <c r="F376" s="78" t="s">
        <v>2043</v>
      </c>
      <c r="G376" s="78" t="s">
        <v>2993</v>
      </c>
      <c r="H376" s="78" t="s">
        <v>1643</v>
      </c>
      <c r="I376" s="78" t="s">
        <v>2483</v>
      </c>
      <c r="J376" s="118">
        <v>50</v>
      </c>
      <c r="K376" s="78" t="s">
        <v>1643</v>
      </c>
    </row>
    <row r="377" spans="1:11" ht="15.75" thickBot="1" x14ac:dyDescent="0.3">
      <c r="A377" s="44" t="s">
        <v>1423</v>
      </c>
      <c r="B377" s="107" t="s">
        <v>1424</v>
      </c>
      <c r="C377" s="78" t="s">
        <v>837</v>
      </c>
      <c r="D377" s="108">
        <v>100485</v>
      </c>
      <c r="E377" s="78" t="s">
        <v>3283</v>
      </c>
      <c r="F377" s="78" t="s">
        <v>1885</v>
      </c>
      <c r="G377" s="78" t="s">
        <v>2974</v>
      </c>
      <c r="H377" s="78" t="s">
        <v>1644</v>
      </c>
      <c r="I377" s="78" t="s">
        <v>1951</v>
      </c>
      <c r="J377" s="78" t="s">
        <v>1951</v>
      </c>
      <c r="K377" s="78" t="s">
        <v>1643</v>
      </c>
    </row>
    <row r="378" spans="1:11" ht="15.75" thickBot="1" x14ac:dyDescent="0.3">
      <c r="A378" s="44" t="s">
        <v>1433</v>
      </c>
      <c r="B378" s="107" t="s">
        <v>1434</v>
      </c>
      <c r="C378" s="78" t="s">
        <v>837</v>
      </c>
      <c r="D378" s="108">
        <v>57236</v>
      </c>
      <c r="E378" s="78" t="s">
        <v>3289</v>
      </c>
      <c r="F378" s="78" t="s">
        <v>1885</v>
      </c>
      <c r="G378" s="78" t="s">
        <v>2974</v>
      </c>
      <c r="H378" s="78" t="s">
        <v>1643</v>
      </c>
      <c r="I378" s="78" t="s">
        <v>2483</v>
      </c>
      <c r="J378" s="78" t="s">
        <v>3290</v>
      </c>
      <c r="K378" s="78" t="s">
        <v>1660</v>
      </c>
    </row>
    <row r="379" spans="1:11" ht="15.75" thickBot="1" x14ac:dyDescent="0.3">
      <c r="A379" s="44" t="s">
        <v>1439</v>
      </c>
      <c r="B379" s="107" t="s">
        <v>1440</v>
      </c>
      <c r="C379" s="78" t="s">
        <v>837</v>
      </c>
      <c r="D379" s="108">
        <v>160312</v>
      </c>
      <c r="E379" s="78" t="s">
        <v>3292</v>
      </c>
      <c r="F379" s="78" t="s">
        <v>2740</v>
      </c>
      <c r="G379" s="78" t="s">
        <v>2974</v>
      </c>
      <c r="H379" s="78" t="s">
        <v>1643</v>
      </c>
      <c r="I379" s="78" t="s">
        <v>2483</v>
      </c>
      <c r="J379" s="118">
        <v>65</v>
      </c>
      <c r="K379" s="78" t="s">
        <v>1643</v>
      </c>
    </row>
    <row r="380" spans="1:11" ht="15.75" thickBot="1" x14ac:dyDescent="0.3">
      <c r="A380" s="44" t="s">
        <v>1441</v>
      </c>
      <c r="B380" s="107" t="s">
        <v>1442</v>
      </c>
      <c r="C380" s="78" t="s">
        <v>837</v>
      </c>
      <c r="D380" s="108">
        <v>59715</v>
      </c>
      <c r="E380" s="78" t="s">
        <v>3293</v>
      </c>
      <c r="F380" s="78" t="s">
        <v>1952</v>
      </c>
      <c r="G380" s="78" t="s">
        <v>2999</v>
      </c>
      <c r="H380" s="78" t="s">
        <v>1643</v>
      </c>
      <c r="I380" s="78" t="s">
        <v>2483</v>
      </c>
      <c r="J380" s="78" t="s">
        <v>3229</v>
      </c>
      <c r="K380" s="78" t="s">
        <v>1644</v>
      </c>
    </row>
    <row r="381" spans="1:11" ht="15.75" thickBot="1" x14ac:dyDescent="0.3">
      <c r="A381" s="44" t="s">
        <v>1470</v>
      </c>
      <c r="B381" s="107" t="s">
        <v>1471</v>
      </c>
      <c r="C381" s="78" t="s">
        <v>837</v>
      </c>
      <c r="D381" s="108">
        <v>73804</v>
      </c>
      <c r="E381" s="78" t="s">
        <v>3309</v>
      </c>
      <c r="F381" s="78" t="s">
        <v>1952</v>
      </c>
      <c r="G381" s="78" t="s">
        <v>2999</v>
      </c>
      <c r="H381" s="78" t="s">
        <v>1644</v>
      </c>
      <c r="I381" s="78" t="s">
        <v>1951</v>
      </c>
      <c r="J381" s="78" t="s">
        <v>1951</v>
      </c>
      <c r="K381" s="78" t="s">
        <v>1660</v>
      </c>
    </row>
    <row r="382" spans="1:11" ht="15.75" thickBot="1" x14ac:dyDescent="0.3">
      <c r="A382" s="44" t="s">
        <v>1482</v>
      </c>
      <c r="B382" s="107" t="s">
        <v>1483</v>
      </c>
      <c r="C382" s="78" t="s">
        <v>837</v>
      </c>
      <c r="D382" s="108">
        <v>75814</v>
      </c>
      <c r="E382" s="78" t="s">
        <v>2301</v>
      </c>
      <c r="F382" s="78" t="s">
        <v>1885</v>
      </c>
      <c r="G382" s="78" t="s">
        <v>2974</v>
      </c>
      <c r="H382" s="78" t="s">
        <v>1644</v>
      </c>
      <c r="I382" s="78" t="s">
        <v>1951</v>
      </c>
      <c r="J382" s="78" t="s">
        <v>1951</v>
      </c>
      <c r="K382" s="78" t="s">
        <v>1643</v>
      </c>
    </row>
    <row r="383" spans="1:11" ht="15.75" thickBot="1" x14ac:dyDescent="0.3">
      <c r="A383" s="44" t="s">
        <v>1496</v>
      </c>
      <c r="B383" s="107" t="s">
        <v>1497</v>
      </c>
      <c r="C383" s="78" t="s">
        <v>837</v>
      </c>
      <c r="D383" s="108">
        <v>129699</v>
      </c>
      <c r="E383" s="78" t="s">
        <v>3320</v>
      </c>
      <c r="F383" s="78" t="s">
        <v>1952</v>
      </c>
      <c r="G383" s="78" t="s">
        <v>2999</v>
      </c>
      <c r="H383" s="78" t="s">
        <v>1643</v>
      </c>
      <c r="I383" s="78" t="s">
        <v>2483</v>
      </c>
      <c r="J383" s="78" t="s">
        <v>3321</v>
      </c>
      <c r="K383" s="78" t="s">
        <v>1660</v>
      </c>
    </row>
    <row r="384" spans="1:11" ht="15.75" thickBot="1" x14ac:dyDescent="0.3">
      <c r="A384" s="44" t="s">
        <v>1512</v>
      </c>
      <c r="B384" s="107" t="s">
        <v>1513</v>
      </c>
      <c r="C384" s="78" t="s">
        <v>837</v>
      </c>
      <c r="D384" s="108">
        <v>63131</v>
      </c>
      <c r="E384" s="78" t="s">
        <v>3330</v>
      </c>
      <c r="F384" s="78" t="s">
        <v>1925</v>
      </c>
      <c r="G384" s="78" t="s">
        <v>2974</v>
      </c>
      <c r="H384" s="78" t="s">
        <v>1644</v>
      </c>
      <c r="I384" s="78" t="s">
        <v>1951</v>
      </c>
      <c r="J384" s="78" t="s">
        <v>1951</v>
      </c>
      <c r="K384" s="78" t="s">
        <v>3453</v>
      </c>
    </row>
    <row r="385" spans="1:11" ht="15.75" thickBot="1" x14ac:dyDescent="0.3">
      <c r="A385" s="44" t="s">
        <v>1538</v>
      </c>
      <c r="B385" s="107" t="s">
        <v>1539</v>
      </c>
      <c r="C385" s="78" t="s">
        <v>837</v>
      </c>
      <c r="D385" s="108">
        <v>97396</v>
      </c>
      <c r="E385" s="78" t="s">
        <v>3253</v>
      </c>
      <c r="F385" s="78" t="s">
        <v>2277</v>
      </c>
      <c r="G385" s="78" t="s">
        <v>2985</v>
      </c>
      <c r="H385" s="78" t="s">
        <v>1643</v>
      </c>
      <c r="I385" s="78" t="s">
        <v>2483</v>
      </c>
      <c r="J385" s="78" t="s">
        <v>3341</v>
      </c>
      <c r="K385" s="78" t="s">
        <v>1643</v>
      </c>
    </row>
    <row r="386" spans="1:11" ht="15.75" thickBot="1" x14ac:dyDescent="0.3">
      <c r="A386" s="44" t="s">
        <v>1540</v>
      </c>
      <c r="B386" s="107" t="s">
        <v>1541</v>
      </c>
      <c r="C386" s="78" t="s">
        <v>837</v>
      </c>
      <c r="D386" s="108">
        <v>72726</v>
      </c>
      <c r="E386" s="78" t="s">
        <v>3342</v>
      </c>
      <c r="F386" s="78" t="s">
        <v>1925</v>
      </c>
      <c r="G386" s="78" t="s">
        <v>2974</v>
      </c>
      <c r="H386" s="78" t="s">
        <v>1644</v>
      </c>
      <c r="I386" s="78" t="s">
        <v>1951</v>
      </c>
      <c r="J386" s="78" t="s">
        <v>1951</v>
      </c>
      <c r="K386" s="78" t="s">
        <v>1643</v>
      </c>
    </row>
    <row r="387" spans="1:11" ht="15.75" thickBot="1" x14ac:dyDescent="0.3">
      <c r="A387" s="44" t="s">
        <v>1542</v>
      </c>
      <c r="B387" s="107" t="s">
        <v>1543</v>
      </c>
      <c r="C387" s="78" t="s">
        <v>837</v>
      </c>
      <c r="D387" s="108">
        <v>80980</v>
      </c>
      <c r="E387" s="78" t="s">
        <v>3343</v>
      </c>
      <c r="F387" s="78" t="s">
        <v>1885</v>
      </c>
      <c r="G387" s="78" t="s">
        <v>2999</v>
      </c>
      <c r="H387" s="78" t="s">
        <v>1643</v>
      </c>
      <c r="I387" s="78" t="s">
        <v>2483</v>
      </c>
      <c r="J387" s="78" t="s">
        <v>3344</v>
      </c>
      <c r="K387" s="78" t="s">
        <v>1660</v>
      </c>
    </row>
    <row r="388" spans="1:11" ht="15.75" thickBot="1" x14ac:dyDescent="0.3">
      <c r="A388" s="44" t="s">
        <v>1564</v>
      </c>
      <c r="B388" s="107" t="s">
        <v>1565</v>
      </c>
      <c r="C388" s="78" t="s">
        <v>837</v>
      </c>
      <c r="D388" s="108">
        <v>134056</v>
      </c>
      <c r="E388" s="78" t="s">
        <v>3354</v>
      </c>
      <c r="F388" s="78" t="s">
        <v>1952</v>
      </c>
      <c r="G388" s="78" t="s">
        <v>2999</v>
      </c>
      <c r="H388" s="78" t="s">
        <v>1643</v>
      </c>
      <c r="I388" s="78" t="s">
        <v>2483</v>
      </c>
      <c r="J388" s="78" t="s">
        <v>3355</v>
      </c>
      <c r="K388" s="78" t="s">
        <v>1660</v>
      </c>
    </row>
    <row r="389" spans="1:11" ht="15.75" thickBot="1" x14ac:dyDescent="0.3">
      <c r="A389" s="44" t="s">
        <v>1566</v>
      </c>
      <c r="B389" s="107" t="s">
        <v>1567</v>
      </c>
      <c r="C389" s="78" t="s">
        <v>837</v>
      </c>
      <c r="D389" s="108">
        <v>71997</v>
      </c>
      <c r="E389" s="78" t="s">
        <v>2881</v>
      </c>
      <c r="F389" s="78" t="s">
        <v>1885</v>
      </c>
      <c r="G389" s="78" t="s">
        <v>2974</v>
      </c>
      <c r="H389" s="78" t="s">
        <v>1644</v>
      </c>
      <c r="I389" s="78" t="s">
        <v>1951</v>
      </c>
      <c r="J389" s="78" t="s">
        <v>1951</v>
      </c>
      <c r="K389" s="78" t="s">
        <v>1660</v>
      </c>
    </row>
    <row r="390" spans="1:11" ht="15.75" thickBot="1" x14ac:dyDescent="0.3">
      <c r="A390" s="44" t="s">
        <v>1574</v>
      </c>
      <c r="B390" s="107" t="s">
        <v>1575</v>
      </c>
      <c r="C390" s="78" t="s">
        <v>837</v>
      </c>
      <c r="D390" s="108">
        <v>71755</v>
      </c>
      <c r="E390" s="78" t="s">
        <v>2889</v>
      </c>
      <c r="F390" s="78" t="s">
        <v>1885</v>
      </c>
      <c r="G390" s="78" t="s">
        <v>2974</v>
      </c>
      <c r="H390" s="78" t="s">
        <v>1644</v>
      </c>
      <c r="I390" s="78" t="s">
        <v>1951</v>
      </c>
      <c r="J390" s="78" t="s">
        <v>1951</v>
      </c>
      <c r="K390" s="78" t="s">
        <v>1643</v>
      </c>
    </row>
    <row r="391" spans="1:11" ht="15.75" thickBot="1" x14ac:dyDescent="0.3">
      <c r="A391" s="44" t="s">
        <v>1594</v>
      </c>
      <c r="B391" s="107" t="s">
        <v>1595</v>
      </c>
      <c r="C391" s="78" t="s">
        <v>837</v>
      </c>
      <c r="D391" s="108">
        <v>89779</v>
      </c>
      <c r="E391" s="78" t="s">
        <v>3367</v>
      </c>
      <c r="F391" s="78" t="s">
        <v>1905</v>
      </c>
      <c r="G391" s="78" t="s">
        <v>2989</v>
      </c>
      <c r="H391" s="78" t="s">
        <v>1643</v>
      </c>
      <c r="I391" s="78" t="s">
        <v>2483</v>
      </c>
      <c r="J391" s="118">
        <v>150</v>
      </c>
      <c r="K391" s="78" t="s">
        <v>1660</v>
      </c>
    </row>
    <row r="392" spans="1:11" ht="15.75" thickBot="1" x14ac:dyDescent="0.3">
      <c r="A392" s="44" t="s">
        <v>1596</v>
      </c>
      <c r="B392" s="107" t="s">
        <v>1597</v>
      </c>
      <c r="C392" s="78" t="s">
        <v>837</v>
      </c>
      <c r="D392" s="108">
        <v>84094</v>
      </c>
      <c r="E392" s="78" t="s">
        <v>3368</v>
      </c>
      <c r="F392" s="78" t="s">
        <v>1925</v>
      </c>
      <c r="G392" s="78" t="s">
        <v>2974</v>
      </c>
      <c r="H392" s="78" t="s">
        <v>1643</v>
      </c>
      <c r="I392" s="78" t="s">
        <v>2483</v>
      </c>
      <c r="J392" s="118">
        <v>40</v>
      </c>
      <c r="K392" s="78" t="s">
        <v>1660</v>
      </c>
    </row>
    <row r="393" spans="1:11" ht="15.75" thickBot="1" x14ac:dyDescent="0.3">
      <c r="A393" s="44" t="s">
        <v>1602</v>
      </c>
      <c r="B393" s="107" t="s">
        <v>1603</v>
      </c>
      <c r="C393" s="78" t="s">
        <v>837</v>
      </c>
      <c r="D393" s="108">
        <v>82974</v>
      </c>
      <c r="E393" s="78" t="s">
        <v>2922</v>
      </c>
      <c r="F393" s="78" t="s">
        <v>1948</v>
      </c>
      <c r="G393" s="78" t="s">
        <v>2974</v>
      </c>
      <c r="H393" s="78" t="s">
        <v>1643</v>
      </c>
      <c r="I393" s="78" t="s">
        <v>2483</v>
      </c>
      <c r="J393" s="118">
        <v>150</v>
      </c>
      <c r="K393" s="78" t="s">
        <v>1660</v>
      </c>
    </row>
  </sheetData>
  <sortState xmlns:xlrd2="http://schemas.microsoft.com/office/spreadsheetml/2017/richdata2" ref="A4:K393">
    <sortCondition ref="C4:C393"/>
    <sortCondition ref="B4:B393"/>
  </sortState>
  <hyperlinks>
    <hyperlink ref="G1" location="'Table of Contents'!A1" display="Return to Table of Contents" xr:uid="{70C82BD1-690E-422C-8C6F-ED10123CCAF8}"/>
  </hyperlinks>
  <pageMargins left="0.7" right="0.7" top="0.75" bottom="0.75" header="0.3" footer="0.3"/>
  <pageSetup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B661A-C928-4CA4-AE81-29CFD1697552}">
  <sheetPr>
    <tabColor theme="3" tint="0.59999389629810485"/>
  </sheetPr>
  <dimension ref="A1:S397"/>
  <sheetViews>
    <sheetView workbookViewId="0">
      <pane ySplit="3" topLeftCell="A4" activePane="bottomLeft" state="frozen"/>
      <selection pane="bottomLeft" activeCell="B4" sqref="B4"/>
    </sheetView>
  </sheetViews>
  <sheetFormatPr defaultRowHeight="15" x14ac:dyDescent="0.25"/>
  <cols>
    <col min="1" max="1" width="15.28515625" customWidth="1"/>
    <col min="2" max="2" width="49" bestFit="1" customWidth="1"/>
    <col min="3" max="3" width="15.28515625" customWidth="1"/>
    <col min="4" max="4" width="14.85546875" customWidth="1"/>
    <col min="5" max="5" width="17.5703125" customWidth="1"/>
    <col min="6" max="6" width="27.5703125" customWidth="1"/>
    <col min="7" max="7" width="15.7109375" customWidth="1"/>
    <col min="8" max="8" width="13.85546875" customWidth="1"/>
    <col min="9" max="9" width="18.7109375" style="53" customWidth="1"/>
    <col min="10" max="10" width="15.7109375" style="53" customWidth="1"/>
    <col min="11" max="11" width="14.140625" customWidth="1"/>
    <col min="12" max="12" width="22.7109375" customWidth="1"/>
    <col min="13" max="13" width="17.85546875" customWidth="1"/>
    <col min="14" max="14" width="14.85546875" customWidth="1"/>
    <col min="15" max="15" width="18" customWidth="1"/>
    <col min="16" max="16" width="13.85546875" customWidth="1"/>
    <col min="17" max="17" width="16.140625" customWidth="1"/>
    <col min="18" max="18" width="20" customWidth="1"/>
    <col min="19" max="19" width="14" customWidth="1"/>
  </cols>
  <sheetData>
    <row r="1" spans="1:19" ht="18.75" x14ac:dyDescent="0.3">
      <c r="B1" s="56" t="s">
        <v>3449</v>
      </c>
      <c r="D1" s="54" t="s">
        <v>11</v>
      </c>
      <c r="G1" s="55" t="s">
        <v>13</v>
      </c>
    </row>
    <row r="3" spans="1:19" s="39" customFormat="1" ht="72.75" customHeight="1" thickBot="1" x14ac:dyDescent="0.3">
      <c r="A3" s="57" t="s">
        <v>784</v>
      </c>
      <c r="B3" s="57" t="s">
        <v>785</v>
      </c>
      <c r="C3" s="57" t="s">
        <v>786</v>
      </c>
      <c r="D3" s="57" t="s">
        <v>1604</v>
      </c>
      <c r="E3" s="57" t="s">
        <v>3371</v>
      </c>
      <c r="F3" s="57" t="s">
        <v>3372</v>
      </c>
      <c r="G3" s="57" t="s">
        <v>3373</v>
      </c>
      <c r="H3" s="57" t="s">
        <v>3374</v>
      </c>
      <c r="I3" s="188" t="s">
        <v>3375</v>
      </c>
      <c r="J3" s="188" t="s">
        <v>3376</v>
      </c>
      <c r="K3" s="57" t="s">
        <v>3377</v>
      </c>
      <c r="L3" s="57" t="s">
        <v>3378</v>
      </c>
      <c r="M3" s="57" t="s">
        <v>3379</v>
      </c>
      <c r="N3" s="57" t="s">
        <v>3380</v>
      </c>
      <c r="O3" s="57" t="s">
        <v>3381</v>
      </c>
      <c r="P3" s="57" t="s">
        <v>3382</v>
      </c>
      <c r="Q3" s="57" t="s">
        <v>3383</v>
      </c>
      <c r="R3" s="57" t="s">
        <v>3384</v>
      </c>
      <c r="S3" s="57" t="s">
        <v>3385</v>
      </c>
    </row>
    <row r="4" spans="1:19" ht="15.75" thickBot="1" x14ac:dyDescent="0.3">
      <c r="A4" s="44" t="s">
        <v>815</v>
      </c>
      <c r="B4" s="48" t="s">
        <v>816</v>
      </c>
      <c r="C4" s="44" t="s">
        <v>817</v>
      </c>
      <c r="D4" s="73">
        <v>1285</v>
      </c>
      <c r="E4" s="73">
        <v>0</v>
      </c>
      <c r="F4" s="189">
        <v>0</v>
      </c>
      <c r="G4" s="189">
        <v>0</v>
      </c>
      <c r="H4" s="73">
        <v>1</v>
      </c>
      <c r="I4" s="189">
        <v>40</v>
      </c>
      <c r="J4" s="189">
        <v>1</v>
      </c>
      <c r="K4" s="73">
        <v>1</v>
      </c>
      <c r="L4" s="189">
        <v>40</v>
      </c>
      <c r="M4" s="189">
        <v>1</v>
      </c>
      <c r="N4" s="73">
        <v>6</v>
      </c>
      <c r="O4" s="189">
        <v>48</v>
      </c>
      <c r="P4" s="189">
        <v>1.2</v>
      </c>
      <c r="Q4" s="73">
        <v>7</v>
      </c>
      <c r="R4" s="189">
        <v>88</v>
      </c>
      <c r="S4" s="189">
        <v>2.2000000000000002</v>
      </c>
    </row>
    <row r="5" spans="1:19" ht="15.75" thickBot="1" x14ac:dyDescent="0.3">
      <c r="A5" s="44" t="s">
        <v>840</v>
      </c>
      <c r="B5" s="48" t="s">
        <v>841</v>
      </c>
      <c r="C5" s="44" t="s">
        <v>817</v>
      </c>
      <c r="D5" s="73">
        <v>3248</v>
      </c>
      <c r="E5" s="73">
        <v>0</v>
      </c>
      <c r="F5" s="189">
        <v>0</v>
      </c>
      <c r="G5" s="189">
        <v>0</v>
      </c>
      <c r="H5" s="73">
        <v>1</v>
      </c>
      <c r="I5" s="189">
        <v>4</v>
      </c>
      <c r="J5" s="189">
        <v>0.1</v>
      </c>
      <c r="K5" s="73">
        <v>2</v>
      </c>
      <c r="L5" s="189">
        <v>44</v>
      </c>
      <c r="M5" s="189">
        <v>1.1000000000000001</v>
      </c>
      <c r="N5" s="73">
        <v>1</v>
      </c>
      <c r="O5" s="189">
        <v>5</v>
      </c>
      <c r="P5" s="189">
        <v>0.125</v>
      </c>
      <c r="Q5" s="73">
        <v>3</v>
      </c>
      <c r="R5" s="189">
        <v>49</v>
      </c>
      <c r="S5" s="189">
        <v>1.2250000000000001</v>
      </c>
    </row>
    <row r="6" spans="1:19" ht="15.75" thickBot="1" x14ac:dyDescent="0.3">
      <c r="A6" s="44" t="s">
        <v>863</v>
      </c>
      <c r="B6" s="48" t="s">
        <v>864</v>
      </c>
      <c r="C6" s="44" t="s">
        <v>817</v>
      </c>
      <c r="D6" s="73">
        <v>657</v>
      </c>
      <c r="E6" s="74">
        <v>0</v>
      </c>
      <c r="F6" s="189">
        <v>0</v>
      </c>
      <c r="G6" s="189">
        <v>0</v>
      </c>
      <c r="H6" s="73">
        <v>3</v>
      </c>
      <c r="I6" s="189">
        <v>60</v>
      </c>
      <c r="J6" s="189">
        <v>1.5</v>
      </c>
      <c r="K6" s="73">
        <v>3</v>
      </c>
      <c r="L6" s="189">
        <v>60</v>
      </c>
      <c r="M6" s="189">
        <v>1.5</v>
      </c>
      <c r="N6" s="73">
        <v>1</v>
      </c>
      <c r="O6" s="189">
        <v>6</v>
      </c>
      <c r="P6" s="189">
        <v>0.15</v>
      </c>
      <c r="Q6" s="73">
        <v>4</v>
      </c>
      <c r="R6" s="189">
        <v>66</v>
      </c>
      <c r="S6" s="189">
        <v>1.65</v>
      </c>
    </row>
    <row r="7" spans="1:19" ht="15.75" thickBot="1" x14ac:dyDescent="0.3">
      <c r="A7" s="44" t="s">
        <v>865</v>
      </c>
      <c r="B7" s="48" t="s">
        <v>866</v>
      </c>
      <c r="C7" s="44" t="s">
        <v>817</v>
      </c>
      <c r="D7" s="73">
        <v>3769</v>
      </c>
      <c r="E7" s="73">
        <v>0</v>
      </c>
      <c r="F7" s="189">
        <v>0</v>
      </c>
      <c r="G7" s="189">
        <v>0</v>
      </c>
      <c r="H7" s="73">
        <v>1</v>
      </c>
      <c r="I7" s="189">
        <v>40</v>
      </c>
      <c r="J7" s="189">
        <v>1</v>
      </c>
      <c r="K7" s="73">
        <v>1</v>
      </c>
      <c r="L7" s="189">
        <v>40</v>
      </c>
      <c r="M7" s="189">
        <v>1</v>
      </c>
      <c r="N7" s="73">
        <v>1</v>
      </c>
      <c r="O7" s="189">
        <v>54</v>
      </c>
      <c r="P7" s="189">
        <v>1.35</v>
      </c>
      <c r="Q7" s="73">
        <v>3</v>
      </c>
      <c r="R7" s="189">
        <v>94</v>
      </c>
      <c r="S7" s="189">
        <v>2.35</v>
      </c>
    </row>
    <row r="8" spans="1:19" ht="15.75" thickBot="1" x14ac:dyDescent="0.3">
      <c r="A8" s="44" t="s">
        <v>869</v>
      </c>
      <c r="B8" s="48" t="s">
        <v>870</v>
      </c>
      <c r="C8" s="44" t="s">
        <v>817</v>
      </c>
      <c r="D8" s="73">
        <v>3150</v>
      </c>
      <c r="E8" s="73">
        <v>0</v>
      </c>
      <c r="F8" s="189">
        <v>0</v>
      </c>
      <c r="G8" s="189">
        <v>0</v>
      </c>
      <c r="H8" s="73">
        <v>1</v>
      </c>
      <c r="I8" s="189">
        <v>25</v>
      </c>
      <c r="J8" s="189">
        <v>0.625</v>
      </c>
      <c r="K8" s="73">
        <v>0</v>
      </c>
      <c r="L8" s="189">
        <v>25</v>
      </c>
      <c r="M8" s="189">
        <v>0.625</v>
      </c>
      <c r="N8" s="73">
        <v>0</v>
      </c>
      <c r="O8" s="189">
        <v>0</v>
      </c>
      <c r="P8" s="189">
        <v>0</v>
      </c>
      <c r="Q8" s="73">
        <v>1</v>
      </c>
      <c r="R8" s="189">
        <v>25</v>
      </c>
      <c r="S8" s="189">
        <v>0.625</v>
      </c>
    </row>
    <row r="9" spans="1:19" ht="15.75" thickBot="1" x14ac:dyDescent="0.3">
      <c r="A9" s="44" t="s">
        <v>875</v>
      </c>
      <c r="B9" s="48" t="s">
        <v>876</v>
      </c>
      <c r="C9" s="44" t="s">
        <v>817</v>
      </c>
      <c r="D9" s="73">
        <v>3623</v>
      </c>
      <c r="E9" s="73">
        <v>0</v>
      </c>
      <c r="F9" s="189">
        <v>0</v>
      </c>
      <c r="G9" s="189">
        <v>0</v>
      </c>
      <c r="H9" s="73">
        <v>5</v>
      </c>
      <c r="I9" s="189">
        <v>69</v>
      </c>
      <c r="J9" s="189">
        <v>1.7250000000000001</v>
      </c>
      <c r="K9" s="73">
        <v>5</v>
      </c>
      <c r="L9" s="189">
        <v>69</v>
      </c>
      <c r="M9" s="189">
        <v>1.7250000000000001</v>
      </c>
      <c r="N9" s="73">
        <v>1</v>
      </c>
      <c r="O9" s="189">
        <v>4</v>
      </c>
      <c r="P9" s="189">
        <v>0.1</v>
      </c>
      <c r="Q9" s="73">
        <v>6</v>
      </c>
      <c r="R9" s="189">
        <v>73</v>
      </c>
      <c r="S9" s="189">
        <v>1.825</v>
      </c>
    </row>
    <row r="10" spans="1:19" ht="15.75" thickBot="1" x14ac:dyDescent="0.3">
      <c r="A10" s="44" t="s">
        <v>883</v>
      </c>
      <c r="B10" s="48" t="s">
        <v>884</v>
      </c>
      <c r="C10" s="44" t="s">
        <v>817</v>
      </c>
      <c r="D10" s="73">
        <v>2937</v>
      </c>
      <c r="E10" s="73">
        <v>0</v>
      </c>
      <c r="F10" s="189">
        <v>0</v>
      </c>
      <c r="G10" s="189">
        <v>0</v>
      </c>
      <c r="H10" s="73">
        <v>3</v>
      </c>
      <c r="I10" s="189">
        <v>49</v>
      </c>
      <c r="J10" s="189">
        <v>1.2250000000000001</v>
      </c>
      <c r="K10" s="73">
        <v>3</v>
      </c>
      <c r="L10" s="189">
        <v>49</v>
      </c>
      <c r="M10" s="189">
        <v>1.2250000000000001</v>
      </c>
      <c r="N10" s="73">
        <v>0</v>
      </c>
      <c r="O10" s="189">
        <v>0</v>
      </c>
      <c r="P10" s="189">
        <v>0</v>
      </c>
      <c r="Q10" s="73">
        <v>3</v>
      </c>
      <c r="R10" s="189">
        <v>49</v>
      </c>
      <c r="S10" s="189">
        <v>1.2250000000000001</v>
      </c>
    </row>
    <row r="11" spans="1:19" ht="15.75" thickBot="1" x14ac:dyDescent="0.3">
      <c r="A11" s="44" t="s">
        <v>915</v>
      </c>
      <c r="B11" s="48" t="s">
        <v>916</v>
      </c>
      <c r="C11" s="44" t="s">
        <v>817</v>
      </c>
      <c r="D11" s="73">
        <v>2611</v>
      </c>
      <c r="E11" s="73">
        <v>0</v>
      </c>
      <c r="F11" s="189">
        <v>0</v>
      </c>
      <c r="G11" s="189">
        <v>0</v>
      </c>
      <c r="H11" s="73">
        <v>0</v>
      </c>
      <c r="I11" s="189">
        <v>28</v>
      </c>
      <c r="J11" s="189">
        <v>0.7</v>
      </c>
      <c r="K11" s="73">
        <v>2</v>
      </c>
      <c r="L11" s="189">
        <v>28</v>
      </c>
      <c r="M11" s="189">
        <v>0.7</v>
      </c>
      <c r="N11" s="73">
        <v>0</v>
      </c>
      <c r="O11" s="189">
        <v>0</v>
      </c>
      <c r="P11" s="189">
        <v>0</v>
      </c>
      <c r="Q11" s="73">
        <v>2</v>
      </c>
      <c r="R11" s="189">
        <v>28</v>
      </c>
      <c r="S11" s="189">
        <v>0.7</v>
      </c>
    </row>
    <row r="12" spans="1:19" ht="15.75" thickBot="1" x14ac:dyDescent="0.3">
      <c r="A12" s="44" t="s">
        <v>929</v>
      </c>
      <c r="B12" s="48" t="s">
        <v>930</v>
      </c>
      <c r="C12" s="44" t="s">
        <v>817</v>
      </c>
      <c r="D12" s="73">
        <v>722</v>
      </c>
      <c r="E12" s="73">
        <v>0</v>
      </c>
      <c r="F12" s="189">
        <v>0</v>
      </c>
      <c r="G12" s="189">
        <v>0</v>
      </c>
      <c r="H12" s="73">
        <v>1</v>
      </c>
      <c r="I12" s="189">
        <v>20</v>
      </c>
      <c r="J12" s="189">
        <v>0.5</v>
      </c>
      <c r="K12" s="73">
        <v>1</v>
      </c>
      <c r="L12" s="189">
        <v>20</v>
      </c>
      <c r="M12" s="189">
        <v>0.5</v>
      </c>
      <c r="N12" s="73">
        <v>1</v>
      </c>
      <c r="O12" s="189">
        <v>4</v>
      </c>
      <c r="P12" s="189">
        <v>0.1</v>
      </c>
      <c r="Q12" s="73">
        <v>2</v>
      </c>
      <c r="R12" s="189">
        <v>24</v>
      </c>
      <c r="S12" s="189">
        <v>0.6</v>
      </c>
    </row>
    <row r="13" spans="1:19" ht="15.75" thickBot="1" x14ac:dyDescent="0.3">
      <c r="A13" s="44" t="s">
        <v>939</v>
      </c>
      <c r="B13" s="48" t="s">
        <v>940</v>
      </c>
      <c r="C13" s="44" t="s">
        <v>817</v>
      </c>
      <c r="D13" s="73">
        <v>3995</v>
      </c>
      <c r="E13" s="73">
        <v>0</v>
      </c>
      <c r="F13" s="189">
        <v>0</v>
      </c>
      <c r="G13" s="189">
        <v>0</v>
      </c>
      <c r="H13" s="73">
        <v>2</v>
      </c>
      <c r="I13" s="189">
        <v>69</v>
      </c>
      <c r="J13" s="189">
        <v>1.7250000000000001</v>
      </c>
      <c r="K13" s="73">
        <v>2</v>
      </c>
      <c r="L13" s="189">
        <v>69</v>
      </c>
      <c r="M13" s="189">
        <v>1.7250000000000001</v>
      </c>
      <c r="N13" s="73">
        <v>1</v>
      </c>
      <c r="O13" s="189">
        <v>21</v>
      </c>
      <c r="P13" s="189">
        <v>0.52500000000000002</v>
      </c>
      <c r="Q13" s="73">
        <v>3</v>
      </c>
      <c r="R13" s="189">
        <v>90</v>
      </c>
      <c r="S13" s="189">
        <v>2.25</v>
      </c>
    </row>
    <row r="14" spans="1:19" ht="15.75" thickBot="1" x14ac:dyDescent="0.3">
      <c r="A14" s="44" t="s">
        <v>947</v>
      </c>
      <c r="B14" s="48" t="s">
        <v>948</v>
      </c>
      <c r="C14" s="44" t="s">
        <v>817</v>
      </c>
      <c r="D14" s="73">
        <v>1854</v>
      </c>
      <c r="E14" s="73">
        <v>0</v>
      </c>
      <c r="F14" s="189">
        <v>0</v>
      </c>
      <c r="G14" s="189">
        <v>0</v>
      </c>
      <c r="H14" s="73">
        <v>1</v>
      </c>
      <c r="I14" s="189">
        <v>35</v>
      </c>
      <c r="J14" s="189">
        <v>0.875</v>
      </c>
      <c r="K14" s="73">
        <v>1</v>
      </c>
      <c r="L14" s="189">
        <v>35</v>
      </c>
      <c r="M14" s="189">
        <v>0.875</v>
      </c>
      <c r="N14" s="73">
        <v>0</v>
      </c>
      <c r="O14" s="189">
        <v>0</v>
      </c>
      <c r="P14" s="189">
        <v>0</v>
      </c>
      <c r="Q14" s="73">
        <v>1</v>
      </c>
      <c r="R14" s="189">
        <v>35</v>
      </c>
      <c r="S14" s="189">
        <v>0.875</v>
      </c>
    </row>
    <row r="15" spans="1:19" ht="15.75" thickBot="1" x14ac:dyDescent="0.3">
      <c r="A15" s="44" t="s">
        <v>967</v>
      </c>
      <c r="B15" s="48" t="s">
        <v>968</v>
      </c>
      <c r="C15" s="44" t="s">
        <v>817</v>
      </c>
      <c r="D15" s="73">
        <v>3803</v>
      </c>
      <c r="E15" s="73">
        <v>0</v>
      </c>
      <c r="F15" s="189">
        <v>0</v>
      </c>
      <c r="G15" s="189">
        <v>0</v>
      </c>
      <c r="H15" s="73">
        <v>4</v>
      </c>
      <c r="I15" s="189">
        <v>85</v>
      </c>
      <c r="J15" s="189">
        <v>2.125</v>
      </c>
      <c r="K15" s="73">
        <v>4</v>
      </c>
      <c r="L15" s="189">
        <v>85</v>
      </c>
      <c r="M15" s="189">
        <v>2.125</v>
      </c>
      <c r="N15" s="73">
        <v>1</v>
      </c>
      <c r="O15" s="189">
        <v>8</v>
      </c>
      <c r="P15" s="189">
        <v>0.2</v>
      </c>
      <c r="Q15" s="73">
        <v>4</v>
      </c>
      <c r="R15" s="189">
        <v>93</v>
      </c>
      <c r="S15" s="189">
        <v>2.3250000000000002</v>
      </c>
    </row>
    <row r="16" spans="1:19" ht="15.75" thickBot="1" x14ac:dyDescent="0.3">
      <c r="A16" s="44" t="s">
        <v>987</v>
      </c>
      <c r="B16" s="48" t="s">
        <v>988</v>
      </c>
      <c r="C16" s="44" t="s">
        <v>817</v>
      </c>
      <c r="D16" s="73">
        <v>3228</v>
      </c>
      <c r="E16" s="74">
        <v>0</v>
      </c>
      <c r="F16" s="189">
        <v>0</v>
      </c>
      <c r="G16" s="189">
        <v>0</v>
      </c>
      <c r="H16" s="73">
        <v>2</v>
      </c>
      <c r="I16" s="189">
        <v>41</v>
      </c>
      <c r="J16" s="189">
        <v>1.0249999999999999</v>
      </c>
      <c r="K16" s="73">
        <v>2</v>
      </c>
      <c r="L16" s="189">
        <v>41</v>
      </c>
      <c r="M16" s="189">
        <v>1.0249999999999999</v>
      </c>
      <c r="N16" s="73">
        <v>2</v>
      </c>
      <c r="O16" s="189">
        <v>32.5</v>
      </c>
      <c r="P16" s="189">
        <v>0.8125</v>
      </c>
      <c r="Q16" s="73">
        <v>4</v>
      </c>
      <c r="R16" s="189">
        <v>73.5</v>
      </c>
      <c r="S16" s="189">
        <v>1.8374999999999999</v>
      </c>
    </row>
    <row r="17" spans="1:19" ht="15.75" thickBot="1" x14ac:dyDescent="0.3">
      <c r="A17" s="44" t="s">
        <v>989</v>
      </c>
      <c r="B17" s="48" t="s">
        <v>990</v>
      </c>
      <c r="C17" s="44" t="s">
        <v>817</v>
      </c>
      <c r="D17" s="73">
        <v>3453</v>
      </c>
      <c r="E17" s="73">
        <v>0</v>
      </c>
      <c r="F17" s="189">
        <v>0</v>
      </c>
      <c r="G17" s="189">
        <v>0</v>
      </c>
      <c r="H17" s="73">
        <v>1</v>
      </c>
      <c r="I17" s="189">
        <v>30</v>
      </c>
      <c r="J17" s="189">
        <v>0.75</v>
      </c>
      <c r="K17" s="73">
        <v>1</v>
      </c>
      <c r="L17" s="189">
        <v>30</v>
      </c>
      <c r="M17" s="189">
        <v>0.75</v>
      </c>
      <c r="N17" s="73">
        <v>7</v>
      </c>
      <c r="O17" s="189">
        <v>105.5</v>
      </c>
      <c r="P17" s="189">
        <v>2.6375000000000002</v>
      </c>
      <c r="Q17" s="73">
        <v>8</v>
      </c>
      <c r="R17" s="189">
        <v>135.5</v>
      </c>
      <c r="S17" s="189">
        <v>3.3875000000000002</v>
      </c>
    </row>
    <row r="18" spans="1:19" ht="15.75" thickBot="1" x14ac:dyDescent="0.3">
      <c r="A18" s="44" t="s">
        <v>991</v>
      </c>
      <c r="B18" s="48" t="s">
        <v>992</v>
      </c>
      <c r="C18" s="44" t="s">
        <v>817</v>
      </c>
      <c r="D18" s="73">
        <v>1236</v>
      </c>
      <c r="E18" s="73">
        <v>0</v>
      </c>
      <c r="F18" s="189">
        <v>0</v>
      </c>
      <c r="G18" s="189">
        <v>0</v>
      </c>
      <c r="H18" s="73">
        <v>2</v>
      </c>
      <c r="I18" s="189">
        <v>46</v>
      </c>
      <c r="J18" s="189">
        <v>1.1499999999999999</v>
      </c>
      <c r="K18" s="73">
        <v>2</v>
      </c>
      <c r="L18" s="189">
        <v>46</v>
      </c>
      <c r="M18" s="189">
        <v>1.1499999999999999</v>
      </c>
      <c r="N18" s="73">
        <v>0</v>
      </c>
      <c r="O18" s="189">
        <v>0</v>
      </c>
      <c r="P18" s="189">
        <v>0</v>
      </c>
      <c r="Q18" s="73">
        <v>2</v>
      </c>
      <c r="R18" s="189">
        <v>46</v>
      </c>
      <c r="S18" s="189">
        <v>1.1499999999999999</v>
      </c>
    </row>
    <row r="19" spans="1:19" ht="15.75" thickBot="1" x14ac:dyDescent="0.3">
      <c r="A19" s="44" t="s">
        <v>1039</v>
      </c>
      <c r="B19" s="48" t="s">
        <v>1040</v>
      </c>
      <c r="C19" s="44" t="s">
        <v>817</v>
      </c>
      <c r="D19" s="73">
        <v>2769</v>
      </c>
      <c r="E19" s="73">
        <v>0</v>
      </c>
      <c r="F19" s="189">
        <v>0</v>
      </c>
      <c r="G19" s="189">
        <v>0</v>
      </c>
      <c r="H19" s="73">
        <v>1</v>
      </c>
      <c r="I19" s="189">
        <v>35</v>
      </c>
      <c r="J19" s="189">
        <v>0.875</v>
      </c>
      <c r="K19" s="73">
        <v>1</v>
      </c>
      <c r="L19" s="189">
        <v>35</v>
      </c>
      <c r="M19" s="189">
        <v>0.875</v>
      </c>
      <c r="N19" s="73">
        <v>0</v>
      </c>
      <c r="O19" s="189">
        <v>0</v>
      </c>
      <c r="P19" s="189">
        <v>0</v>
      </c>
      <c r="Q19" s="73">
        <v>1</v>
      </c>
      <c r="R19" s="189">
        <v>35</v>
      </c>
      <c r="S19" s="189">
        <v>0.875</v>
      </c>
    </row>
    <row r="20" spans="1:19" ht="15.75" thickBot="1" x14ac:dyDescent="0.3">
      <c r="A20" s="44" t="s">
        <v>1041</v>
      </c>
      <c r="B20" s="48" t="s">
        <v>1042</v>
      </c>
      <c r="C20" s="44" t="s">
        <v>817</v>
      </c>
      <c r="D20" s="73">
        <v>3738</v>
      </c>
      <c r="E20" s="73">
        <v>0</v>
      </c>
      <c r="F20" s="189">
        <v>0</v>
      </c>
      <c r="G20" s="189">
        <v>0</v>
      </c>
      <c r="H20" s="73">
        <v>1</v>
      </c>
      <c r="I20" s="189">
        <v>25</v>
      </c>
      <c r="J20" s="189">
        <v>0.625</v>
      </c>
      <c r="K20" s="73">
        <v>1</v>
      </c>
      <c r="L20" s="189">
        <v>25</v>
      </c>
      <c r="M20" s="189">
        <v>0.625</v>
      </c>
      <c r="N20" s="73">
        <v>4</v>
      </c>
      <c r="O20" s="189">
        <v>42</v>
      </c>
      <c r="P20" s="189">
        <v>1.05</v>
      </c>
      <c r="Q20" s="73">
        <v>5</v>
      </c>
      <c r="R20" s="189">
        <v>67</v>
      </c>
      <c r="S20" s="189">
        <v>1.675</v>
      </c>
    </row>
    <row r="21" spans="1:19" ht="15.75" thickBot="1" x14ac:dyDescent="0.3">
      <c r="A21" s="44" t="s">
        <v>1049</v>
      </c>
      <c r="B21" s="48" t="s">
        <v>1050</v>
      </c>
      <c r="C21" s="44" t="s">
        <v>817</v>
      </c>
      <c r="D21" s="73">
        <v>3112</v>
      </c>
      <c r="E21" s="73">
        <v>0</v>
      </c>
      <c r="F21" s="189">
        <v>0</v>
      </c>
      <c r="G21" s="189">
        <v>0</v>
      </c>
      <c r="H21" s="73">
        <v>1</v>
      </c>
      <c r="I21" s="189">
        <v>0</v>
      </c>
      <c r="J21" s="189">
        <v>0</v>
      </c>
      <c r="K21" s="73">
        <v>1</v>
      </c>
      <c r="L21" s="189">
        <v>30</v>
      </c>
      <c r="M21" s="189">
        <v>0.75</v>
      </c>
      <c r="N21" s="73">
        <v>5</v>
      </c>
      <c r="O21" s="189">
        <v>70.5</v>
      </c>
      <c r="P21" s="189">
        <v>1.7625</v>
      </c>
      <c r="Q21" s="73">
        <v>6</v>
      </c>
      <c r="R21" s="189">
        <v>100.5</v>
      </c>
      <c r="S21" s="189">
        <v>2.5125000000000002</v>
      </c>
    </row>
    <row r="22" spans="1:19" ht="15.75" thickBot="1" x14ac:dyDescent="0.3">
      <c r="A22" s="44" t="s">
        <v>1083</v>
      </c>
      <c r="B22" s="48" t="s">
        <v>1084</v>
      </c>
      <c r="C22" s="44" t="s">
        <v>817</v>
      </c>
      <c r="D22" s="73">
        <v>3043</v>
      </c>
      <c r="E22" s="73">
        <v>0</v>
      </c>
      <c r="F22" s="189">
        <v>0</v>
      </c>
      <c r="G22" s="189">
        <v>0</v>
      </c>
      <c r="H22" s="73">
        <v>1</v>
      </c>
      <c r="I22" s="189">
        <v>40</v>
      </c>
      <c r="J22" s="189">
        <v>1</v>
      </c>
      <c r="K22" s="73">
        <v>1</v>
      </c>
      <c r="L22" s="189">
        <v>40</v>
      </c>
      <c r="M22" s="189">
        <v>1</v>
      </c>
      <c r="N22" s="73">
        <v>0</v>
      </c>
      <c r="O22" s="189">
        <v>0</v>
      </c>
      <c r="P22" s="189">
        <v>0</v>
      </c>
      <c r="Q22" s="73">
        <v>1</v>
      </c>
      <c r="R22" s="189">
        <v>40</v>
      </c>
      <c r="S22" s="189">
        <v>1</v>
      </c>
    </row>
    <row r="23" spans="1:19" ht="15.75" thickBot="1" x14ac:dyDescent="0.3">
      <c r="A23" s="44" t="s">
        <v>1091</v>
      </c>
      <c r="B23" s="48" t="s">
        <v>1092</v>
      </c>
      <c r="C23" s="44" t="s">
        <v>817</v>
      </c>
      <c r="D23" s="73">
        <v>2047</v>
      </c>
      <c r="E23" s="73">
        <v>0</v>
      </c>
      <c r="F23" s="189">
        <v>0</v>
      </c>
      <c r="G23" s="189">
        <v>0</v>
      </c>
      <c r="H23" s="73">
        <v>1</v>
      </c>
      <c r="I23" s="189">
        <v>20</v>
      </c>
      <c r="J23" s="189">
        <v>0.5</v>
      </c>
      <c r="K23" s="73">
        <v>1</v>
      </c>
      <c r="L23" s="189">
        <v>20</v>
      </c>
      <c r="M23" s="189">
        <v>0.5</v>
      </c>
      <c r="N23" s="73">
        <v>2</v>
      </c>
      <c r="O23" s="189">
        <v>3</v>
      </c>
      <c r="P23" s="189">
        <v>7.4999999999999997E-2</v>
      </c>
      <c r="Q23" s="73">
        <v>3</v>
      </c>
      <c r="R23" s="189">
        <v>23</v>
      </c>
      <c r="S23" s="189">
        <v>0.57499999999999996</v>
      </c>
    </row>
    <row r="24" spans="1:19" ht="15.75" thickBot="1" x14ac:dyDescent="0.3">
      <c r="A24" s="44" t="s">
        <v>1101</v>
      </c>
      <c r="B24" s="48" t="s">
        <v>1102</v>
      </c>
      <c r="C24" s="44" t="s">
        <v>817</v>
      </c>
      <c r="D24" s="73">
        <v>1828</v>
      </c>
      <c r="E24" s="73">
        <v>0</v>
      </c>
      <c r="F24" s="189">
        <v>0</v>
      </c>
      <c r="G24" s="189">
        <v>0</v>
      </c>
      <c r="H24" s="73">
        <v>2</v>
      </c>
      <c r="I24" s="189">
        <v>30</v>
      </c>
      <c r="J24" s="189">
        <v>0.75</v>
      </c>
      <c r="K24" s="73">
        <v>2</v>
      </c>
      <c r="L24" s="189">
        <v>30</v>
      </c>
      <c r="M24" s="189">
        <v>0.75</v>
      </c>
      <c r="N24" s="74">
        <v>0</v>
      </c>
      <c r="O24" s="189">
        <v>0</v>
      </c>
      <c r="P24" s="189">
        <v>0</v>
      </c>
      <c r="Q24" s="73">
        <v>2</v>
      </c>
      <c r="R24" s="189">
        <v>30</v>
      </c>
      <c r="S24" s="189">
        <v>0.75</v>
      </c>
    </row>
    <row r="25" spans="1:19" ht="15.75" thickBot="1" x14ac:dyDescent="0.3">
      <c r="A25" s="44" t="s">
        <v>1149</v>
      </c>
      <c r="B25" s="48" t="s">
        <v>1150</v>
      </c>
      <c r="C25" s="44" t="s">
        <v>817</v>
      </c>
      <c r="D25" s="73">
        <v>3926</v>
      </c>
      <c r="E25" s="73">
        <v>0</v>
      </c>
      <c r="F25" s="189">
        <v>0</v>
      </c>
      <c r="G25" s="189">
        <v>0</v>
      </c>
      <c r="H25" s="73">
        <v>5</v>
      </c>
      <c r="I25" s="189">
        <v>87</v>
      </c>
      <c r="J25" s="189">
        <v>2.1749999999999998</v>
      </c>
      <c r="K25" s="73">
        <v>5</v>
      </c>
      <c r="L25" s="189">
        <v>87</v>
      </c>
      <c r="M25" s="189">
        <v>2.1749999999999998</v>
      </c>
      <c r="N25" s="73">
        <v>6</v>
      </c>
      <c r="O25" s="189">
        <v>26</v>
      </c>
      <c r="P25" s="189">
        <v>0.65</v>
      </c>
      <c r="Q25" s="73">
        <v>11</v>
      </c>
      <c r="R25" s="189">
        <v>113</v>
      </c>
      <c r="S25" s="189">
        <v>2.8250000000000002</v>
      </c>
    </row>
    <row r="26" spans="1:19" ht="15.75" thickBot="1" x14ac:dyDescent="0.3">
      <c r="A26" s="44" t="s">
        <v>1165</v>
      </c>
      <c r="B26" s="48" t="s">
        <v>1166</v>
      </c>
      <c r="C26" s="44" t="s">
        <v>817</v>
      </c>
      <c r="D26" s="73">
        <v>3038</v>
      </c>
      <c r="E26" s="73">
        <v>0</v>
      </c>
      <c r="F26" s="189">
        <v>0</v>
      </c>
      <c r="G26" s="189">
        <v>0</v>
      </c>
      <c r="H26" s="73">
        <v>3</v>
      </c>
      <c r="I26" s="189">
        <v>71</v>
      </c>
      <c r="J26" s="189">
        <v>1.7749999999999999</v>
      </c>
      <c r="K26" s="73">
        <v>3</v>
      </c>
      <c r="L26" s="189">
        <v>71</v>
      </c>
      <c r="M26" s="189">
        <v>1.7749999999999999</v>
      </c>
      <c r="N26" s="73">
        <v>0</v>
      </c>
      <c r="O26" s="189">
        <v>0</v>
      </c>
      <c r="P26" s="189">
        <v>0</v>
      </c>
      <c r="Q26" s="73">
        <v>3</v>
      </c>
      <c r="R26" s="189">
        <v>71</v>
      </c>
      <c r="S26" s="189">
        <v>1.7749999999999999</v>
      </c>
    </row>
    <row r="27" spans="1:19" ht="15.75" thickBot="1" x14ac:dyDescent="0.3">
      <c r="A27" s="44" t="s">
        <v>1195</v>
      </c>
      <c r="B27" s="48" t="s">
        <v>1196</v>
      </c>
      <c r="C27" s="44" t="s">
        <v>817</v>
      </c>
      <c r="D27" s="73">
        <v>3730</v>
      </c>
      <c r="E27" s="73">
        <v>0</v>
      </c>
      <c r="F27" s="189">
        <v>0</v>
      </c>
      <c r="G27" s="189">
        <v>0</v>
      </c>
      <c r="H27" s="73">
        <v>1</v>
      </c>
      <c r="I27" s="189">
        <v>20</v>
      </c>
      <c r="J27" s="189">
        <v>0.5</v>
      </c>
      <c r="K27" s="73">
        <v>1</v>
      </c>
      <c r="L27" s="189">
        <v>20</v>
      </c>
      <c r="M27" s="189">
        <v>0.5</v>
      </c>
      <c r="N27" s="73">
        <v>2</v>
      </c>
      <c r="O27" s="189">
        <v>30</v>
      </c>
      <c r="P27" s="189">
        <v>0.75</v>
      </c>
      <c r="Q27" s="73">
        <v>2</v>
      </c>
      <c r="R27" s="189">
        <v>50</v>
      </c>
      <c r="S27" s="189">
        <v>1.25</v>
      </c>
    </row>
    <row r="28" spans="1:19" ht="15.75" thickBot="1" x14ac:dyDescent="0.3">
      <c r="A28" s="44" t="s">
        <v>1205</v>
      </c>
      <c r="B28" s="48" t="s">
        <v>1206</v>
      </c>
      <c r="C28" s="44" t="s">
        <v>817</v>
      </c>
      <c r="D28" s="73">
        <v>1900</v>
      </c>
      <c r="E28" s="73">
        <v>0</v>
      </c>
      <c r="F28" s="189">
        <v>0</v>
      </c>
      <c r="G28" s="189">
        <v>0</v>
      </c>
      <c r="H28" s="73">
        <v>1</v>
      </c>
      <c r="I28" s="189">
        <v>38</v>
      </c>
      <c r="J28" s="189">
        <v>0.95</v>
      </c>
      <c r="K28" s="73">
        <v>3</v>
      </c>
      <c r="L28" s="189">
        <v>70</v>
      </c>
      <c r="M28" s="189">
        <v>1.75</v>
      </c>
      <c r="N28" s="73">
        <v>2</v>
      </c>
      <c r="O28" s="189">
        <v>38</v>
      </c>
      <c r="P28" s="189">
        <v>0.95</v>
      </c>
      <c r="Q28" s="73">
        <v>4</v>
      </c>
      <c r="R28" s="189">
        <v>108</v>
      </c>
      <c r="S28" s="189">
        <v>2.7</v>
      </c>
    </row>
    <row r="29" spans="1:19" ht="15.75" thickBot="1" x14ac:dyDescent="0.3">
      <c r="A29" s="44" t="s">
        <v>1243</v>
      </c>
      <c r="B29" s="48" t="s">
        <v>1244</v>
      </c>
      <c r="C29" s="44" t="s">
        <v>817</v>
      </c>
      <c r="D29" s="73">
        <v>492</v>
      </c>
      <c r="E29" s="73">
        <v>0</v>
      </c>
      <c r="F29" s="189">
        <v>0</v>
      </c>
      <c r="G29" s="189">
        <v>0</v>
      </c>
      <c r="H29" s="73">
        <v>1</v>
      </c>
      <c r="I29" s="189">
        <v>40</v>
      </c>
      <c r="J29" s="189">
        <v>1</v>
      </c>
      <c r="K29" s="73">
        <v>1</v>
      </c>
      <c r="L29" s="189">
        <v>40</v>
      </c>
      <c r="M29" s="189">
        <v>1</v>
      </c>
      <c r="N29" s="73">
        <v>1</v>
      </c>
      <c r="O29" s="189">
        <v>30</v>
      </c>
      <c r="P29" s="189">
        <v>0.75</v>
      </c>
      <c r="Q29" s="73">
        <v>2</v>
      </c>
      <c r="R29" s="189">
        <v>70</v>
      </c>
      <c r="S29" s="189">
        <v>1.75</v>
      </c>
    </row>
    <row r="30" spans="1:19" ht="15.75" thickBot="1" x14ac:dyDescent="0.3">
      <c r="A30" s="44" t="s">
        <v>1259</v>
      </c>
      <c r="B30" s="48" t="s">
        <v>1260</v>
      </c>
      <c r="C30" s="44" t="s">
        <v>817</v>
      </c>
      <c r="D30" s="73">
        <v>3115</v>
      </c>
      <c r="E30" s="73">
        <v>0</v>
      </c>
      <c r="F30" s="189">
        <v>0</v>
      </c>
      <c r="G30" s="189">
        <v>0</v>
      </c>
      <c r="H30" s="73">
        <v>2</v>
      </c>
      <c r="I30" s="189">
        <v>34</v>
      </c>
      <c r="J30" s="189">
        <v>0.85</v>
      </c>
      <c r="K30" s="73">
        <v>2</v>
      </c>
      <c r="L30" s="189">
        <v>34</v>
      </c>
      <c r="M30" s="189">
        <v>0.85</v>
      </c>
      <c r="N30" s="73">
        <v>1</v>
      </c>
      <c r="O30" s="189">
        <v>1</v>
      </c>
      <c r="P30" s="189">
        <v>2.5000000000000001E-2</v>
      </c>
      <c r="Q30" s="73">
        <v>3</v>
      </c>
      <c r="R30" s="189">
        <v>35</v>
      </c>
      <c r="S30" s="189">
        <v>0.875</v>
      </c>
    </row>
    <row r="31" spans="1:19" ht="15.75" thickBot="1" x14ac:dyDescent="0.3">
      <c r="A31" s="44" t="s">
        <v>1275</v>
      </c>
      <c r="B31" s="48" t="s">
        <v>1276</v>
      </c>
      <c r="C31" s="44" t="s">
        <v>817</v>
      </c>
      <c r="D31" s="73">
        <v>2440</v>
      </c>
      <c r="E31" s="73">
        <v>0</v>
      </c>
      <c r="F31" s="189">
        <v>0</v>
      </c>
      <c r="G31" s="189">
        <v>0</v>
      </c>
      <c r="H31" s="73">
        <v>1</v>
      </c>
      <c r="I31" s="189">
        <v>23</v>
      </c>
      <c r="J31" s="189">
        <v>0.57499999999999996</v>
      </c>
      <c r="K31" s="73">
        <v>1</v>
      </c>
      <c r="L31" s="189">
        <v>23</v>
      </c>
      <c r="M31" s="189">
        <v>0.57499999999999996</v>
      </c>
      <c r="N31" s="73">
        <v>0</v>
      </c>
      <c r="O31" s="189">
        <v>0</v>
      </c>
      <c r="P31" s="189">
        <v>0</v>
      </c>
      <c r="Q31" s="73">
        <v>1</v>
      </c>
      <c r="R31" s="189">
        <v>23</v>
      </c>
      <c r="S31" s="189">
        <v>0.57499999999999996</v>
      </c>
    </row>
    <row r="32" spans="1:19" ht="15.75" thickBot="1" x14ac:dyDescent="0.3">
      <c r="A32" s="44" t="s">
        <v>1283</v>
      </c>
      <c r="B32" s="48" t="s">
        <v>1284</v>
      </c>
      <c r="C32" s="44" t="s">
        <v>817</v>
      </c>
      <c r="D32" s="73">
        <v>3433</v>
      </c>
      <c r="E32" s="73">
        <v>0</v>
      </c>
      <c r="F32" s="189">
        <v>0</v>
      </c>
      <c r="G32" s="189">
        <v>0</v>
      </c>
      <c r="H32" s="73">
        <v>1</v>
      </c>
      <c r="I32" s="189">
        <v>28</v>
      </c>
      <c r="J32" s="189">
        <v>0.7</v>
      </c>
      <c r="K32" s="73">
        <v>1</v>
      </c>
      <c r="L32" s="189">
        <v>24</v>
      </c>
      <c r="M32" s="189">
        <v>0.6</v>
      </c>
      <c r="N32" s="73">
        <v>2</v>
      </c>
      <c r="O32" s="189">
        <v>13.5</v>
      </c>
      <c r="P32" s="189">
        <v>0.33750000000000002</v>
      </c>
      <c r="Q32" s="73">
        <v>4</v>
      </c>
      <c r="R32" s="189">
        <v>37.5</v>
      </c>
      <c r="S32" s="189">
        <v>0.9375</v>
      </c>
    </row>
    <row r="33" spans="1:19" ht="15.75" thickBot="1" x14ac:dyDescent="0.3">
      <c r="A33" s="44" t="s">
        <v>1303</v>
      </c>
      <c r="B33" s="48" t="s">
        <v>1304</v>
      </c>
      <c r="C33" s="44" t="s">
        <v>817</v>
      </c>
      <c r="D33" s="73">
        <v>1848</v>
      </c>
      <c r="E33" s="73">
        <v>0</v>
      </c>
      <c r="F33" s="189">
        <v>0</v>
      </c>
      <c r="G33" s="189">
        <v>0</v>
      </c>
      <c r="H33" s="73">
        <v>3</v>
      </c>
      <c r="I33" s="189">
        <v>40</v>
      </c>
      <c r="J33" s="189">
        <v>1</v>
      </c>
      <c r="K33" s="73">
        <v>2</v>
      </c>
      <c r="L33" s="189">
        <v>40</v>
      </c>
      <c r="M33" s="189">
        <v>1</v>
      </c>
      <c r="N33" s="73">
        <v>0</v>
      </c>
      <c r="O33" s="189">
        <v>0</v>
      </c>
      <c r="P33" s="189">
        <v>0</v>
      </c>
      <c r="Q33" s="73">
        <v>3</v>
      </c>
      <c r="R33" s="189">
        <v>40</v>
      </c>
      <c r="S33" s="189">
        <v>1</v>
      </c>
    </row>
    <row r="34" spans="1:19" ht="15.75" thickBot="1" x14ac:dyDescent="0.3">
      <c r="A34" s="44" t="s">
        <v>1319</v>
      </c>
      <c r="B34" s="48" t="s">
        <v>1320</v>
      </c>
      <c r="C34" s="44" t="s">
        <v>817</v>
      </c>
      <c r="D34" s="73">
        <v>3645</v>
      </c>
      <c r="E34" s="73">
        <v>0</v>
      </c>
      <c r="F34" s="189">
        <v>0</v>
      </c>
      <c r="G34" s="189">
        <v>0</v>
      </c>
      <c r="H34" s="73">
        <v>4</v>
      </c>
      <c r="I34" s="189">
        <v>118</v>
      </c>
      <c r="J34" s="189">
        <v>2.95</v>
      </c>
      <c r="K34" s="73">
        <v>4</v>
      </c>
      <c r="L34" s="189">
        <v>117</v>
      </c>
      <c r="M34" s="189">
        <v>2.9249999999999998</v>
      </c>
      <c r="N34" s="73">
        <v>4</v>
      </c>
      <c r="O34" s="189">
        <v>44</v>
      </c>
      <c r="P34" s="189">
        <v>1.1000000000000001</v>
      </c>
      <c r="Q34" s="73">
        <v>8</v>
      </c>
      <c r="R34" s="189">
        <v>161</v>
      </c>
      <c r="S34" s="189">
        <v>4.0250000000000004</v>
      </c>
    </row>
    <row r="35" spans="1:19" ht="15.75" thickBot="1" x14ac:dyDescent="0.3">
      <c r="A35" s="44" t="s">
        <v>1333</v>
      </c>
      <c r="B35" s="48" t="s">
        <v>1334</v>
      </c>
      <c r="C35" s="44" t="s">
        <v>817</v>
      </c>
      <c r="D35" s="73">
        <v>3679</v>
      </c>
      <c r="E35" s="73">
        <v>0</v>
      </c>
      <c r="F35" s="189">
        <v>0</v>
      </c>
      <c r="G35" s="189">
        <v>0</v>
      </c>
      <c r="H35" s="73">
        <v>1</v>
      </c>
      <c r="I35" s="189">
        <v>40</v>
      </c>
      <c r="J35" s="189">
        <v>1</v>
      </c>
      <c r="K35" s="73">
        <v>1</v>
      </c>
      <c r="L35" s="189">
        <v>40</v>
      </c>
      <c r="M35" s="189">
        <v>1</v>
      </c>
      <c r="N35" s="73">
        <v>1</v>
      </c>
      <c r="O35" s="189">
        <v>20</v>
      </c>
      <c r="P35" s="189">
        <v>0.5</v>
      </c>
      <c r="Q35" s="73">
        <v>2</v>
      </c>
      <c r="R35" s="189">
        <v>60</v>
      </c>
      <c r="S35" s="189">
        <v>1.5</v>
      </c>
    </row>
    <row r="36" spans="1:19" ht="15.75" thickBot="1" x14ac:dyDescent="0.3">
      <c r="A36" s="44" t="s">
        <v>1337</v>
      </c>
      <c r="B36" s="48" t="s">
        <v>1338</v>
      </c>
      <c r="C36" s="44" t="s">
        <v>817</v>
      </c>
      <c r="D36" s="73">
        <v>1830</v>
      </c>
      <c r="E36" s="73">
        <v>0</v>
      </c>
      <c r="F36" s="189">
        <v>0</v>
      </c>
      <c r="G36" s="189">
        <v>0</v>
      </c>
      <c r="H36" s="73">
        <v>1</v>
      </c>
      <c r="I36" s="189">
        <v>14</v>
      </c>
      <c r="J36" s="189">
        <v>0.35</v>
      </c>
      <c r="K36" s="73">
        <v>1</v>
      </c>
      <c r="L36" s="189">
        <v>14</v>
      </c>
      <c r="M36" s="189">
        <v>0.35</v>
      </c>
      <c r="N36" s="73">
        <v>1</v>
      </c>
      <c r="O36" s="189">
        <v>6</v>
      </c>
      <c r="P36" s="189">
        <v>0.15</v>
      </c>
      <c r="Q36" s="73">
        <v>2</v>
      </c>
      <c r="R36" s="189">
        <v>20</v>
      </c>
      <c r="S36" s="189">
        <v>0.5</v>
      </c>
    </row>
    <row r="37" spans="1:19" ht="15.75" thickBot="1" x14ac:dyDescent="0.3">
      <c r="A37" s="44" t="s">
        <v>1359</v>
      </c>
      <c r="B37" s="48" t="s">
        <v>1360</v>
      </c>
      <c r="C37" s="44" t="s">
        <v>817</v>
      </c>
      <c r="D37" s="73">
        <v>1939</v>
      </c>
      <c r="E37" s="73">
        <v>0</v>
      </c>
      <c r="F37" s="189">
        <v>0</v>
      </c>
      <c r="G37" s="189">
        <v>0</v>
      </c>
      <c r="H37" s="73">
        <v>1</v>
      </c>
      <c r="I37" s="189">
        <v>40</v>
      </c>
      <c r="J37" s="189">
        <v>1</v>
      </c>
      <c r="K37" s="73">
        <v>6</v>
      </c>
      <c r="L37" s="189">
        <v>95.5</v>
      </c>
      <c r="M37" s="189">
        <v>2.3875000000000002</v>
      </c>
      <c r="N37" s="73">
        <v>0</v>
      </c>
      <c r="O37" s="189">
        <v>0</v>
      </c>
      <c r="P37" s="189">
        <v>0</v>
      </c>
      <c r="Q37" s="73">
        <v>6</v>
      </c>
      <c r="R37" s="189">
        <v>95.5</v>
      </c>
      <c r="S37" s="189">
        <v>2.3875000000000002</v>
      </c>
    </row>
    <row r="38" spans="1:19" ht="15.75" thickBot="1" x14ac:dyDescent="0.3">
      <c r="A38" s="44" t="s">
        <v>1397</v>
      </c>
      <c r="B38" s="48" t="s">
        <v>1398</v>
      </c>
      <c r="C38" s="44" t="s">
        <v>817</v>
      </c>
      <c r="D38" s="73">
        <v>3739</v>
      </c>
      <c r="E38" s="73">
        <v>0</v>
      </c>
      <c r="F38" s="189">
        <v>0</v>
      </c>
      <c r="G38" s="189">
        <v>0</v>
      </c>
      <c r="H38" s="73">
        <v>1</v>
      </c>
      <c r="I38" s="189">
        <v>20.6</v>
      </c>
      <c r="J38" s="189">
        <v>0.51500000000000001</v>
      </c>
      <c r="K38" s="73">
        <v>1</v>
      </c>
      <c r="L38" s="189">
        <v>20.6</v>
      </c>
      <c r="M38" s="189">
        <v>0.51500000000000001</v>
      </c>
      <c r="N38" s="73">
        <v>6</v>
      </c>
      <c r="O38" s="189">
        <v>32.96</v>
      </c>
      <c r="P38" s="189">
        <v>0.82399999999999995</v>
      </c>
      <c r="Q38" s="73">
        <v>7</v>
      </c>
      <c r="R38" s="189">
        <v>53.56</v>
      </c>
      <c r="S38" s="189">
        <v>1.339</v>
      </c>
    </row>
    <row r="39" spans="1:19" ht="15.75" thickBot="1" x14ac:dyDescent="0.3">
      <c r="A39" s="44" t="s">
        <v>1407</v>
      </c>
      <c r="B39" s="48" t="s">
        <v>1408</v>
      </c>
      <c r="C39" s="44" t="s">
        <v>817</v>
      </c>
      <c r="D39" s="73">
        <v>1508</v>
      </c>
      <c r="E39" s="73">
        <v>0</v>
      </c>
      <c r="F39" s="189">
        <v>0</v>
      </c>
      <c r="G39" s="189">
        <v>0</v>
      </c>
      <c r="H39" s="73">
        <v>1</v>
      </c>
      <c r="I39" s="189">
        <v>18</v>
      </c>
      <c r="J39" s="189">
        <v>0.45</v>
      </c>
      <c r="K39" s="73">
        <v>1</v>
      </c>
      <c r="L39" s="189">
        <v>18</v>
      </c>
      <c r="M39" s="189">
        <v>0.45</v>
      </c>
      <c r="N39" s="73">
        <v>0</v>
      </c>
      <c r="O39" s="189">
        <v>0</v>
      </c>
      <c r="P39" s="189">
        <v>0</v>
      </c>
      <c r="Q39" s="73">
        <v>1</v>
      </c>
      <c r="R39" s="189">
        <v>18</v>
      </c>
      <c r="S39" s="189">
        <v>0.45</v>
      </c>
    </row>
    <row r="40" spans="1:19" ht="15.75" thickBot="1" x14ac:dyDescent="0.3">
      <c r="A40" s="44" t="s">
        <v>1409</v>
      </c>
      <c r="B40" s="48" t="s">
        <v>1410</v>
      </c>
      <c r="C40" s="44" t="s">
        <v>817</v>
      </c>
      <c r="D40" s="73">
        <v>3731</v>
      </c>
      <c r="E40" s="73">
        <v>0</v>
      </c>
      <c r="F40" s="189">
        <v>0</v>
      </c>
      <c r="G40" s="189">
        <v>0</v>
      </c>
      <c r="H40" s="73">
        <v>1</v>
      </c>
      <c r="I40" s="189">
        <v>28</v>
      </c>
      <c r="J40" s="189">
        <v>0.7</v>
      </c>
      <c r="K40" s="73">
        <v>1</v>
      </c>
      <c r="L40" s="189">
        <v>28</v>
      </c>
      <c r="M40" s="189">
        <v>0.7</v>
      </c>
      <c r="N40" s="73">
        <v>2</v>
      </c>
      <c r="O40" s="189">
        <v>27</v>
      </c>
      <c r="P40" s="189">
        <v>0.67500000000000004</v>
      </c>
      <c r="Q40" s="73">
        <v>3</v>
      </c>
      <c r="R40" s="189">
        <v>55</v>
      </c>
      <c r="S40" s="189">
        <v>1.375</v>
      </c>
    </row>
    <row r="41" spans="1:19" ht="15.75" thickBot="1" x14ac:dyDescent="0.3">
      <c r="A41" s="44" t="s">
        <v>1413</v>
      </c>
      <c r="B41" s="48" t="s">
        <v>1414</v>
      </c>
      <c r="C41" s="44" t="s">
        <v>817</v>
      </c>
      <c r="D41" s="73">
        <v>3674</v>
      </c>
      <c r="E41" s="73">
        <v>0</v>
      </c>
      <c r="F41" s="189">
        <v>0</v>
      </c>
      <c r="G41" s="189">
        <v>0</v>
      </c>
      <c r="H41" s="73">
        <v>1</v>
      </c>
      <c r="I41" s="189">
        <v>32</v>
      </c>
      <c r="J41" s="189">
        <v>0.8</v>
      </c>
      <c r="K41" s="73">
        <v>1</v>
      </c>
      <c r="L41" s="189">
        <v>32</v>
      </c>
      <c r="M41" s="189">
        <v>0.8</v>
      </c>
      <c r="N41" s="73">
        <v>4</v>
      </c>
      <c r="O41" s="189">
        <v>46</v>
      </c>
      <c r="P41" s="189">
        <v>1.1499999999999999</v>
      </c>
      <c r="Q41" s="73">
        <v>5</v>
      </c>
      <c r="R41" s="189">
        <v>78</v>
      </c>
      <c r="S41" s="189">
        <v>1.95</v>
      </c>
    </row>
    <row r="42" spans="1:19" ht="15.75" thickBot="1" x14ac:dyDescent="0.3">
      <c r="A42" s="44" t="s">
        <v>1415</v>
      </c>
      <c r="B42" s="48" t="s">
        <v>1416</v>
      </c>
      <c r="C42" s="44" t="s">
        <v>817</v>
      </c>
      <c r="D42" s="73">
        <v>882</v>
      </c>
      <c r="E42" s="73">
        <v>0</v>
      </c>
      <c r="F42" s="189">
        <v>0</v>
      </c>
      <c r="G42" s="189">
        <v>0</v>
      </c>
      <c r="H42" s="73">
        <v>1</v>
      </c>
      <c r="I42" s="189">
        <v>26</v>
      </c>
      <c r="J42" s="189">
        <v>0.65</v>
      </c>
      <c r="K42" s="73">
        <v>1</v>
      </c>
      <c r="L42" s="189">
        <v>26</v>
      </c>
      <c r="M42" s="189">
        <v>0.65</v>
      </c>
      <c r="N42" s="73">
        <v>0</v>
      </c>
      <c r="O42" s="189">
        <v>0</v>
      </c>
      <c r="P42" s="189">
        <v>0</v>
      </c>
      <c r="Q42" s="73">
        <v>1</v>
      </c>
      <c r="R42" s="189">
        <v>26</v>
      </c>
      <c r="S42" s="189">
        <v>0.65</v>
      </c>
    </row>
    <row r="43" spans="1:19" ht="15.75" thickBot="1" x14ac:dyDescent="0.3">
      <c r="A43" s="44" t="s">
        <v>1465</v>
      </c>
      <c r="B43" s="48" t="s">
        <v>1466</v>
      </c>
      <c r="C43" s="44" t="s">
        <v>817</v>
      </c>
      <c r="D43" s="73">
        <v>3138</v>
      </c>
      <c r="E43" s="73">
        <v>0</v>
      </c>
      <c r="F43" s="189">
        <v>0</v>
      </c>
      <c r="G43" s="189">
        <v>0</v>
      </c>
      <c r="H43" s="73">
        <v>1</v>
      </c>
      <c r="I43" s="189">
        <v>25</v>
      </c>
      <c r="J43" s="189">
        <v>0.625</v>
      </c>
      <c r="K43" s="73">
        <v>1</v>
      </c>
      <c r="L43" s="189">
        <v>25</v>
      </c>
      <c r="M43" s="189">
        <v>0.625</v>
      </c>
      <c r="N43" s="73">
        <v>3</v>
      </c>
      <c r="O43" s="189">
        <v>37</v>
      </c>
      <c r="P43" s="189">
        <v>0.92500000000000004</v>
      </c>
      <c r="Q43" s="73">
        <v>4</v>
      </c>
      <c r="R43" s="189">
        <v>62</v>
      </c>
      <c r="S43" s="189">
        <v>1.55</v>
      </c>
    </row>
    <row r="44" spans="1:19" ht="15.75" thickBot="1" x14ac:dyDescent="0.3">
      <c r="A44" s="44" t="s">
        <v>1476</v>
      </c>
      <c r="B44" s="48" t="s">
        <v>1477</v>
      </c>
      <c r="C44" s="44" t="s">
        <v>817</v>
      </c>
      <c r="D44" s="73">
        <v>3428</v>
      </c>
      <c r="E44" s="73">
        <v>0</v>
      </c>
      <c r="F44" s="189">
        <v>0</v>
      </c>
      <c r="G44" s="189">
        <v>0</v>
      </c>
      <c r="H44" s="73">
        <v>2</v>
      </c>
      <c r="I44" s="189">
        <v>51</v>
      </c>
      <c r="J44" s="189">
        <v>1.2749999999999999</v>
      </c>
      <c r="K44" s="73">
        <v>2</v>
      </c>
      <c r="L44" s="189">
        <v>51</v>
      </c>
      <c r="M44" s="189">
        <v>1.2749999999999999</v>
      </c>
      <c r="N44" s="73">
        <v>1</v>
      </c>
      <c r="O44" s="189">
        <v>4</v>
      </c>
      <c r="P44" s="189">
        <v>0.1</v>
      </c>
      <c r="Q44" s="73">
        <v>3</v>
      </c>
      <c r="R44" s="189">
        <v>55</v>
      </c>
      <c r="S44" s="189">
        <v>1.375</v>
      </c>
    </row>
    <row r="45" spans="1:19" ht="15.75" thickBot="1" x14ac:dyDescent="0.3">
      <c r="A45" s="44" t="s">
        <v>1478</v>
      </c>
      <c r="B45" s="48" t="s">
        <v>1479</v>
      </c>
      <c r="C45" s="44" t="s">
        <v>817</v>
      </c>
      <c r="D45" s="73">
        <v>1932</v>
      </c>
      <c r="E45" s="73">
        <v>0</v>
      </c>
      <c r="F45" s="189">
        <v>0</v>
      </c>
      <c r="G45" s="189">
        <v>0</v>
      </c>
      <c r="H45" s="73">
        <v>1</v>
      </c>
      <c r="I45" s="189">
        <v>26</v>
      </c>
      <c r="J45" s="189">
        <v>0.65</v>
      </c>
      <c r="K45" s="73">
        <v>1</v>
      </c>
      <c r="L45" s="189">
        <v>26</v>
      </c>
      <c r="M45" s="189">
        <v>0.65</v>
      </c>
      <c r="N45" s="73">
        <v>1</v>
      </c>
      <c r="O45" s="189">
        <v>10</v>
      </c>
      <c r="P45" s="189">
        <v>0.25</v>
      </c>
      <c r="Q45" s="73">
        <v>2</v>
      </c>
      <c r="R45" s="189">
        <v>36</v>
      </c>
      <c r="S45" s="189">
        <v>0.9</v>
      </c>
    </row>
    <row r="46" spans="1:19" ht="15.75" thickBot="1" x14ac:dyDescent="0.3">
      <c r="A46" s="44" t="s">
        <v>1500</v>
      </c>
      <c r="B46" s="48" t="s">
        <v>1501</v>
      </c>
      <c r="C46" s="44" t="s">
        <v>817</v>
      </c>
      <c r="D46" s="73">
        <v>2387</v>
      </c>
      <c r="E46" s="73">
        <v>0</v>
      </c>
      <c r="F46" s="189">
        <v>0</v>
      </c>
      <c r="G46" s="189">
        <v>0</v>
      </c>
      <c r="H46" s="73">
        <v>2</v>
      </c>
      <c r="I46" s="189">
        <v>56</v>
      </c>
      <c r="J46" s="189">
        <v>1.4</v>
      </c>
      <c r="K46" s="73">
        <v>2</v>
      </c>
      <c r="L46" s="189">
        <v>56</v>
      </c>
      <c r="M46" s="189">
        <v>1.4</v>
      </c>
      <c r="N46" s="73">
        <v>3</v>
      </c>
      <c r="O46" s="189">
        <v>32</v>
      </c>
      <c r="P46" s="189">
        <v>0.8</v>
      </c>
      <c r="Q46" s="73">
        <v>5</v>
      </c>
      <c r="R46" s="189">
        <v>88</v>
      </c>
      <c r="S46" s="189">
        <v>2.2000000000000002</v>
      </c>
    </row>
    <row r="47" spans="1:19" ht="15.75" thickBot="1" x14ac:dyDescent="0.3">
      <c r="A47" s="44" t="s">
        <v>1518</v>
      </c>
      <c r="B47" s="48" t="s">
        <v>1519</v>
      </c>
      <c r="C47" s="44" t="s">
        <v>817</v>
      </c>
      <c r="D47" s="73">
        <v>1873</v>
      </c>
      <c r="E47" s="73">
        <v>0</v>
      </c>
      <c r="F47" s="189">
        <v>0</v>
      </c>
      <c r="G47" s="189">
        <v>0</v>
      </c>
      <c r="H47" s="73">
        <v>1</v>
      </c>
      <c r="I47" s="189">
        <v>26</v>
      </c>
      <c r="J47" s="189">
        <v>0.65</v>
      </c>
      <c r="K47" s="73">
        <v>1</v>
      </c>
      <c r="L47" s="189">
        <v>26</v>
      </c>
      <c r="M47" s="189">
        <v>0.65</v>
      </c>
      <c r="N47" s="73">
        <v>3</v>
      </c>
      <c r="O47" s="189">
        <v>11</v>
      </c>
      <c r="P47" s="189">
        <v>0.27500000000000002</v>
      </c>
      <c r="Q47" s="73">
        <v>4</v>
      </c>
      <c r="R47" s="189">
        <v>37</v>
      </c>
      <c r="S47" s="189">
        <v>0.92500000000000004</v>
      </c>
    </row>
    <row r="48" spans="1:19" ht="15.75" thickBot="1" x14ac:dyDescent="0.3">
      <c r="A48" s="44" t="s">
        <v>1536</v>
      </c>
      <c r="B48" s="48" t="s">
        <v>1537</v>
      </c>
      <c r="C48" s="44" t="s">
        <v>817</v>
      </c>
      <c r="D48" s="73">
        <v>1652</v>
      </c>
      <c r="E48" s="73">
        <v>0</v>
      </c>
      <c r="F48" s="189">
        <v>0</v>
      </c>
      <c r="G48" s="189">
        <v>0</v>
      </c>
      <c r="H48" s="73">
        <v>2</v>
      </c>
      <c r="I48" s="189">
        <v>38</v>
      </c>
      <c r="J48" s="189">
        <v>0.95</v>
      </c>
      <c r="K48" s="73">
        <v>2</v>
      </c>
      <c r="L48" s="189">
        <v>38</v>
      </c>
      <c r="M48" s="189">
        <v>0.95</v>
      </c>
      <c r="N48" s="73">
        <v>0</v>
      </c>
      <c r="O48" s="189">
        <v>0</v>
      </c>
      <c r="P48" s="189">
        <v>0</v>
      </c>
      <c r="Q48" s="73">
        <v>2</v>
      </c>
      <c r="R48" s="189">
        <v>38</v>
      </c>
      <c r="S48" s="189">
        <v>0.95</v>
      </c>
    </row>
    <row r="49" spans="1:19" ht="15.75" thickBot="1" x14ac:dyDescent="0.3">
      <c r="A49" s="44" t="s">
        <v>1548</v>
      </c>
      <c r="B49" s="48" t="s">
        <v>1549</v>
      </c>
      <c r="C49" s="44" t="s">
        <v>817</v>
      </c>
      <c r="D49" s="73">
        <v>3895</v>
      </c>
      <c r="E49" s="73">
        <v>0</v>
      </c>
      <c r="F49" s="189">
        <v>0</v>
      </c>
      <c r="G49" s="189">
        <v>0</v>
      </c>
      <c r="H49" s="73">
        <v>4</v>
      </c>
      <c r="I49" s="189">
        <v>67</v>
      </c>
      <c r="J49" s="189">
        <v>1.675</v>
      </c>
      <c r="K49" s="73">
        <v>4</v>
      </c>
      <c r="L49" s="189">
        <v>67</v>
      </c>
      <c r="M49" s="189">
        <v>1.675</v>
      </c>
      <c r="N49" s="73">
        <v>0</v>
      </c>
      <c r="O49" s="189">
        <v>0</v>
      </c>
      <c r="P49" s="189">
        <v>0</v>
      </c>
      <c r="Q49" s="73">
        <v>4</v>
      </c>
      <c r="R49" s="189">
        <v>67</v>
      </c>
      <c r="S49" s="189">
        <v>1.675</v>
      </c>
    </row>
    <row r="50" spans="1:19" ht="15.75" thickBot="1" x14ac:dyDescent="0.3">
      <c r="A50" s="44" t="s">
        <v>1554</v>
      </c>
      <c r="B50" s="48" t="s">
        <v>1555</v>
      </c>
      <c r="C50" s="44" t="s">
        <v>817</v>
      </c>
      <c r="D50" s="73">
        <v>2156</v>
      </c>
      <c r="E50" s="73">
        <v>0</v>
      </c>
      <c r="F50" s="189">
        <v>0</v>
      </c>
      <c r="G50" s="189">
        <v>0</v>
      </c>
      <c r="H50" s="73">
        <v>1</v>
      </c>
      <c r="I50" s="189">
        <v>36</v>
      </c>
      <c r="J50" s="189">
        <v>0.9</v>
      </c>
      <c r="K50" s="73">
        <v>1</v>
      </c>
      <c r="L50" s="189">
        <v>36</v>
      </c>
      <c r="M50" s="189">
        <v>0.9</v>
      </c>
      <c r="N50" s="73">
        <v>1</v>
      </c>
      <c r="O50" s="189">
        <v>6</v>
      </c>
      <c r="P50" s="189">
        <v>0.15</v>
      </c>
      <c r="Q50" s="73">
        <v>2</v>
      </c>
      <c r="R50" s="189">
        <v>42</v>
      </c>
      <c r="S50" s="189">
        <v>1.05</v>
      </c>
    </row>
    <row r="51" spans="1:19" ht="15.75" thickBot="1" x14ac:dyDescent="0.3">
      <c r="A51" s="44" t="s">
        <v>1556</v>
      </c>
      <c r="B51" s="48" t="s">
        <v>1557</v>
      </c>
      <c r="C51" s="44" t="s">
        <v>817</v>
      </c>
      <c r="D51" s="73">
        <v>2475</v>
      </c>
      <c r="E51" s="73">
        <v>0</v>
      </c>
      <c r="F51" s="189">
        <v>0</v>
      </c>
      <c r="G51" s="189">
        <v>0</v>
      </c>
      <c r="H51" s="73">
        <v>1</v>
      </c>
      <c r="I51" s="189">
        <v>35</v>
      </c>
      <c r="J51" s="189">
        <v>0.875</v>
      </c>
      <c r="K51" s="73">
        <v>1</v>
      </c>
      <c r="L51" s="189">
        <v>35</v>
      </c>
      <c r="M51" s="189">
        <v>0.875</v>
      </c>
      <c r="N51" s="73">
        <v>2</v>
      </c>
      <c r="O51" s="189">
        <v>29</v>
      </c>
      <c r="P51" s="189">
        <v>0.72499999999999998</v>
      </c>
      <c r="Q51" s="73">
        <v>3</v>
      </c>
      <c r="R51" s="189">
        <v>64</v>
      </c>
      <c r="S51" s="189">
        <v>1.6</v>
      </c>
    </row>
    <row r="52" spans="1:19" ht="15.75" thickBot="1" x14ac:dyDescent="0.3">
      <c r="A52" s="44" t="s">
        <v>1568</v>
      </c>
      <c r="B52" s="48" t="s">
        <v>1569</v>
      </c>
      <c r="C52" s="44" t="s">
        <v>817</v>
      </c>
      <c r="D52" s="73">
        <v>2202</v>
      </c>
      <c r="E52" s="73">
        <v>0</v>
      </c>
      <c r="F52" s="189">
        <v>0</v>
      </c>
      <c r="G52" s="189">
        <v>0</v>
      </c>
      <c r="H52" s="73">
        <v>1</v>
      </c>
      <c r="I52" s="189">
        <v>28</v>
      </c>
      <c r="J52" s="189">
        <v>0.7</v>
      </c>
      <c r="K52" s="73">
        <v>1</v>
      </c>
      <c r="L52" s="189">
        <v>28</v>
      </c>
      <c r="M52" s="189">
        <v>0.7</v>
      </c>
      <c r="N52" s="73">
        <v>0</v>
      </c>
      <c r="O52" s="189">
        <v>0</v>
      </c>
      <c r="P52" s="189">
        <v>0</v>
      </c>
      <c r="Q52" s="73">
        <v>0</v>
      </c>
      <c r="R52" s="189">
        <v>28</v>
      </c>
      <c r="S52" s="189">
        <v>0.7</v>
      </c>
    </row>
    <row r="53" spans="1:19" ht="15.75" thickBot="1" x14ac:dyDescent="0.3">
      <c r="A53" s="44" t="s">
        <v>1580</v>
      </c>
      <c r="B53" s="48" t="s">
        <v>1581</v>
      </c>
      <c r="C53" s="44" t="s">
        <v>817</v>
      </c>
      <c r="D53" s="73">
        <v>2913</v>
      </c>
      <c r="E53" s="73">
        <v>0</v>
      </c>
      <c r="F53" s="189">
        <v>0</v>
      </c>
      <c r="G53" s="189">
        <v>0</v>
      </c>
      <c r="H53" s="73">
        <v>3</v>
      </c>
      <c r="I53" s="189">
        <v>53</v>
      </c>
      <c r="J53" s="189">
        <v>1.325</v>
      </c>
      <c r="K53" s="73">
        <v>3</v>
      </c>
      <c r="L53" s="189">
        <v>53</v>
      </c>
      <c r="M53" s="189">
        <v>1.325</v>
      </c>
      <c r="N53" s="73">
        <v>0</v>
      </c>
      <c r="O53" s="189">
        <v>0</v>
      </c>
      <c r="P53" s="189">
        <v>0</v>
      </c>
      <c r="Q53" s="73">
        <v>3</v>
      </c>
      <c r="R53" s="189">
        <v>53</v>
      </c>
      <c r="S53" s="189">
        <v>1.325</v>
      </c>
    </row>
    <row r="54" spans="1:19" ht="15.75" thickBot="1" x14ac:dyDescent="0.3">
      <c r="A54" s="44" t="s">
        <v>1600</v>
      </c>
      <c r="B54" s="48" t="s">
        <v>1601</v>
      </c>
      <c r="C54" s="44" t="s">
        <v>817</v>
      </c>
      <c r="D54" s="73">
        <v>2738</v>
      </c>
      <c r="E54" s="73">
        <v>0</v>
      </c>
      <c r="F54" s="189">
        <v>0</v>
      </c>
      <c r="G54" s="189">
        <v>0</v>
      </c>
      <c r="H54" s="73">
        <v>1</v>
      </c>
      <c r="I54" s="189">
        <v>35</v>
      </c>
      <c r="J54" s="189">
        <v>0.875</v>
      </c>
      <c r="K54" s="73">
        <v>0</v>
      </c>
      <c r="L54" s="189">
        <v>35</v>
      </c>
      <c r="M54" s="189">
        <v>0.875</v>
      </c>
      <c r="N54" s="73">
        <v>1</v>
      </c>
      <c r="O54" s="189">
        <v>14</v>
      </c>
      <c r="P54" s="189">
        <v>0.35</v>
      </c>
      <c r="Q54" s="73">
        <v>2</v>
      </c>
      <c r="R54" s="189">
        <v>49</v>
      </c>
      <c r="S54" s="189">
        <v>1.2250000000000001</v>
      </c>
    </row>
    <row r="55" spans="1:19" ht="15.75" thickBot="1" x14ac:dyDescent="0.3">
      <c r="A55" s="44" t="s">
        <v>827</v>
      </c>
      <c r="B55" s="48" t="s">
        <v>828</v>
      </c>
      <c r="C55" s="44" t="s">
        <v>798</v>
      </c>
      <c r="D55" s="73">
        <v>6583</v>
      </c>
      <c r="E55" s="73">
        <v>0</v>
      </c>
      <c r="F55" s="189">
        <v>0</v>
      </c>
      <c r="G55" s="189">
        <v>0</v>
      </c>
      <c r="H55" s="73">
        <v>5</v>
      </c>
      <c r="I55" s="189">
        <v>180</v>
      </c>
      <c r="J55" s="189">
        <v>4.5</v>
      </c>
      <c r="K55" s="73">
        <v>5</v>
      </c>
      <c r="L55" s="189">
        <v>180</v>
      </c>
      <c r="M55" s="189">
        <v>4.5</v>
      </c>
      <c r="N55" s="73">
        <v>3</v>
      </c>
      <c r="O55" s="189">
        <v>61</v>
      </c>
      <c r="P55" s="189">
        <v>1.5249999999999999</v>
      </c>
      <c r="Q55" s="73">
        <v>8</v>
      </c>
      <c r="R55" s="189">
        <v>241</v>
      </c>
      <c r="S55" s="189">
        <v>6.0250000000000004</v>
      </c>
    </row>
    <row r="56" spans="1:19" ht="15.75" thickBot="1" x14ac:dyDescent="0.3">
      <c r="A56" s="44" t="s">
        <v>842</v>
      </c>
      <c r="B56" s="48" t="s">
        <v>843</v>
      </c>
      <c r="C56" s="44" t="s">
        <v>798</v>
      </c>
      <c r="D56" s="73">
        <v>4265</v>
      </c>
      <c r="E56" s="73">
        <v>0</v>
      </c>
      <c r="F56" s="189">
        <v>0</v>
      </c>
      <c r="G56" s="189">
        <v>0</v>
      </c>
      <c r="H56" s="73">
        <v>1</v>
      </c>
      <c r="I56" s="189">
        <v>20</v>
      </c>
      <c r="J56" s="189">
        <v>0.5</v>
      </c>
      <c r="K56" s="73">
        <v>1</v>
      </c>
      <c r="L56" s="189">
        <v>20</v>
      </c>
      <c r="M56" s="189">
        <v>0.5</v>
      </c>
      <c r="N56" s="73">
        <v>9</v>
      </c>
      <c r="O56" s="189">
        <v>31</v>
      </c>
      <c r="P56" s="189">
        <v>0.77500000000000002</v>
      </c>
      <c r="Q56" s="73">
        <v>10</v>
      </c>
      <c r="R56" s="189">
        <v>51</v>
      </c>
      <c r="S56" s="189">
        <v>1.2749999999999999</v>
      </c>
    </row>
    <row r="57" spans="1:19" ht="15.75" thickBot="1" x14ac:dyDescent="0.3">
      <c r="A57" s="44" t="s">
        <v>853</v>
      </c>
      <c r="B57" s="48" t="s">
        <v>854</v>
      </c>
      <c r="C57" s="44" t="s">
        <v>798</v>
      </c>
      <c r="D57" s="73">
        <v>6621</v>
      </c>
      <c r="E57" s="73">
        <v>0</v>
      </c>
      <c r="F57" s="189">
        <v>0</v>
      </c>
      <c r="G57" s="189">
        <v>0</v>
      </c>
      <c r="H57" s="73">
        <v>1</v>
      </c>
      <c r="I57" s="189">
        <v>40</v>
      </c>
      <c r="J57" s="189">
        <v>1</v>
      </c>
      <c r="K57" s="73">
        <v>1</v>
      </c>
      <c r="L57" s="189">
        <v>40</v>
      </c>
      <c r="M57" s="189">
        <v>1</v>
      </c>
      <c r="N57" s="73">
        <v>9</v>
      </c>
      <c r="O57" s="189">
        <v>116</v>
      </c>
      <c r="P57" s="189">
        <v>2.9</v>
      </c>
      <c r="Q57" s="73">
        <v>10</v>
      </c>
      <c r="R57" s="189">
        <v>156</v>
      </c>
      <c r="S57" s="189">
        <v>3.9</v>
      </c>
    </row>
    <row r="58" spans="1:19" ht="15.75" thickBot="1" x14ac:dyDescent="0.3">
      <c r="A58" s="44" t="s">
        <v>857</v>
      </c>
      <c r="B58" s="48" t="s">
        <v>858</v>
      </c>
      <c r="C58" s="44" t="s">
        <v>798</v>
      </c>
      <c r="D58" s="73">
        <v>4075</v>
      </c>
      <c r="E58" s="73">
        <v>0</v>
      </c>
      <c r="F58" s="189">
        <v>0</v>
      </c>
      <c r="G58" s="189">
        <v>0</v>
      </c>
      <c r="H58" s="73">
        <v>2</v>
      </c>
      <c r="I58" s="189">
        <v>76</v>
      </c>
      <c r="J58" s="189">
        <v>1.9</v>
      </c>
      <c r="K58" s="73">
        <v>2</v>
      </c>
      <c r="L58" s="189">
        <v>76</v>
      </c>
      <c r="M58" s="189">
        <v>1.9</v>
      </c>
      <c r="N58" s="73">
        <v>3</v>
      </c>
      <c r="O58" s="189">
        <v>42</v>
      </c>
      <c r="P58" s="189">
        <v>1.05</v>
      </c>
      <c r="Q58" s="73">
        <v>5</v>
      </c>
      <c r="R58" s="189">
        <v>118</v>
      </c>
      <c r="S58" s="189">
        <v>2.95</v>
      </c>
    </row>
    <row r="59" spans="1:19" ht="15.75" thickBot="1" x14ac:dyDescent="0.3">
      <c r="A59" s="44" t="s">
        <v>909</v>
      </c>
      <c r="B59" s="48" t="s">
        <v>910</v>
      </c>
      <c r="C59" s="44" t="s">
        <v>798</v>
      </c>
      <c r="D59" s="73">
        <v>4005</v>
      </c>
      <c r="E59" s="73">
        <v>0</v>
      </c>
      <c r="F59" s="189">
        <v>0</v>
      </c>
      <c r="G59" s="189">
        <v>0</v>
      </c>
      <c r="H59" s="73">
        <v>1</v>
      </c>
      <c r="I59" s="189">
        <v>32</v>
      </c>
      <c r="J59" s="189">
        <v>0.8</v>
      </c>
      <c r="K59" s="73">
        <v>1</v>
      </c>
      <c r="L59" s="189">
        <v>32</v>
      </c>
      <c r="M59" s="189">
        <v>0.8</v>
      </c>
      <c r="N59" s="73">
        <v>2</v>
      </c>
      <c r="O59" s="189">
        <v>5</v>
      </c>
      <c r="P59" s="189">
        <v>0.125</v>
      </c>
      <c r="Q59" s="73">
        <v>2</v>
      </c>
      <c r="R59" s="189">
        <v>37</v>
      </c>
      <c r="S59" s="189">
        <v>0.92500000000000004</v>
      </c>
    </row>
    <row r="60" spans="1:19" ht="15.75" thickBot="1" x14ac:dyDescent="0.3">
      <c r="A60" s="44" t="s">
        <v>921</v>
      </c>
      <c r="B60" s="48" t="s">
        <v>922</v>
      </c>
      <c r="C60" s="44" t="s">
        <v>798</v>
      </c>
      <c r="D60" s="73">
        <v>4191</v>
      </c>
      <c r="E60" s="73">
        <v>0</v>
      </c>
      <c r="F60" s="189">
        <v>0</v>
      </c>
      <c r="G60" s="189">
        <v>0</v>
      </c>
      <c r="H60" s="73">
        <v>1</v>
      </c>
      <c r="I60" s="189">
        <v>28</v>
      </c>
      <c r="J60" s="189">
        <v>0.7</v>
      </c>
      <c r="K60" s="73">
        <v>1</v>
      </c>
      <c r="L60" s="189">
        <v>28</v>
      </c>
      <c r="M60" s="189">
        <v>0.7</v>
      </c>
      <c r="N60" s="73">
        <v>1</v>
      </c>
      <c r="O60" s="189">
        <v>22</v>
      </c>
      <c r="P60" s="189">
        <v>0.55000000000000004</v>
      </c>
      <c r="Q60" s="73">
        <v>2</v>
      </c>
      <c r="R60" s="189">
        <v>50</v>
      </c>
      <c r="S60" s="189">
        <v>1.25</v>
      </c>
    </row>
    <row r="61" spans="1:19" ht="15.75" thickBot="1" x14ac:dyDescent="0.3">
      <c r="A61" s="44" t="s">
        <v>963</v>
      </c>
      <c r="B61" s="48" t="s">
        <v>964</v>
      </c>
      <c r="C61" s="44" t="s">
        <v>798</v>
      </c>
      <c r="D61" s="73">
        <v>4622</v>
      </c>
      <c r="E61" s="73">
        <v>0</v>
      </c>
      <c r="F61" s="189">
        <v>0</v>
      </c>
      <c r="G61" s="189">
        <v>0</v>
      </c>
      <c r="H61" s="73">
        <v>1</v>
      </c>
      <c r="I61" s="189">
        <v>33</v>
      </c>
      <c r="J61" s="189">
        <v>0.82499999999999996</v>
      </c>
      <c r="K61" s="73">
        <v>1</v>
      </c>
      <c r="L61" s="189">
        <v>33</v>
      </c>
      <c r="M61" s="189">
        <v>0.82499999999999996</v>
      </c>
      <c r="N61" s="73">
        <v>6</v>
      </c>
      <c r="O61" s="189">
        <v>92.3</v>
      </c>
      <c r="P61" s="189">
        <v>2.3075000000000001</v>
      </c>
      <c r="Q61" s="73">
        <v>6</v>
      </c>
      <c r="R61" s="189">
        <v>125.3</v>
      </c>
      <c r="S61" s="189">
        <v>3.1324999999999998</v>
      </c>
    </row>
    <row r="62" spans="1:19" ht="15.75" thickBot="1" x14ac:dyDescent="0.3">
      <c r="A62" s="44" t="s">
        <v>977</v>
      </c>
      <c r="B62" s="48" t="s">
        <v>978</v>
      </c>
      <c r="C62" s="44" t="s">
        <v>798</v>
      </c>
      <c r="D62" s="73">
        <v>4986</v>
      </c>
      <c r="E62" s="73">
        <v>0</v>
      </c>
      <c r="F62" s="189">
        <v>0</v>
      </c>
      <c r="G62" s="189">
        <v>0</v>
      </c>
      <c r="H62" s="73">
        <v>4</v>
      </c>
      <c r="I62" s="189">
        <v>83.72</v>
      </c>
      <c r="J62" s="189">
        <v>2.093</v>
      </c>
      <c r="K62" s="73">
        <v>4</v>
      </c>
      <c r="L62" s="189">
        <v>83.7</v>
      </c>
      <c r="M62" s="189">
        <v>2.0924999999999998</v>
      </c>
      <c r="N62" s="73">
        <v>3</v>
      </c>
      <c r="O62" s="189">
        <v>38.6</v>
      </c>
      <c r="P62" s="189">
        <v>0.96499999999999997</v>
      </c>
      <c r="Q62" s="73">
        <v>7</v>
      </c>
      <c r="R62" s="189">
        <v>122.3</v>
      </c>
      <c r="S62" s="189">
        <v>3.0575000000000001</v>
      </c>
    </row>
    <row r="63" spans="1:19" ht="15.75" thickBot="1" x14ac:dyDescent="0.3">
      <c r="A63" s="44" t="s">
        <v>999</v>
      </c>
      <c r="B63" s="48" t="s">
        <v>1000</v>
      </c>
      <c r="C63" s="44" t="s">
        <v>798</v>
      </c>
      <c r="D63" s="73">
        <v>4514</v>
      </c>
      <c r="E63" s="73">
        <v>0</v>
      </c>
      <c r="F63" s="189">
        <v>0</v>
      </c>
      <c r="G63" s="189">
        <v>0</v>
      </c>
      <c r="H63" s="73">
        <v>2</v>
      </c>
      <c r="I63" s="189">
        <v>50</v>
      </c>
      <c r="J63" s="189">
        <v>1.25</v>
      </c>
      <c r="K63" s="73">
        <v>2</v>
      </c>
      <c r="L63" s="189">
        <v>50</v>
      </c>
      <c r="M63" s="189">
        <v>1.25</v>
      </c>
      <c r="N63" s="73">
        <v>2</v>
      </c>
      <c r="O63" s="189">
        <v>19</v>
      </c>
      <c r="P63" s="189">
        <v>0.47499999999999998</v>
      </c>
      <c r="Q63" s="73">
        <v>4</v>
      </c>
      <c r="R63" s="189">
        <v>69</v>
      </c>
      <c r="S63" s="189">
        <v>1.7250000000000001</v>
      </c>
    </row>
    <row r="64" spans="1:19" ht="15.75" thickBot="1" x14ac:dyDescent="0.3">
      <c r="A64" s="44" t="s">
        <v>1019</v>
      </c>
      <c r="B64" s="48" t="s">
        <v>1020</v>
      </c>
      <c r="C64" s="44" t="s">
        <v>798</v>
      </c>
      <c r="D64" s="73">
        <v>4869</v>
      </c>
      <c r="E64" s="73">
        <v>0</v>
      </c>
      <c r="F64" s="189">
        <v>0</v>
      </c>
      <c r="G64" s="189">
        <v>0</v>
      </c>
      <c r="H64" s="73">
        <v>1</v>
      </c>
      <c r="I64" s="189">
        <v>29</v>
      </c>
      <c r="J64" s="189">
        <v>0.72499999999999998</v>
      </c>
      <c r="K64" s="73">
        <v>1</v>
      </c>
      <c r="L64" s="189">
        <v>29</v>
      </c>
      <c r="M64" s="189">
        <v>0.72499999999999998</v>
      </c>
      <c r="N64" s="73">
        <v>4</v>
      </c>
      <c r="O64" s="189">
        <v>29</v>
      </c>
      <c r="P64" s="189">
        <v>0.72499999999999998</v>
      </c>
      <c r="Q64" s="73">
        <v>5</v>
      </c>
      <c r="R64" s="189">
        <v>58</v>
      </c>
      <c r="S64" s="189">
        <v>1.45</v>
      </c>
    </row>
    <row r="65" spans="1:19" ht="15.75" thickBot="1" x14ac:dyDescent="0.3">
      <c r="A65" s="44" t="s">
        <v>1021</v>
      </c>
      <c r="B65" s="48" t="s">
        <v>1022</v>
      </c>
      <c r="C65" s="44" t="s">
        <v>798</v>
      </c>
      <c r="D65" s="73">
        <v>4768</v>
      </c>
      <c r="E65" s="73">
        <v>0</v>
      </c>
      <c r="F65" s="189">
        <v>0</v>
      </c>
      <c r="G65" s="189">
        <v>0</v>
      </c>
      <c r="H65" s="73">
        <v>1</v>
      </c>
      <c r="I65" s="189">
        <v>32</v>
      </c>
      <c r="J65" s="189">
        <v>0.8</v>
      </c>
      <c r="K65" s="73">
        <v>1</v>
      </c>
      <c r="L65" s="189">
        <v>32</v>
      </c>
      <c r="M65" s="189">
        <v>0.8</v>
      </c>
      <c r="N65" s="73">
        <v>3</v>
      </c>
      <c r="O65" s="189">
        <v>56</v>
      </c>
      <c r="P65" s="189">
        <v>1.4</v>
      </c>
      <c r="Q65" s="73">
        <v>3</v>
      </c>
      <c r="R65" s="189">
        <v>88</v>
      </c>
      <c r="S65" s="189">
        <v>2.2000000000000002</v>
      </c>
    </row>
    <row r="66" spans="1:19" ht="15.75" thickBot="1" x14ac:dyDescent="0.3">
      <c r="A66" s="44" t="s">
        <v>1035</v>
      </c>
      <c r="B66" s="48" t="s">
        <v>1036</v>
      </c>
      <c r="C66" s="44" t="s">
        <v>798</v>
      </c>
      <c r="D66" s="73">
        <v>5432</v>
      </c>
      <c r="E66" s="73">
        <v>0</v>
      </c>
      <c r="F66" s="189">
        <v>0</v>
      </c>
      <c r="G66" s="189">
        <v>0</v>
      </c>
      <c r="H66" s="73">
        <v>1</v>
      </c>
      <c r="I66" s="189">
        <v>40</v>
      </c>
      <c r="J66" s="189">
        <v>1</v>
      </c>
      <c r="K66" s="73">
        <v>1</v>
      </c>
      <c r="L66" s="189">
        <v>40</v>
      </c>
      <c r="M66" s="189">
        <v>1</v>
      </c>
      <c r="N66" s="73">
        <v>9</v>
      </c>
      <c r="O66" s="189">
        <v>147</v>
      </c>
      <c r="P66" s="189">
        <v>3.6749999999999998</v>
      </c>
      <c r="Q66" s="73">
        <v>10</v>
      </c>
      <c r="R66" s="189">
        <v>187</v>
      </c>
      <c r="S66" s="189">
        <v>4.6749999999999998</v>
      </c>
    </row>
    <row r="67" spans="1:19" ht="15.75" thickBot="1" x14ac:dyDescent="0.3">
      <c r="A67" s="44" t="s">
        <v>1065</v>
      </c>
      <c r="B67" s="48" t="s">
        <v>1066</v>
      </c>
      <c r="C67" s="44" t="s">
        <v>798</v>
      </c>
      <c r="D67" s="73">
        <v>6164</v>
      </c>
      <c r="E67" s="73">
        <v>0</v>
      </c>
      <c r="F67" s="189">
        <v>0</v>
      </c>
      <c r="G67" s="189">
        <v>0</v>
      </c>
      <c r="H67" s="73">
        <v>1</v>
      </c>
      <c r="I67" s="189">
        <v>40</v>
      </c>
      <c r="J67" s="189">
        <v>1</v>
      </c>
      <c r="K67" s="73">
        <v>1</v>
      </c>
      <c r="L67" s="189">
        <v>40</v>
      </c>
      <c r="M67" s="189">
        <v>1</v>
      </c>
      <c r="N67" s="73">
        <v>4</v>
      </c>
      <c r="O67" s="189">
        <v>97.5</v>
      </c>
      <c r="P67" s="189">
        <v>2.4375</v>
      </c>
      <c r="Q67" s="73">
        <v>5</v>
      </c>
      <c r="R67" s="189">
        <v>137.5</v>
      </c>
      <c r="S67" s="189">
        <v>3.4375</v>
      </c>
    </row>
    <row r="68" spans="1:19" ht="15.75" thickBot="1" x14ac:dyDescent="0.3">
      <c r="A68" s="44" t="s">
        <v>1075</v>
      </c>
      <c r="B68" s="48" t="s">
        <v>1076</v>
      </c>
      <c r="C68" s="44" t="s">
        <v>798</v>
      </c>
      <c r="D68" s="73">
        <v>5641</v>
      </c>
      <c r="E68" s="73">
        <v>0</v>
      </c>
      <c r="F68" s="189">
        <v>0</v>
      </c>
      <c r="G68" s="189">
        <v>0</v>
      </c>
      <c r="H68" s="73">
        <v>6</v>
      </c>
      <c r="I68" s="189">
        <v>61</v>
      </c>
      <c r="J68" s="189">
        <v>1.5249999999999999</v>
      </c>
      <c r="K68" s="73">
        <v>6</v>
      </c>
      <c r="L68" s="189">
        <v>61</v>
      </c>
      <c r="M68" s="189">
        <v>1.5249999999999999</v>
      </c>
      <c r="N68" s="73">
        <v>2</v>
      </c>
      <c r="O68" s="189">
        <v>3</v>
      </c>
      <c r="P68" s="189">
        <v>7.4999999999999997E-2</v>
      </c>
      <c r="Q68" s="73">
        <v>8</v>
      </c>
      <c r="R68" s="189">
        <v>64</v>
      </c>
      <c r="S68" s="189">
        <v>1.6</v>
      </c>
    </row>
    <row r="69" spans="1:19" ht="15.75" thickBot="1" x14ac:dyDescent="0.3">
      <c r="A69" s="44" t="s">
        <v>1119</v>
      </c>
      <c r="B69" s="48" t="s">
        <v>1120</v>
      </c>
      <c r="C69" s="44" t="s">
        <v>798</v>
      </c>
      <c r="D69" s="73">
        <v>6119</v>
      </c>
      <c r="E69" s="73">
        <v>0</v>
      </c>
      <c r="F69" s="189">
        <v>0</v>
      </c>
      <c r="G69" s="189">
        <v>0</v>
      </c>
      <c r="H69" s="73">
        <v>5</v>
      </c>
      <c r="I69" s="189">
        <v>108</v>
      </c>
      <c r="J69" s="189">
        <v>2.7</v>
      </c>
      <c r="K69" s="73">
        <v>5</v>
      </c>
      <c r="L69" s="189">
        <v>108</v>
      </c>
      <c r="M69" s="189">
        <v>2.7</v>
      </c>
      <c r="N69" s="73">
        <v>4</v>
      </c>
      <c r="O69" s="189">
        <v>100</v>
      </c>
      <c r="P69" s="189">
        <v>2.5</v>
      </c>
      <c r="Q69" s="73">
        <v>9</v>
      </c>
      <c r="R69" s="189">
        <v>208</v>
      </c>
      <c r="S69" s="189">
        <v>5.2</v>
      </c>
    </row>
    <row r="70" spans="1:19" ht="15.75" thickBot="1" x14ac:dyDescent="0.3">
      <c r="A70" s="44" t="s">
        <v>1129</v>
      </c>
      <c r="B70" s="48" t="s">
        <v>1130</v>
      </c>
      <c r="C70" s="44" t="s">
        <v>798</v>
      </c>
      <c r="D70" s="73">
        <v>6582</v>
      </c>
      <c r="E70" s="73">
        <v>0</v>
      </c>
      <c r="F70" s="189">
        <v>0</v>
      </c>
      <c r="G70" s="189">
        <v>0</v>
      </c>
      <c r="H70" s="73">
        <v>1</v>
      </c>
      <c r="I70" s="189">
        <v>40</v>
      </c>
      <c r="J70" s="189">
        <v>1</v>
      </c>
      <c r="K70" s="73">
        <v>1</v>
      </c>
      <c r="L70" s="189">
        <v>40</v>
      </c>
      <c r="M70" s="189">
        <v>1</v>
      </c>
      <c r="N70" s="73">
        <v>6</v>
      </c>
      <c r="O70" s="189">
        <v>111</v>
      </c>
      <c r="P70" s="189">
        <v>2.7749999999999999</v>
      </c>
      <c r="Q70" s="73">
        <v>7</v>
      </c>
      <c r="R70" s="189">
        <v>151</v>
      </c>
      <c r="S70" s="189">
        <v>3.7749999999999999</v>
      </c>
    </row>
    <row r="71" spans="1:19" ht="15.75" thickBot="1" x14ac:dyDescent="0.3">
      <c r="A71" s="44" t="s">
        <v>1139</v>
      </c>
      <c r="B71" s="48" t="s">
        <v>1140</v>
      </c>
      <c r="C71" s="44" t="s">
        <v>798</v>
      </c>
      <c r="D71" s="73">
        <v>5933</v>
      </c>
      <c r="E71" s="73">
        <v>0</v>
      </c>
      <c r="F71" s="189">
        <v>0</v>
      </c>
      <c r="G71" s="189">
        <v>0</v>
      </c>
      <c r="H71" s="73">
        <v>1</v>
      </c>
      <c r="I71" s="189">
        <v>30</v>
      </c>
      <c r="J71" s="189">
        <v>0.75</v>
      </c>
      <c r="K71" s="73">
        <v>1</v>
      </c>
      <c r="L71" s="189">
        <v>30</v>
      </c>
      <c r="M71" s="189">
        <v>0.75</v>
      </c>
      <c r="N71" s="73">
        <v>9</v>
      </c>
      <c r="O71" s="189">
        <v>130</v>
      </c>
      <c r="P71" s="189">
        <v>3.25</v>
      </c>
      <c r="Q71" s="73">
        <v>9</v>
      </c>
      <c r="R71" s="189">
        <v>160</v>
      </c>
      <c r="S71" s="189">
        <v>4</v>
      </c>
    </row>
    <row r="72" spans="1:19" ht="15.75" thickBot="1" x14ac:dyDescent="0.3">
      <c r="A72" s="44" t="s">
        <v>1147</v>
      </c>
      <c r="B72" s="48" t="s">
        <v>1148</v>
      </c>
      <c r="C72" s="44" t="s">
        <v>798</v>
      </c>
      <c r="D72" s="73">
        <v>4220</v>
      </c>
      <c r="E72" s="73">
        <v>0</v>
      </c>
      <c r="F72" s="189">
        <v>0</v>
      </c>
      <c r="G72" s="189">
        <v>0</v>
      </c>
      <c r="H72" s="73">
        <v>2</v>
      </c>
      <c r="I72" s="189">
        <v>64</v>
      </c>
      <c r="J72" s="189">
        <v>1.6</v>
      </c>
      <c r="K72" s="73">
        <v>2</v>
      </c>
      <c r="L72" s="189">
        <v>64</v>
      </c>
      <c r="M72" s="189">
        <v>1.6</v>
      </c>
      <c r="N72" s="73">
        <v>1</v>
      </c>
      <c r="O72" s="189">
        <v>3</v>
      </c>
      <c r="P72" s="189">
        <v>7.4999999999999997E-2</v>
      </c>
      <c r="Q72" s="73">
        <v>3</v>
      </c>
      <c r="R72" s="189">
        <v>67</v>
      </c>
      <c r="S72" s="189">
        <v>1.675</v>
      </c>
    </row>
    <row r="73" spans="1:19" ht="15.75" thickBot="1" x14ac:dyDescent="0.3">
      <c r="A73" s="44" t="s">
        <v>1157</v>
      </c>
      <c r="B73" s="48" t="s">
        <v>1158</v>
      </c>
      <c r="C73" s="44" t="s">
        <v>798</v>
      </c>
      <c r="D73" s="73">
        <v>5531</v>
      </c>
      <c r="E73" s="73">
        <v>0</v>
      </c>
      <c r="F73" s="189">
        <v>0</v>
      </c>
      <c r="G73" s="189">
        <v>0</v>
      </c>
      <c r="H73" s="73">
        <v>3</v>
      </c>
      <c r="I73" s="189">
        <v>66</v>
      </c>
      <c r="J73" s="189">
        <v>1.65</v>
      </c>
      <c r="K73" s="73">
        <v>3</v>
      </c>
      <c r="L73" s="189">
        <v>66</v>
      </c>
      <c r="M73" s="189">
        <v>1.65</v>
      </c>
      <c r="N73" s="73">
        <v>1</v>
      </c>
      <c r="O73" s="189">
        <v>3</v>
      </c>
      <c r="P73" s="189">
        <v>7.4999999999999997E-2</v>
      </c>
      <c r="Q73" s="73">
        <v>4</v>
      </c>
      <c r="R73" s="189">
        <v>69</v>
      </c>
      <c r="S73" s="189">
        <v>1.7250000000000001</v>
      </c>
    </row>
    <row r="74" spans="1:19" ht="15.75" thickBot="1" x14ac:dyDescent="0.3">
      <c r="A74" s="44" t="s">
        <v>1161</v>
      </c>
      <c r="B74" s="48" t="s">
        <v>1162</v>
      </c>
      <c r="C74" s="44" t="s">
        <v>798</v>
      </c>
      <c r="D74" s="73">
        <v>5107</v>
      </c>
      <c r="E74" s="73">
        <v>0</v>
      </c>
      <c r="F74" s="189">
        <v>0</v>
      </c>
      <c r="G74" s="189">
        <v>0</v>
      </c>
      <c r="H74" s="73">
        <v>1</v>
      </c>
      <c r="I74" s="189">
        <v>40</v>
      </c>
      <c r="J74" s="189">
        <v>1</v>
      </c>
      <c r="K74" s="73">
        <v>1</v>
      </c>
      <c r="L74" s="189">
        <v>40</v>
      </c>
      <c r="M74" s="189">
        <v>1</v>
      </c>
      <c r="N74" s="73">
        <v>3</v>
      </c>
      <c r="O74" s="189">
        <v>45</v>
      </c>
      <c r="P74" s="189">
        <v>1.125</v>
      </c>
      <c r="Q74" s="73">
        <v>4</v>
      </c>
      <c r="R74" s="189">
        <v>85</v>
      </c>
      <c r="S74" s="189">
        <v>2.125</v>
      </c>
    </row>
    <row r="75" spans="1:19" ht="15.75" thickBot="1" x14ac:dyDescent="0.3">
      <c r="A75" s="44" t="s">
        <v>1167</v>
      </c>
      <c r="B75" s="48" t="s">
        <v>1168</v>
      </c>
      <c r="C75" s="44" t="s">
        <v>798</v>
      </c>
      <c r="D75" s="73">
        <v>5784</v>
      </c>
      <c r="E75" s="73">
        <v>0</v>
      </c>
      <c r="F75" s="189">
        <v>0</v>
      </c>
      <c r="G75" s="189">
        <v>0</v>
      </c>
      <c r="H75" s="73">
        <v>1</v>
      </c>
      <c r="I75" s="189">
        <v>40</v>
      </c>
      <c r="J75" s="189">
        <v>1</v>
      </c>
      <c r="K75" s="73">
        <v>1</v>
      </c>
      <c r="L75" s="189">
        <v>40</v>
      </c>
      <c r="M75" s="189">
        <v>1</v>
      </c>
      <c r="N75" s="73">
        <v>8</v>
      </c>
      <c r="O75" s="189">
        <v>86</v>
      </c>
      <c r="P75" s="189">
        <v>2.15</v>
      </c>
      <c r="Q75" s="73">
        <v>8</v>
      </c>
      <c r="R75" s="189">
        <v>126</v>
      </c>
      <c r="S75" s="189">
        <v>3.15</v>
      </c>
    </row>
    <row r="76" spans="1:19" ht="15.75" thickBot="1" x14ac:dyDescent="0.3">
      <c r="A76" s="44" t="s">
        <v>1173</v>
      </c>
      <c r="B76" s="48" t="s">
        <v>1174</v>
      </c>
      <c r="C76" s="44" t="s">
        <v>798</v>
      </c>
      <c r="D76" s="73">
        <v>5713</v>
      </c>
      <c r="E76" s="73">
        <v>0</v>
      </c>
      <c r="F76" s="189">
        <v>0</v>
      </c>
      <c r="G76" s="189">
        <v>0</v>
      </c>
      <c r="H76" s="73">
        <v>1</v>
      </c>
      <c r="I76" s="189">
        <v>40</v>
      </c>
      <c r="J76" s="189">
        <v>1</v>
      </c>
      <c r="K76" s="73">
        <v>1</v>
      </c>
      <c r="L76" s="189">
        <v>40</v>
      </c>
      <c r="M76" s="189">
        <v>1</v>
      </c>
      <c r="N76" s="73">
        <v>5</v>
      </c>
      <c r="O76" s="189">
        <v>37</v>
      </c>
      <c r="P76" s="189">
        <v>0.92500000000000004</v>
      </c>
      <c r="Q76" s="73">
        <v>6</v>
      </c>
      <c r="R76" s="189">
        <v>77</v>
      </c>
      <c r="S76" s="189">
        <v>1.925</v>
      </c>
    </row>
    <row r="77" spans="1:19" ht="15.75" thickBot="1" x14ac:dyDescent="0.3">
      <c r="A77" s="44" t="s">
        <v>1177</v>
      </c>
      <c r="B77" s="48" t="s">
        <v>1178</v>
      </c>
      <c r="C77" s="44" t="s">
        <v>798</v>
      </c>
      <c r="D77" s="73">
        <v>6443</v>
      </c>
      <c r="E77" s="73">
        <v>0</v>
      </c>
      <c r="F77" s="189">
        <v>0</v>
      </c>
      <c r="G77" s="189">
        <v>0</v>
      </c>
      <c r="H77" s="73">
        <v>1</v>
      </c>
      <c r="I77" s="189">
        <v>32</v>
      </c>
      <c r="J77" s="189">
        <v>0.8</v>
      </c>
      <c r="K77" s="73">
        <v>1</v>
      </c>
      <c r="L77" s="189">
        <v>32</v>
      </c>
      <c r="M77" s="189">
        <v>0.8</v>
      </c>
      <c r="N77" s="73">
        <v>2</v>
      </c>
      <c r="O77" s="189">
        <v>34</v>
      </c>
      <c r="P77" s="189">
        <v>0.85</v>
      </c>
      <c r="Q77" s="73">
        <v>3</v>
      </c>
      <c r="R77" s="189">
        <v>66</v>
      </c>
      <c r="S77" s="189">
        <v>1.65</v>
      </c>
    </row>
    <row r="78" spans="1:19" ht="15.75" thickBot="1" x14ac:dyDescent="0.3">
      <c r="A78" s="44" t="s">
        <v>1181</v>
      </c>
      <c r="B78" s="48" t="s">
        <v>1182</v>
      </c>
      <c r="C78" s="44" t="s">
        <v>798</v>
      </c>
      <c r="D78" s="73">
        <v>4080</v>
      </c>
      <c r="E78" s="73">
        <v>0</v>
      </c>
      <c r="F78" s="189">
        <v>0</v>
      </c>
      <c r="G78" s="189">
        <v>0</v>
      </c>
      <c r="H78" s="73">
        <v>1</v>
      </c>
      <c r="I78" s="189">
        <v>35</v>
      </c>
      <c r="J78" s="189">
        <v>0.875</v>
      </c>
      <c r="K78" s="73">
        <v>1</v>
      </c>
      <c r="L78" s="189">
        <v>35</v>
      </c>
      <c r="M78" s="189">
        <v>0.875</v>
      </c>
      <c r="N78" s="73">
        <v>1</v>
      </c>
      <c r="O78" s="189">
        <v>11</v>
      </c>
      <c r="P78" s="189">
        <v>0.27500000000000002</v>
      </c>
      <c r="Q78" s="73">
        <v>2</v>
      </c>
      <c r="R78" s="189">
        <v>46</v>
      </c>
      <c r="S78" s="189">
        <v>1.1499999999999999</v>
      </c>
    </row>
    <row r="79" spans="1:19" ht="15.75" thickBot="1" x14ac:dyDescent="0.3">
      <c r="A79" s="44" t="s">
        <v>1183</v>
      </c>
      <c r="B79" s="48" t="s">
        <v>1184</v>
      </c>
      <c r="C79" s="44" t="s">
        <v>798</v>
      </c>
      <c r="D79" s="73">
        <v>5210</v>
      </c>
      <c r="E79" s="73">
        <v>0</v>
      </c>
      <c r="F79" s="189">
        <v>0</v>
      </c>
      <c r="G79" s="189">
        <v>0</v>
      </c>
      <c r="H79" s="73">
        <v>4</v>
      </c>
      <c r="I79" s="189">
        <v>135</v>
      </c>
      <c r="J79" s="189">
        <v>3.375</v>
      </c>
      <c r="K79" s="73">
        <v>4</v>
      </c>
      <c r="L79" s="189">
        <v>135</v>
      </c>
      <c r="M79" s="189">
        <v>3.375</v>
      </c>
      <c r="N79" s="73">
        <v>1</v>
      </c>
      <c r="O79" s="189">
        <v>6</v>
      </c>
      <c r="P79" s="189">
        <v>0.15</v>
      </c>
      <c r="Q79" s="73">
        <v>5</v>
      </c>
      <c r="R79" s="189">
        <v>141</v>
      </c>
      <c r="S79" s="189">
        <v>3.5249999999999999</v>
      </c>
    </row>
    <row r="80" spans="1:19" ht="15.75" thickBot="1" x14ac:dyDescent="0.3">
      <c r="A80" s="44" t="s">
        <v>1197</v>
      </c>
      <c r="B80" s="48" t="s">
        <v>1198</v>
      </c>
      <c r="C80" s="44" t="s">
        <v>798</v>
      </c>
      <c r="D80" s="73">
        <v>4168</v>
      </c>
      <c r="E80" s="73">
        <v>0</v>
      </c>
      <c r="F80" s="189">
        <v>0</v>
      </c>
      <c r="G80" s="189">
        <v>0</v>
      </c>
      <c r="H80" s="73">
        <v>1</v>
      </c>
      <c r="I80" s="189">
        <v>36</v>
      </c>
      <c r="J80" s="189">
        <v>0.9</v>
      </c>
      <c r="K80" s="73">
        <v>1</v>
      </c>
      <c r="L80" s="189">
        <v>36</v>
      </c>
      <c r="M80" s="189">
        <v>0.9</v>
      </c>
      <c r="N80" s="73">
        <v>5</v>
      </c>
      <c r="O80" s="189">
        <v>110</v>
      </c>
      <c r="P80" s="189">
        <v>2.75</v>
      </c>
      <c r="Q80" s="73">
        <v>6</v>
      </c>
      <c r="R80" s="189">
        <v>146</v>
      </c>
      <c r="S80" s="189">
        <v>3.65</v>
      </c>
    </row>
    <row r="81" spans="1:19" ht="15.75" thickBot="1" x14ac:dyDescent="0.3">
      <c r="A81" s="44" t="s">
        <v>1211</v>
      </c>
      <c r="B81" s="48" t="s">
        <v>1212</v>
      </c>
      <c r="C81" s="44" t="s">
        <v>798</v>
      </c>
      <c r="D81" s="73">
        <v>4934</v>
      </c>
      <c r="E81" s="73">
        <v>0</v>
      </c>
      <c r="F81" s="189">
        <v>0</v>
      </c>
      <c r="G81" s="189">
        <v>0</v>
      </c>
      <c r="H81" s="73">
        <v>6</v>
      </c>
      <c r="I81" s="189">
        <v>136</v>
      </c>
      <c r="J81" s="189">
        <v>3.4</v>
      </c>
      <c r="K81" s="73">
        <v>6</v>
      </c>
      <c r="L81" s="189">
        <v>136</v>
      </c>
      <c r="M81" s="189">
        <v>3.4</v>
      </c>
      <c r="N81" s="73">
        <v>2</v>
      </c>
      <c r="O81" s="189">
        <v>23</v>
      </c>
      <c r="P81" s="189">
        <v>0.57499999999999996</v>
      </c>
      <c r="Q81" s="73">
        <v>8</v>
      </c>
      <c r="R81" s="189">
        <v>159</v>
      </c>
      <c r="S81" s="189">
        <v>3.9750000000000001</v>
      </c>
    </row>
    <row r="82" spans="1:19" ht="15.75" thickBot="1" x14ac:dyDescent="0.3">
      <c r="A82" s="44" t="s">
        <v>1213</v>
      </c>
      <c r="B82" s="48" t="s">
        <v>1214</v>
      </c>
      <c r="C82" s="44" t="s">
        <v>798</v>
      </c>
      <c r="D82" s="73">
        <v>5857</v>
      </c>
      <c r="E82" s="73">
        <v>0</v>
      </c>
      <c r="F82" s="189">
        <v>0</v>
      </c>
      <c r="G82" s="189">
        <v>0</v>
      </c>
      <c r="H82" s="73">
        <v>3</v>
      </c>
      <c r="I82" s="189">
        <v>96</v>
      </c>
      <c r="J82" s="189">
        <v>2.4</v>
      </c>
      <c r="K82" s="73">
        <v>3</v>
      </c>
      <c r="L82" s="189">
        <v>96</v>
      </c>
      <c r="M82" s="189">
        <v>2.4</v>
      </c>
      <c r="N82" s="73">
        <v>1</v>
      </c>
      <c r="O82" s="189">
        <v>7</v>
      </c>
      <c r="P82" s="189">
        <v>0.17499999999999999</v>
      </c>
      <c r="Q82" s="73">
        <v>4</v>
      </c>
      <c r="R82" s="189">
        <v>103</v>
      </c>
      <c r="S82" s="189">
        <v>2.5750000000000002</v>
      </c>
    </row>
    <row r="83" spans="1:19" ht="15.75" thickBot="1" x14ac:dyDescent="0.3">
      <c r="A83" s="44" t="s">
        <v>1233</v>
      </c>
      <c r="B83" s="48" t="s">
        <v>1234</v>
      </c>
      <c r="C83" s="44" t="s">
        <v>798</v>
      </c>
      <c r="D83" s="73">
        <v>4141</v>
      </c>
      <c r="E83" s="73">
        <v>0</v>
      </c>
      <c r="F83" s="189">
        <v>0</v>
      </c>
      <c r="G83" s="189">
        <v>0</v>
      </c>
      <c r="H83" s="73">
        <v>2</v>
      </c>
      <c r="I83" s="189">
        <v>35</v>
      </c>
      <c r="J83" s="189">
        <v>0.875</v>
      </c>
      <c r="K83" s="73">
        <v>2</v>
      </c>
      <c r="L83" s="189">
        <v>35</v>
      </c>
      <c r="M83" s="189">
        <v>0.875</v>
      </c>
      <c r="N83" s="73">
        <v>1</v>
      </c>
      <c r="O83" s="189">
        <v>12</v>
      </c>
      <c r="P83" s="189">
        <v>0.3</v>
      </c>
      <c r="Q83" s="73">
        <v>3</v>
      </c>
      <c r="R83" s="189">
        <v>47</v>
      </c>
      <c r="S83" s="189">
        <v>1.175</v>
      </c>
    </row>
    <row r="84" spans="1:19" ht="15.75" thickBot="1" x14ac:dyDescent="0.3">
      <c r="A84" s="44" t="s">
        <v>1239</v>
      </c>
      <c r="B84" s="48" t="s">
        <v>1240</v>
      </c>
      <c r="C84" s="44" t="s">
        <v>798</v>
      </c>
      <c r="D84" s="73">
        <v>4197</v>
      </c>
      <c r="E84" s="73">
        <v>0</v>
      </c>
      <c r="F84" s="189">
        <v>0</v>
      </c>
      <c r="G84" s="189">
        <v>0</v>
      </c>
      <c r="H84" s="73">
        <v>1</v>
      </c>
      <c r="I84" s="189">
        <v>33</v>
      </c>
      <c r="J84" s="189">
        <v>0.82499999999999996</v>
      </c>
      <c r="K84" s="73">
        <v>1</v>
      </c>
      <c r="L84" s="189">
        <v>33</v>
      </c>
      <c r="M84" s="189">
        <v>0.82499999999999996</v>
      </c>
      <c r="N84" s="73">
        <v>3</v>
      </c>
      <c r="O84" s="189">
        <v>22</v>
      </c>
      <c r="P84" s="189">
        <v>0.55000000000000004</v>
      </c>
      <c r="Q84" s="73">
        <v>4</v>
      </c>
      <c r="R84" s="189">
        <v>55</v>
      </c>
      <c r="S84" s="189">
        <v>1.375</v>
      </c>
    </row>
    <row r="85" spans="1:19" ht="15.75" thickBot="1" x14ac:dyDescent="0.3">
      <c r="A85" s="44" t="s">
        <v>1249</v>
      </c>
      <c r="B85" s="48" t="s">
        <v>1250</v>
      </c>
      <c r="C85" s="44" t="s">
        <v>798</v>
      </c>
      <c r="D85" s="73">
        <v>4968</v>
      </c>
      <c r="E85" s="73">
        <v>0</v>
      </c>
      <c r="F85" s="189">
        <v>0</v>
      </c>
      <c r="G85" s="189">
        <v>0</v>
      </c>
      <c r="H85" s="73">
        <v>1</v>
      </c>
      <c r="I85" s="189">
        <v>35</v>
      </c>
      <c r="J85" s="189">
        <v>0.875</v>
      </c>
      <c r="K85" s="73">
        <v>1</v>
      </c>
      <c r="L85" s="189">
        <v>35</v>
      </c>
      <c r="M85" s="189">
        <v>0.875</v>
      </c>
      <c r="N85" s="73">
        <v>1</v>
      </c>
      <c r="O85" s="189">
        <v>20</v>
      </c>
      <c r="P85" s="189">
        <v>0.5</v>
      </c>
      <c r="Q85" s="73">
        <v>2</v>
      </c>
      <c r="R85" s="189">
        <v>55</v>
      </c>
      <c r="S85" s="189">
        <v>1.375</v>
      </c>
    </row>
    <row r="86" spans="1:19" ht="15.75" thickBot="1" x14ac:dyDescent="0.3">
      <c r="A86" s="44" t="s">
        <v>1261</v>
      </c>
      <c r="B86" s="48" t="s">
        <v>1262</v>
      </c>
      <c r="C86" s="44" t="s">
        <v>798</v>
      </c>
      <c r="D86" s="73">
        <v>4101</v>
      </c>
      <c r="E86" s="73">
        <v>0</v>
      </c>
      <c r="F86" s="189">
        <v>0</v>
      </c>
      <c r="G86" s="189">
        <v>0</v>
      </c>
      <c r="H86" s="73">
        <v>1</v>
      </c>
      <c r="I86" s="189">
        <v>60</v>
      </c>
      <c r="J86" s="189">
        <v>1.5</v>
      </c>
      <c r="K86" s="73">
        <v>1</v>
      </c>
      <c r="L86" s="189">
        <v>38</v>
      </c>
      <c r="M86" s="189">
        <v>0.95</v>
      </c>
      <c r="N86" s="73">
        <v>5</v>
      </c>
      <c r="O86" s="189">
        <v>60</v>
      </c>
      <c r="P86" s="189">
        <v>1.5</v>
      </c>
      <c r="Q86" s="73">
        <v>6</v>
      </c>
      <c r="R86" s="189">
        <v>98</v>
      </c>
      <c r="S86" s="189">
        <v>2.4500000000000002</v>
      </c>
    </row>
    <row r="87" spans="1:19" ht="15.75" thickBot="1" x14ac:dyDescent="0.3">
      <c r="A87" s="44" t="s">
        <v>1263</v>
      </c>
      <c r="B87" s="48" t="s">
        <v>1264</v>
      </c>
      <c r="C87" s="44" t="s">
        <v>798</v>
      </c>
      <c r="D87" s="73">
        <v>5241</v>
      </c>
      <c r="E87" s="73">
        <v>0</v>
      </c>
      <c r="F87" s="189">
        <v>0</v>
      </c>
      <c r="G87" s="189">
        <v>0</v>
      </c>
      <c r="H87" s="73">
        <v>4</v>
      </c>
      <c r="I87" s="189">
        <v>84</v>
      </c>
      <c r="J87" s="189">
        <v>2.1</v>
      </c>
      <c r="K87" s="73">
        <v>4</v>
      </c>
      <c r="L87" s="189">
        <v>84</v>
      </c>
      <c r="M87" s="189">
        <v>2.1</v>
      </c>
      <c r="N87" s="73">
        <v>0</v>
      </c>
      <c r="O87" s="189">
        <v>0</v>
      </c>
      <c r="P87" s="189">
        <v>0</v>
      </c>
      <c r="Q87" s="73">
        <v>4</v>
      </c>
      <c r="R87" s="189">
        <v>84</v>
      </c>
      <c r="S87" s="189">
        <v>2.1</v>
      </c>
    </row>
    <row r="88" spans="1:19" ht="15.75" thickBot="1" x14ac:dyDescent="0.3">
      <c r="A88" s="44" t="s">
        <v>1271</v>
      </c>
      <c r="B88" s="48" t="s">
        <v>1272</v>
      </c>
      <c r="C88" s="44" t="s">
        <v>798</v>
      </c>
      <c r="D88" s="73">
        <v>5160</v>
      </c>
      <c r="E88" s="73">
        <v>0</v>
      </c>
      <c r="F88" s="189">
        <v>0</v>
      </c>
      <c r="G88" s="189">
        <v>0</v>
      </c>
      <c r="H88" s="73">
        <v>1</v>
      </c>
      <c r="I88" s="189">
        <v>40</v>
      </c>
      <c r="J88" s="189">
        <v>1</v>
      </c>
      <c r="K88" s="73">
        <v>1</v>
      </c>
      <c r="L88" s="189">
        <v>40</v>
      </c>
      <c r="M88" s="189">
        <v>1</v>
      </c>
      <c r="N88" s="73">
        <v>5</v>
      </c>
      <c r="O88" s="189">
        <v>82</v>
      </c>
      <c r="P88" s="189">
        <v>2.0499999999999998</v>
      </c>
      <c r="Q88" s="73">
        <v>6</v>
      </c>
      <c r="R88" s="189">
        <v>122</v>
      </c>
      <c r="S88" s="189">
        <v>3.05</v>
      </c>
    </row>
    <row r="89" spans="1:19" ht="15.75" thickBot="1" x14ac:dyDescent="0.3">
      <c r="A89" s="44" t="s">
        <v>1273</v>
      </c>
      <c r="B89" s="48" t="s">
        <v>1274</v>
      </c>
      <c r="C89" s="44" t="s">
        <v>798</v>
      </c>
      <c r="D89" s="73">
        <v>5841</v>
      </c>
      <c r="E89" s="73">
        <v>0</v>
      </c>
      <c r="F89" s="189">
        <v>0</v>
      </c>
      <c r="G89" s="189">
        <v>0</v>
      </c>
      <c r="H89" s="73">
        <v>1</v>
      </c>
      <c r="I89" s="189">
        <v>37.5</v>
      </c>
      <c r="J89" s="189">
        <v>0.9375</v>
      </c>
      <c r="K89" s="73">
        <v>1</v>
      </c>
      <c r="L89" s="189">
        <v>37.5</v>
      </c>
      <c r="M89" s="189">
        <v>0.9375</v>
      </c>
      <c r="N89" s="73">
        <v>5</v>
      </c>
      <c r="O89" s="189">
        <v>52</v>
      </c>
      <c r="P89" s="189">
        <v>1.3</v>
      </c>
      <c r="Q89" s="73">
        <v>6</v>
      </c>
      <c r="R89" s="189">
        <v>89.5</v>
      </c>
      <c r="S89" s="189">
        <v>2.2374999999999998</v>
      </c>
    </row>
    <row r="90" spans="1:19" ht="15.75" thickBot="1" x14ac:dyDescent="0.3">
      <c r="A90" s="44" t="s">
        <v>1279</v>
      </c>
      <c r="B90" s="48" t="s">
        <v>1280</v>
      </c>
      <c r="C90" s="44" t="s">
        <v>798</v>
      </c>
      <c r="D90" s="73">
        <v>4730</v>
      </c>
      <c r="E90" s="73">
        <v>0</v>
      </c>
      <c r="F90" s="189">
        <v>0</v>
      </c>
      <c r="G90" s="189">
        <v>0</v>
      </c>
      <c r="H90" s="73">
        <v>1</v>
      </c>
      <c r="I90" s="189">
        <v>32</v>
      </c>
      <c r="J90" s="189">
        <v>0.8</v>
      </c>
      <c r="K90" s="73">
        <v>1</v>
      </c>
      <c r="L90" s="189">
        <v>32</v>
      </c>
      <c r="M90" s="189">
        <v>0.8</v>
      </c>
      <c r="N90" s="73">
        <v>3</v>
      </c>
      <c r="O90" s="189">
        <v>30</v>
      </c>
      <c r="P90" s="189">
        <v>0.75</v>
      </c>
      <c r="Q90" s="73">
        <v>4</v>
      </c>
      <c r="R90" s="189">
        <v>62</v>
      </c>
      <c r="S90" s="189">
        <v>1.55</v>
      </c>
    </row>
    <row r="91" spans="1:19" ht="15.75" thickBot="1" x14ac:dyDescent="0.3">
      <c r="A91" s="44" t="s">
        <v>1297</v>
      </c>
      <c r="B91" s="48" t="s">
        <v>1298</v>
      </c>
      <c r="C91" s="44" t="s">
        <v>798</v>
      </c>
      <c r="D91" s="73">
        <v>5072</v>
      </c>
      <c r="E91" s="73">
        <v>0</v>
      </c>
      <c r="F91" s="189">
        <v>0</v>
      </c>
      <c r="G91" s="189">
        <v>0</v>
      </c>
      <c r="H91" s="73">
        <v>1</v>
      </c>
      <c r="I91" s="189">
        <v>40</v>
      </c>
      <c r="J91" s="189">
        <v>1</v>
      </c>
      <c r="K91" s="73">
        <v>1</v>
      </c>
      <c r="L91" s="189">
        <v>40</v>
      </c>
      <c r="M91" s="189">
        <v>1</v>
      </c>
      <c r="N91" s="73">
        <v>4</v>
      </c>
      <c r="O91" s="189">
        <v>77</v>
      </c>
      <c r="P91" s="189">
        <v>1.925</v>
      </c>
      <c r="Q91" s="73">
        <v>5</v>
      </c>
      <c r="R91" s="189">
        <v>117</v>
      </c>
      <c r="S91" s="189">
        <v>2.9249999999999998</v>
      </c>
    </row>
    <row r="92" spans="1:19" ht="15.75" thickBot="1" x14ac:dyDescent="0.3">
      <c r="A92" s="44" t="s">
        <v>1311</v>
      </c>
      <c r="B92" s="48" t="s">
        <v>1312</v>
      </c>
      <c r="C92" s="44" t="s">
        <v>798</v>
      </c>
      <c r="D92" s="73">
        <v>5302</v>
      </c>
      <c r="E92" s="73">
        <v>0</v>
      </c>
      <c r="F92" s="189">
        <v>0</v>
      </c>
      <c r="G92" s="189">
        <v>0</v>
      </c>
      <c r="H92" s="73">
        <v>3</v>
      </c>
      <c r="I92" s="189">
        <v>167</v>
      </c>
      <c r="J92" s="189">
        <v>4.1749999999999998</v>
      </c>
      <c r="K92" s="73">
        <v>3</v>
      </c>
      <c r="L92" s="189">
        <v>167</v>
      </c>
      <c r="M92" s="189">
        <v>4.1749999999999998</v>
      </c>
      <c r="N92" s="73">
        <v>11</v>
      </c>
      <c r="O92" s="189">
        <v>120</v>
      </c>
      <c r="P92" s="189">
        <v>3</v>
      </c>
      <c r="Q92" s="73">
        <v>14</v>
      </c>
      <c r="R92" s="189">
        <v>287</v>
      </c>
      <c r="S92" s="189">
        <v>7.1749999999999998</v>
      </c>
    </row>
    <row r="93" spans="1:19" ht="15.75" thickBot="1" x14ac:dyDescent="0.3">
      <c r="A93" s="44" t="s">
        <v>1313</v>
      </c>
      <c r="B93" s="48" t="s">
        <v>1314</v>
      </c>
      <c r="C93" s="44" t="s">
        <v>798</v>
      </c>
      <c r="D93" s="73">
        <v>6834</v>
      </c>
      <c r="E93" s="73">
        <v>0</v>
      </c>
      <c r="F93" s="189">
        <v>0</v>
      </c>
      <c r="G93" s="189">
        <v>0</v>
      </c>
      <c r="H93" s="73">
        <v>0</v>
      </c>
      <c r="I93" s="189">
        <v>0</v>
      </c>
      <c r="J93" s="189">
        <v>0</v>
      </c>
      <c r="K93" s="73">
        <v>0</v>
      </c>
      <c r="L93" s="189">
        <v>0</v>
      </c>
      <c r="M93" s="189">
        <v>0</v>
      </c>
      <c r="N93" s="73">
        <v>10</v>
      </c>
      <c r="O93" s="189">
        <v>210</v>
      </c>
      <c r="P93" s="189">
        <v>5.25</v>
      </c>
      <c r="Q93" s="73">
        <v>10</v>
      </c>
      <c r="R93" s="189">
        <v>210</v>
      </c>
      <c r="S93" s="189">
        <v>5.25</v>
      </c>
    </row>
    <row r="94" spans="1:19" ht="15.75" thickBot="1" x14ac:dyDescent="0.3">
      <c r="A94" s="44" t="s">
        <v>1317</v>
      </c>
      <c r="B94" s="48" t="s">
        <v>1318</v>
      </c>
      <c r="C94" s="44" t="s">
        <v>798</v>
      </c>
      <c r="D94" s="73">
        <v>4469</v>
      </c>
      <c r="E94" s="73">
        <v>0</v>
      </c>
      <c r="F94" s="189">
        <v>0</v>
      </c>
      <c r="G94" s="189">
        <v>0</v>
      </c>
      <c r="H94" s="73">
        <v>1</v>
      </c>
      <c r="I94" s="189">
        <v>30</v>
      </c>
      <c r="J94" s="189">
        <v>0.75</v>
      </c>
      <c r="K94" s="73">
        <v>1</v>
      </c>
      <c r="L94" s="189">
        <v>30</v>
      </c>
      <c r="M94" s="189">
        <v>0.75</v>
      </c>
      <c r="N94" s="73">
        <v>1</v>
      </c>
      <c r="O94" s="189">
        <v>18</v>
      </c>
      <c r="P94" s="189">
        <v>0.45</v>
      </c>
      <c r="Q94" s="73">
        <v>2</v>
      </c>
      <c r="R94" s="189">
        <v>48</v>
      </c>
      <c r="S94" s="189">
        <v>1.2</v>
      </c>
    </row>
    <row r="95" spans="1:19" ht="15.75" thickBot="1" x14ac:dyDescent="0.3">
      <c r="A95" s="44" t="s">
        <v>1325</v>
      </c>
      <c r="B95" s="48" t="s">
        <v>1326</v>
      </c>
      <c r="C95" s="44" t="s">
        <v>798</v>
      </c>
      <c r="D95" s="73">
        <v>6174</v>
      </c>
      <c r="E95" s="73">
        <v>0</v>
      </c>
      <c r="F95" s="189">
        <v>0</v>
      </c>
      <c r="G95" s="189">
        <v>0</v>
      </c>
      <c r="H95" s="73">
        <v>1</v>
      </c>
      <c r="I95" s="189">
        <v>24</v>
      </c>
      <c r="J95" s="189">
        <v>0.6</v>
      </c>
      <c r="K95" s="73">
        <v>1</v>
      </c>
      <c r="L95" s="189">
        <v>24</v>
      </c>
      <c r="M95" s="189">
        <v>0.6</v>
      </c>
      <c r="N95" s="73">
        <v>7</v>
      </c>
      <c r="O95" s="189">
        <v>124</v>
      </c>
      <c r="P95" s="189">
        <v>3.1</v>
      </c>
      <c r="Q95" s="73">
        <v>8</v>
      </c>
      <c r="R95" s="189">
        <v>148</v>
      </c>
      <c r="S95" s="189">
        <v>3.7</v>
      </c>
    </row>
    <row r="96" spans="1:19" ht="15.75" thickBot="1" x14ac:dyDescent="0.3">
      <c r="A96" s="44" t="s">
        <v>1345</v>
      </c>
      <c r="B96" s="48" t="s">
        <v>1346</v>
      </c>
      <c r="C96" s="44" t="s">
        <v>798</v>
      </c>
      <c r="D96" s="73">
        <v>5305</v>
      </c>
      <c r="E96" s="73">
        <v>0</v>
      </c>
      <c r="F96" s="189">
        <v>0</v>
      </c>
      <c r="G96" s="189">
        <v>0</v>
      </c>
      <c r="H96" s="73">
        <v>2</v>
      </c>
      <c r="I96" s="189">
        <v>60</v>
      </c>
      <c r="J96" s="189">
        <v>1.5</v>
      </c>
      <c r="K96" s="73">
        <v>2</v>
      </c>
      <c r="L96" s="189">
        <v>60</v>
      </c>
      <c r="M96" s="189">
        <v>1.5</v>
      </c>
      <c r="N96" s="73">
        <v>5</v>
      </c>
      <c r="O96" s="189">
        <v>58</v>
      </c>
      <c r="P96" s="189">
        <v>1.45</v>
      </c>
      <c r="Q96" s="73">
        <v>7</v>
      </c>
      <c r="R96" s="189">
        <v>118</v>
      </c>
      <c r="S96" s="189">
        <v>2.95</v>
      </c>
    </row>
    <row r="97" spans="1:19" ht="15.75" thickBot="1" x14ac:dyDescent="0.3">
      <c r="A97" s="44" t="s">
        <v>1351</v>
      </c>
      <c r="B97" s="48" t="s">
        <v>1352</v>
      </c>
      <c r="C97" s="44" t="s">
        <v>798</v>
      </c>
      <c r="D97" s="73">
        <v>6341</v>
      </c>
      <c r="E97" s="73">
        <v>0</v>
      </c>
      <c r="F97" s="189">
        <v>0</v>
      </c>
      <c r="G97" s="189">
        <v>0</v>
      </c>
      <c r="H97" s="73">
        <v>1</v>
      </c>
      <c r="I97" s="189">
        <v>40</v>
      </c>
      <c r="J97" s="189">
        <v>1</v>
      </c>
      <c r="K97" s="73">
        <v>1</v>
      </c>
      <c r="L97" s="189">
        <v>40</v>
      </c>
      <c r="M97" s="189">
        <v>1</v>
      </c>
      <c r="N97" s="73">
        <v>6</v>
      </c>
      <c r="O97" s="189">
        <v>120</v>
      </c>
      <c r="P97" s="189">
        <v>3</v>
      </c>
      <c r="Q97" s="73">
        <v>7</v>
      </c>
      <c r="R97" s="189">
        <v>160</v>
      </c>
      <c r="S97" s="189">
        <v>4</v>
      </c>
    </row>
    <row r="98" spans="1:19" ht="15.75" thickBot="1" x14ac:dyDescent="0.3">
      <c r="A98" s="44" t="s">
        <v>1357</v>
      </c>
      <c r="B98" s="48" t="s">
        <v>1358</v>
      </c>
      <c r="C98" s="44" t="s">
        <v>798</v>
      </c>
      <c r="D98" s="73">
        <v>5433</v>
      </c>
      <c r="E98" s="73">
        <v>0</v>
      </c>
      <c r="F98" s="189">
        <v>0</v>
      </c>
      <c r="G98" s="189">
        <v>0</v>
      </c>
      <c r="H98" s="73">
        <v>10</v>
      </c>
      <c r="I98" s="189">
        <v>114</v>
      </c>
      <c r="J98" s="189">
        <v>2.85</v>
      </c>
      <c r="K98" s="73">
        <v>10</v>
      </c>
      <c r="L98" s="189">
        <v>114</v>
      </c>
      <c r="M98" s="189">
        <v>2.85</v>
      </c>
      <c r="N98" s="73">
        <v>0</v>
      </c>
      <c r="O98" s="189">
        <v>0</v>
      </c>
      <c r="P98" s="189">
        <v>0</v>
      </c>
      <c r="Q98" s="73">
        <v>10</v>
      </c>
      <c r="R98" s="189">
        <v>114</v>
      </c>
      <c r="S98" s="189">
        <v>2.85</v>
      </c>
    </row>
    <row r="99" spans="1:19" ht="15.75" thickBot="1" x14ac:dyDescent="0.3">
      <c r="A99" s="44" t="s">
        <v>1367</v>
      </c>
      <c r="B99" s="48" t="s">
        <v>1368</v>
      </c>
      <c r="C99" s="44" t="s">
        <v>798</v>
      </c>
      <c r="D99" s="73">
        <v>6654</v>
      </c>
      <c r="E99" s="73">
        <v>0</v>
      </c>
      <c r="F99" s="189">
        <v>0</v>
      </c>
      <c r="G99" s="189">
        <v>0</v>
      </c>
      <c r="H99" s="73">
        <v>1</v>
      </c>
      <c r="I99" s="189">
        <v>40</v>
      </c>
      <c r="J99" s="189">
        <v>1</v>
      </c>
      <c r="K99" s="73">
        <v>1</v>
      </c>
      <c r="L99" s="189">
        <v>40</v>
      </c>
      <c r="M99" s="189">
        <v>1</v>
      </c>
      <c r="N99" s="73">
        <v>7</v>
      </c>
      <c r="O99" s="189">
        <v>159</v>
      </c>
      <c r="P99" s="189">
        <v>3.9750000000000001</v>
      </c>
      <c r="Q99" s="73">
        <v>9</v>
      </c>
      <c r="R99" s="189">
        <v>199</v>
      </c>
      <c r="S99" s="189">
        <v>4.9749999999999996</v>
      </c>
    </row>
    <row r="100" spans="1:19" ht="15.75" thickBot="1" x14ac:dyDescent="0.3">
      <c r="A100" s="44" t="s">
        <v>1371</v>
      </c>
      <c r="B100" s="48" t="s">
        <v>1372</v>
      </c>
      <c r="C100" s="44" t="s">
        <v>798</v>
      </c>
      <c r="D100" s="73">
        <v>4105</v>
      </c>
      <c r="E100" s="73">
        <v>0</v>
      </c>
      <c r="F100" s="189">
        <v>0</v>
      </c>
      <c r="G100" s="189">
        <v>0</v>
      </c>
      <c r="H100" s="73">
        <v>1</v>
      </c>
      <c r="I100" s="189">
        <v>28</v>
      </c>
      <c r="J100" s="189">
        <v>0.7</v>
      </c>
      <c r="K100" s="73">
        <v>1</v>
      </c>
      <c r="L100" s="189">
        <v>28</v>
      </c>
      <c r="M100" s="189">
        <v>0.7</v>
      </c>
      <c r="N100" s="73">
        <v>3</v>
      </c>
      <c r="O100" s="189">
        <v>10</v>
      </c>
      <c r="P100" s="189">
        <v>0.25</v>
      </c>
      <c r="Q100" s="73">
        <v>4</v>
      </c>
      <c r="R100" s="189">
        <v>38</v>
      </c>
      <c r="S100" s="189">
        <v>0.95</v>
      </c>
    </row>
    <row r="101" spans="1:19" ht="15.75" thickBot="1" x14ac:dyDescent="0.3">
      <c r="A101" s="44" t="s">
        <v>1377</v>
      </c>
      <c r="B101" s="48" t="s">
        <v>1378</v>
      </c>
      <c r="C101" s="44" t="s">
        <v>798</v>
      </c>
      <c r="D101" s="73">
        <v>5033</v>
      </c>
      <c r="E101" s="73">
        <v>0</v>
      </c>
      <c r="F101" s="189">
        <v>0</v>
      </c>
      <c r="G101" s="189">
        <v>0</v>
      </c>
      <c r="H101" s="73">
        <v>1</v>
      </c>
      <c r="I101" s="189">
        <v>17</v>
      </c>
      <c r="J101" s="189">
        <v>0.42499999999999999</v>
      </c>
      <c r="K101" s="73">
        <v>1</v>
      </c>
      <c r="L101" s="189">
        <v>44</v>
      </c>
      <c r="M101" s="189">
        <v>1.1000000000000001</v>
      </c>
      <c r="N101" s="73">
        <v>1</v>
      </c>
      <c r="O101" s="189">
        <v>16</v>
      </c>
      <c r="P101" s="189">
        <v>0.4</v>
      </c>
      <c r="Q101" s="73">
        <v>5</v>
      </c>
      <c r="R101" s="189">
        <v>60</v>
      </c>
      <c r="S101" s="189">
        <v>1.5</v>
      </c>
    </row>
    <row r="102" spans="1:19" ht="15.75" thickBot="1" x14ac:dyDescent="0.3">
      <c r="A102" s="44" t="s">
        <v>1385</v>
      </c>
      <c r="B102" s="48" t="s">
        <v>1386</v>
      </c>
      <c r="C102" s="44" t="s">
        <v>798</v>
      </c>
      <c r="D102" s="73">
        <v>5413</v>
      </c>
      <c r="E102" s="73">
        <v>0</v>
      </c>
      <c r="F102" s="189">
        <v>0</v>
      </c>
      <c r="G102" s="189">
        <v>0</v>
      </c>
      <c r="H102" s="73">
        <v>1</v>
      </c>
      <c r="I102" s="189">
        <v>27</v>
      </c>
      <c r="J102" s="189">
        <v>0.67500000000000004</v>
      </c>
      <c r="K102" s="73">
        <v>1</v>
      </c>
      <c r="L102" s="189">
        <v>27</v>
      </c>
      <c r="M102" s="189">
        <v>0.67500000000000004</v>
      </c>
      <c r="N102" s="73">
        <v>2</v>
      </c>
      <c r="O102" s="189">
        <v>46</v>
      </c>
      <c r="P102" s="189">
        <v>1.1499999999999999</v>
      </c>
      <c r="Q102" s="73">
        <v>3</v>
      </c>
      <c r="R102" s="189">
        <v>73</v>
      </c>
      <c r="S102" s="189">
        <v>1.825</v>
      </c>
    </row>
    <row r="103" spans="1:19" ht="15.75" thickBot="1" x14ac:dyDescent="0.3">
      <c r="A103" s="44" t="s">
        <v>1391</v>
      </c>
      <c r="B103" s="48" t="s">
        <v>1392</v>
      </c>
      <c r="C103" s="44" t="s">
        <v>798</v>
      </c>
      <c r="D103" s="73">
        <v>6847</v>
      </c>
      <c r="E103" s="73">
        <v>0</v>
      </c>
      <c r="F103" s="189">
        <v>0</v>
      </c>
      <c r="G103" s="189">
        <v>0</v>
      </c>
      <c r="H103" s="73">
        <v>2</v>
      </c>
      <c r="I103" s="189">
        <v>46</v>
      </c>
      <c r="J103" s="189">
        <v>1.1499999999999999</v>
      </c>
      <c r="K103" s="73">
        <v>2</v>
      </c>
      <c r="L103" s="189">
        <v>46</v>
      </c>
      <c r="M103" s="189">
        <v>1.1499999999999999</v>
      </c>
      <c r="N103" s="73">
        <v>6</v>
      </c>
      <c r="O103" s="189">
        <v>51</v>
      </c>
      <c r="P103" s="189">
        <v>1.2749999999999999</v>
      </c>
      <c r="Q103" s="73">
        <v>8</v>
      </c>
      <c r="R103" s="189">
        <v>97</v>
      </c>
      <c r="S103" s="189">
        <v>2.4249999999999998</v>
      </c>
    </row>
    <row r="104" spans="1:19" ht="15.75" thickBot="1" x14ac:dyDescent="0.3">
      <c r="A104" s="44" t="s">
        <v>1393</v>
      </c>
      <c r="B104" s="48" t="s">
        <v>1394</v>
      </c>
      <c r="C104" s="44" t="s">
        <v>798</v>
      </c>
      <c r="D104" s="73">
        <v>6240</v>
      </c>
      <c r="E104" s="73">
        <v>0</v>
      </c>
      <c r="F104" s="189">
        <v>0</v>
      </c>
      <c r="G104" s="189">
        <v>0</v>
      </c>
      <c r="H104" s="73">
        <v>1</v>
      </c>
      <c r="I104" s="189">
        <v>45</v>
      </c>
      <c r="J104" s="189">
        <v>1.125</v>
      </c>
      <c r="K104" s="73">
        <v>1</v>
      </c>
      <c r="L104" s="189">
        <v>45</v>
      </c>
      <c r="M104" s="189">
        <v>1.125</v>
      </c>
      <c r="N104" s="73">
        <v>3</v>
      </c>
      <c r="O104" s="189">
        <v>70</v>
      </c>
      <c r="P104" s="189">
        <v>1.75</v>
      </c>
      <c r="Q104" s="73">
        <v>4</v>
      </c>
      <c r="R104" s="189">
        <v>115</v>
      </c>
      <c r="S104" s="189">
        <v>2.875</v>
      </c>
    </row>
    <row r="105" spans="1:19" ht="15.75" thickBot="1" x14ac:dyDescent="0.3">
      <c r="A105" s="44" t="s">
        <v>1399</v>
      </c>
      <c r="B105" s="48" t="s">
        <v>1400</v>
      </c>
      <c r="C105" s="44" t="s">
        <v>798</v>
      </c>
      <c r="D105" s="73">
        <v>5376</v>
      </c>
      <c r="E105" s="73">
        <v>0</v>
      </c>
      <c r="F105" s="189">
        <v>0</v>
      </c>
      <c r="G105" s="189">
        <v>0</v>
      </c>
      <c r="H105" s="73">
        <v>1</v>
      </c>
      <c r="I105" s="189">
        <v>37</v>
      </c>
      <c r="J105" s="189">
        <v>0.92500000000000004</v>
      </c>
      <c r="K105" s="73">
        <v>1</v>
      </c>
      <c r="L105" s="189">
        <v>37</v>
      </c>
      <c r="M105" s="189">
        <v>0.92500000000000004</v>
      </c>
      <c r="N105" s="73">
        <v>2</v>
      </c>
      <c r="O105" s="189">
        <v>27</v>
      </c>
      <c r="P105" s="189">
        <v>0.67500000000000004</v>
      </c>
      <c r="Q105" s="73">
        <v>3</v>
      </c>
      <c r="R105" s="189">
        <v>64</v>
      </c>
      <c r="S105" s="189">
        <v>1.6</v>
      </c>
    </row>
    <row r="106" spans="1:19" ht="15.75" thickBot="1" x14ac:dyDescent="0.3">
      <c r="A106" s="44" t="s">
        <v>1417</v>
      </c>
      <c r="B106" s="48" t="s">
        <v>1418</v>
      </c>
      <c r="C106" s="44" t="s">
        <v>798</v>
      </c>
      <c r="D106" s="73">
        <v>4659</v>
      </c>
      <c r="E106" s="73">
        <v>0</v>
      </c>
      <c r="F106" s="189">
        <v>0</v>
      </c>
      <c r="G106" s="189">
        <v>0</v>
      </c>
      <c r="H106" s="73">
        <v>1</v>
      </c>
      <c r="I106" s="189">
        <v>40</v>
      </c>
      <c r="J106" s="189">
        <v>1</v>
      </c>
      <c r="K106" s="73">
        <v>1</v>
      </c>
      <c r="L106" s="189">
        <v>40</v>
      </c>
      <c r="M106" s="189">
        <v>1</v>
      </c>
      <c r="N106" s="73">
        <v>5</v>
      </c>
      <c r="O106" s="189">
        <v>88</v>
      </c>
      <c r="P106" s="189">
        <v>2.2000000000000002</v>
      </c>
      <c r="Q106" s="73">
        <v>6</v>
      </c>
      <c r="R106" s="189">
        <v>128</v>
      </c>
      <c r="S106" s="189">
        <v>3.2</v>
      </c>
    </row>
    <row r="107" spans="1:19" ht="15.75" thickBot="1" x14ac:dyDescent="0.3">
      <c r="A107" s="44" t="s">
        <v>1443</v>
      </c>
      <c r="B107" s="48" t="s">
        <v>1444</v>
      </c>
      <c r="C107" s="44" t="s">
        <v>798</v>
      </c>
      <c r="D107" s="73">
        <v>4434</v>
      </c>
      <c r="E107" s="73">
        <v>0</v>
      </c>
      <c r="F107" s="189">
        <v>0</v>
      </c>
      <c r="G107" s="189">
        <v>0</v>
      </c>
      <c r="H107" s="73">
        <v>1</v>
      </c>
      <c r="I107" s="189">
        <v>40</v>
      </c>
      <c r="J107" s="189">
        <v>1</v>
      </c>
      <c r="K107" s="73">
        <v>1</v>
      </c>
      <c r="L107" s="189">
        <v>40</v>
      </c>
      <c r="M107" s="189">
        <v>1</v>
      </c>
      <c r="N107" s="73">
        <v>2</v>
      </c>
      <c r="O107" s="189">
        <v>52</v>
      </c>
      <c r="P107" s="189">
        <v>1.3</v>
      </c>
      <c r="Q107" s="73">
        <v>2</v>
      </c>
      <c r="R107" s="189">
        <v>92</v>
      </c>
      <c r="S107" s="189">
        <v>2.2999999999999998</v>
      </c>
    </row>
    <row r="108" spans="1:19" ht="15.75" thickBot="1" x14ac:dyDescent="0.3">
      <c r="A108" s="44" t="s">
        <v>1463</v>
      </c>
      <c r="B108" s="48" t="s">
        <v>1464</v>
      </c>
      <c r="C108" s="44" t="s">
        <v>798</v>
      </c>
      <c r="D108" s="73">
        <v>4038</v>
      </c>
      <c r="E108" s="73">
        <v>0</v>
      </c>
      <c r="F108" s="189">
        <v>0</v>
      </c>
      <c r="G108" s="189">
        <v>0</v>
      </c>
      <c r="H108" s="73">
        <v>1</v>
      </c>
      <c r="I108" s="189">
        <v>35</v>
      </c>
      <c r="J108" s="189">
        <v>0.875</v>
      </c>
      <c r="K108" s="73">
        <v>1</v>
      </c>
      <c r="L108" s="189">
        <v>35</v>
      </c>
      <c r="M108" s="189">
        <v>0.875</v>
      </c>
      <c r="N108" s="73">
        <v>4</v>
      </c>
      <c r="O108" s="189">
        <v>38</v>
      </c>
      <c r="P108" s="189">
        <v>0.95</v>
      </c>
      <c r="Q108" s="73">
        <v>5</v>
      </c>
      <c r="R108" s="189">
        <v>73</v>
      </c>
      <c r="S108" s="189">
        <v>1.825</v>
      </c>
    </row>
    <row r="109" spans="1:19" ht="15.75" thickBot="1" x14ac:dyDescent="0.3">
      <c r="A109" s="44" t="s">
        <v>1472</v>
      </c>
      <c r="B109" s="48" t="s">
        <v>1473</v>
      </c>
      <c r="C109" s="44" t="s">
        <v>798</v>
      </c>
      <c r="D109" s="73">
        <v>5635</v>
      </c>
      <c r="E109" s="73">
        <v>0</v>
      </c>
      <c r="F109" s="189">
        <v>0</v>
      </c>
      <c r="G109" s="189">
        <v>0</v>
      </c>
      <c r="H109" s="73">
        <v>1</v>
      </c>
      <c r="I109" s="189">
        <v>40</v>
      </c>
      <c r="J109" s="189">
        <v>1</v>
      </c>
      <c r="K109" s="73">
        <v>1</v>
      </c>
      <c r="L109" s="189">
        <v>40</v>
      </c>
      <c r="M109" s="189">
        <v>1</v>
      </c>
      <c r="N109" s="73">
        <v>3</v>
      </c>
      <c r="O109" s="189">
        <v>38</v>
      </c>
      <c r="P109" s="189">
        <v>0.95</v>
      </c>
      <c r="Q109" s="73">
        <v>4</v>
      </c>
      <c r="R109" s="189">
        <v>78</v>
      </c>
      <c r="S109" s="189">
        <v>1.95</v>
      </c>
    </row>
    <row r="110" spans="1:19" ht="15.75" thickBot="1" x14ac:dyDescent="0.3">
      <c r="A110" s="44" t="s">
        <v>1514</v>
      </c>
      <c r="B110" s="48" t="s">
        <v>1515</v>
      </c>
      <c r="C110" s="44" t="s">
        <v>798</v>
      </c>
      <c r="D110" s="73">
        <v>6680</v>
      </c>
      <c r="E110" s="73">
        <v>0</v>
      </c>
      <c r="F110" s="189">
        <v>0</v>
      </c>
      <c r="G110" s="189">
        <v>0</v>
      </c>
      <c r="H110" s="73">
        <v>1</v>
      </c>
      <c r="I110" s="189">
        <v>35</v>
      </c>
      <c r="J110" s="189">
        <v>0.875</v>
      </c>
      <c r="K110" s="73">
        <v>1</v>
      </c>
      <c r="L110" s="189">
        <v>35</v>
      </c>
      <c r="M110" s="189">
        <v>0.875</v>
      </c>
      <c r="N110" s="73">
        <v>1</v>
      </c>
      <c r="O110" s="189">
        <v>22</v>
      </c>
      <c r="P110" s="189">
        <v>0.55000000000000004</v>
      </c>
      <c r="Q110" s="73">
        <v>2</v>
      </c>
      <c r="R110" s="189">
        <v>57</v>
      </c>
      <c r="S110" s="189">
        <v>1.425</v>
      </c>
    </row>
    <row r="111" spans="1:19" ht="15.75" thickBot="1" x14ac:dyDescent="0.3">
      <c r="A111" s="44" t="s">
        <v>1522</v>
      </c>
      <c r="B111" s="48" t="s">
        <v>1523</v>
      </c>
      <c r="C111" s="44" t="s">
        <v>798</v>
      </c>
      <c r="D111" s="73">
        <v>6033</v>
      </c>
      <c r="E111" s="73">
        <v>0</v>
      </c>
      <c r="F111" s="189">
        <v>0</v>
      </c>
      <c r="G111" s="189">
        <v>0</v>
      </c>
      <c r="H111" s="73">
        <v>1</v>
      </c>
      <c r="I111" s="189">
        <v>40</v>
      </c>
      <c r="J111" s="189">
        <v>1</v>
      </c>
      <c r="K111" s="73">
        <v>1</v>
      </c>
      <c r="L111" s="189">
        <v>40</v>
      </c>
      <c r="M111" s="189">
        <v>1</v>
      </c>
      <c r="N111" s="73">
        <v>2</v>
      </c>
      <c r="O111" s="189">
        <v>21</v>
      </c>
      <c r="P111" s="189">
        <v>0.52500000000000002</v>
      </c>
      <c r="Q111" s="73">
        <v>3</v>
      </c>
      <c r="R111" s="189">
        <v>61</v>
      </c>
      <c r="S111" s="189">
        <v>1.5249999999999999</v>
      </c>
    </row>
    <row r="112" spans="1:19" ht="15.75" thickBot="1" x14ac:dyDescent="0.3">
      <c r="A112" s="44" t="s">
        <v>1530</v>
      </c>
      <c r="B112" s="48" t="s">
        <v>1531</v>
      </c>
      <c r="C112" s="44" t="s">
        <v>798</v>
      </c>
      <c r="D112" s="73">
        <v>4576</v>
      </c>
      <c r="E112" s="73">
        <v>0</v>
      </c>
      <c r="F112" s="189">
        <v>0</v>
      </c>
      <c r="G112" s="189">
        <v>0</v>
      </c>
      <c r="H112" s="73">
        <v>1</v>
      </c>
      <c r="I112" s="189">
        <v>32</v>
      </c>
      <c r="J112" s="189">
        <v>0.8</v>
      </c>
      <c r="K112" s="73">
        <v>1</v>
      </c>
      <c r="L112" s="189">
        <v>32</v>
      </c>
      <c r="M112" s="189">
        <v>0.8</v>
      </c>
      <c r="N112" s="73">
        <v>5</v>
      </c>
      <c r="O112" s="189">
        <v>32</v>
      </c>
      <c r="P112" s="189">
        <v>0.8</v>
      </c>
      <c r="Q112" s="73">
        <v>6</v>
      </c>
      <c r="R112" s="189">
        <v>64</v>
      </c>
      <c r="S112" s="189">
        <v>1.6</v>
      </c>
    </row>
    <row r="113" spans="1:19" ht="15.75" thickBot="1" x14ac:dyDescent="0.3">
      <c r="A113" s="44" t="s">
        <v>1544</v>
      </c>
      <c r="B113" s="48" t="s">
        <v>1545</v>
      </c>
      <c r="C113" s="44" t="s">
        <v>798</v>
      </c>
      <c r="D113" s="73">
        <v>4757</v>
      </c>
      <c r="E113" s="73">
        <v>0</v>
      </c>
      <c r="F113" s="189">
        <v>0</v>
      </c>
      <c r="G113" s="189">
        <v>0</v>
      </c>
      <c r="H113" s="73">
        <v>3</v>
      </c>
      <c r="I113" s="189">
        <v>80</v>
      </c>
      <c r="J113" s="189">
        <v>2</v>
      </c>
      <c r="K113" s="73">
        <v>3</v>
      </c>
      <c r="L113" s="189">
        <v>80</v>
      </c>
      <c r="M113" s="189">
        <v>2</v>
      </c>
      <c r="N113" s="73">
        <v>5</v>
      </c>
      <c r="O113" s="189">
        <v>62</v>
      </c>
      <c r="P113" s="189">
        <v>1.55</v>
      </c>
      <c r="Q113" s="73">
        <v>8</v>
      </c>
      <c r="R113" s="189">
        <v>142</v>
      </c>
      <c r="S113" s="189">
        <v>3.55</v>
      </c>
    </row>
    <row r="114" spans="1:19" ht="15.75" thickBot="1" x14ac:dyDescent="0.3">
      <c r="A114" s="44" t="s">
        <v>1550</v>
      </c>
      <c r="B114" s="48" t="s">
        <v>1551</v>
      </c>
      <c r="C114" s="44" t="s">
        <v>798</v>
      </c>
      <c r="D114" s="73">
        <v>4614</v>
      </c>
      <c r="E114" s="73">
        <v>0</v>
      </c>
      <c r="F114" s="189">
        <v>0</v>
      </c>
      <c r="G114" s="189">
        <v>0</v>
      </c>
      <c r="H114" s="73">
        <v>1</v>
      </c>
      <c r="I114" s="189">
        <v>32</v>
      </c>
      <c r="J114" s="189">
        <v>0.8</v>
      </c>
      <c r="K114" s="73">
        <v>1</v>
      </c>
      <c r="L114" s="189">
        <v>32</v>
      </c>
      <c r="M114" s="189">
        <v>0.8</v>
      </c>
      <c r="N114" s="73">
        <v>3</v>
      </c>
      <c r="O114" s="189">
        <v>33</v>
      </c>
      <c r="P114" s="189">
        <v>0.82499999999999996</v>
      </c>
      <c r="Q114" s="73">
        <v>4</v>
      </c>
      <c r="R114" s="189">
        <v>65</v>
      </c>
      <c r="S114" s="189">
        <v>1.625</v>
      </c>
    </row>
    <row r="115" spans="1:19" ht="15.75" thickBot="1" x14ac:dyDescent="0.3">
      <c r="A115" s="44" t="s">
        <v>1588</v>
      </c>
      <c r="B115" s="48" t="s">
        <v>1589</v>
      </c>
      <c r="C115" s="44" t="s">
        <v>798</v>
      </c>
      <c r="D115" s="73">
        <v>5240</v>
      </c>
      <c r="E115" s="73">
        <v>0</v>
      </c>
      <c r="F115" s="189">
        <v>0</v>
      </c>
      <c r="G115" s="189">
        <v>0</v>
      </c>
      <c r="H115" s="73">
        <v>8</v>
      </c>
      <c r="I115" s="189">
        <v>119.5</v>
      </c>
      <c r="J115" s="189">
        <v>2.9874999999999998</v>
      </c>
      <c r="K115" s="73">
        <v>8</v>
      </c>
      <c r="L115" s="189">
        <v>119.5</v>
      </c>
      <c r="M115" s="189">
        <v>2.9874999999999998</v>
      </c>
      <c r="N115" s="73">
        <v>0</v>
      </c>
      <c r="O115" s="189">
        <v>0</v>
      </c>
      <c r="P115" s="189">
        <v>0</v>
      </c>
      <c r="Q115" s="73">
        <v>8</v>
      </c>
      <c r="R115" s="189">
        <v>119.5</v>
      </c>
      <c r="S115" s="189">
        <v>2.9874999999999998</v>
      </c>
    </row>
    <row r="116" spans="1:19" ht="15.75" thickBot="1" x14ac:dyDescent="0.3">
      <c r="A116" s="44" t="s">
        <v>833</v>
      </c>
      <c r="B116" s="48" t="s">
        <v>834</v>
      </c>
      <c r="C116" s="44" t="s">
        <v>808</v>
      </c>
      <c r="D116" s="73">
        <v>11000</v>
      </c>
      <c r="E116" s="73">
        <v>0</v>
      </c>
      <c r="F116" s="189">
        <v>0</v>
      </c>
      <c r="G116" s="189">
        <v>0</v>
      </c>
      <c r="H116" s="73">
        <v>3</v>
      </c>
      <c r="I116" s="189">
        <v>116</v>
      </c>
      <c r="J116" s="189">
        <v>2.9</v>
      </c>
      <c r="K116" s="73">
        <v>3</v>
      </c>
      <c r="L116" s="189">
        <v>116</v>
      </c>
      <c r="M116" s="189">
        <v>2.9</v>
      </c>
      <c r="N116" s="73">
        <v>3</v>
      </c>
      <c r="O116" s="189">
        <v>83</v>
      </c>
      <c r="P116" s="189">
        <v>2.0750000000000002</v>
      </c>
      <c r="Q116" s="73">
        <v>6</v>
      </c>
      <c r="R116" s="189">
        <v>199</v>
      </c>
      <c r="S116" s="189">
        <v>4.9749999999999996</v>
      </c>
    </row>
    <row r="117" spans="1:19" ht="15.75" thickBot="1" x14ac:dyDescent="0.3">
      <c r="A117" s="44" t="s">
        <v>848</v>
      </c>
      <c r="B117" s="48" t="s">
        <v>849</v>
      </c>
      <c r="C117" s="44" t="s">
        <v>808</v>
      </c>
      <c r="D117" s="73">
        <v>7172</v>
      </c>
      <c r="E117" s="73">
        <v>0</v>
      </c>
      <c r="F117" s="189">
        <v>0</v>
      </c>
      <c r="G117" s="189">
        <v>0</v>
      </c>
      <c r="H117" s="73">
        <v>2</v>
      </c>
      <c r="I117" s="189">
        <v>88</v>
      </c>
      <c r="J117" s="189">
        <v>2.2000000000000002</v>
      </c>
      <c r="K117" s="73">
        <v>2</v>
      </c>
      <c r="L117" s="189">
        <v>88</v>
      </c>
      <c r="M117" s="189">
        <v>2.2000000000000002</v>
      </c>
      <c r="N117" s="73">
        <v>2</v>
      </c>
      <c r="O117" s="189">
        <v>6</v>
      </c>
      <c r="P117" s="189">
        <v>0.15</v>
      </c>
      <c r="Q117" s="73">
        <v>4</v>
      </c>
      <c r="R117" s="189">
        <v>94</v>
      </c>
      <c r="S117" s="189">
        <v>2.35</v>
      </c>
    </row>
    <row r="118" spans="1:19" ht="15.75" thickBot="1" x14ac:dyDescent="0.3">
      <c r="A118" s="44" t="s">
        <v>919</v>
      </c>
      <c r="B118" s="48" t="s">
        <v>920</v>
      </c>
      <c r="C118" s="44" t="s">
        <v>808</v>
      </c>
      <c r="D118" s="73">
        <v>8692</v>
      </c>
      <c r="E118" s="73">
        <v>0</v>
      </c>
      <c r="F118" s="189">
        <v>0</v>
      </c>
      <c r="G118" s="189">
        <v>0</v>
      </c>
      <c r="H118" s="73">
        <v>2</v>
      </c>
      <c r="I118" s="189">
        <v>85.5</v>
      </c>
      <c r="J118" s="189">
        <v>2.1375000000000002</v>
      </c>
      <c r="K118" s="73">
        <v>2</v>
      </c>
      <c r="L118" s="189">
        <v>85.5</v>
      </c>
      <c r="M118" s="189">
        <v>2.1375000000000002</v>
      </c>
      <c r="N118" s="73">
        <v>2</v>
      </c>
      <c r="O118" s="189">
        <v>95</v>
      </c>
      <c r="P118" s="189">
        <v>2.375</v>
      </c>
      <c r="Q118" s="73">
        <v>4</v>
      </c>
      <c r="R118" s="189">
        <v>180.5</v>
      </c>
      <c r="S118" s="189">
        <v>4.5125000000000002</v>
      </c>
    </row>
    <row r="119" spans="1:19" ht="15.75" thickBot="1" x14ac:dyDescent="0.3">
      <c r="A119" s="44" t="s">
        <v>931</v>
      </c>
      <c r="B119" s="48" t="s">
        <v>932</v>
      </c>
      <c r="C119" s="44" t="s">
        <v>808</v>
      </c>
      <c r="D119" s="73">
        <v>10857</v>
      </c>
      <c r="E119" s="73">
        <v>0</v>
      </c>
      <c r="F119" s="189">
        <v>0</v>
      </c>
      <c r="G119" s="189">
        <v>0</v>
      </c>
      <c r="H119" s="73">
        <v>4</v>
      </c>
      <c r="I119" s="189">
        <v>133</v>
      </c>
      <c r="J119" s="189">
        <v>3.3250000000000002</v>
      </c>
      <c r="K119" s="73">
        <v>4</v>
      </c>
      <c r="L119" s="189">
        <v>133</v>
      </c>
      <c r="M119" s="189">
        <v>3.3250000000000002</v>
      </c>
      <c r="N119" s="73">
        <v>3</v>
      </c>
      <c r="O119" s="189">
        <v>40</v>
      </c>
      <c r="P119" s="189">
        <v>1</v>
      </c>
      <c r="Q119" s="73">
        <v>7</v>
      </c>
      <c r="R119" s="189">
        <v>173</v>
      </c>
      <c r="S119" s="189">
        <v>4.3250000000000002</v>
      </c>
    </row>
    <row r="120" spans="1:19" ht="15.75" thickBot="1" x14ac:dyDescent="0.3">
      <c r="A120" s="44" t="s">
        <v>935</v>
      </c>
      <c r="B120" s="48" t="s">
        <v>936</v>
      </c>
      <c r="C120" s="44" t="s">
        <v>808</v>
      </c>
      <c r="D120" s="73">
        <v>9483</v>
      </c>
      <c r="E120" s="73">
        <v>0</v>
      </c>
      <c r="F120" s="189">
        <v>0</v>
      </c>
      <c r="G120" s="189">
        <v>0</v>
      </c>
      <c r="H120" s="73">
        <v>1</v>
      </c>
      <c r="I120" s="189">
        <v>40</v>
      </c>
      <c r="J120" s="189">
        <v>1</v>
      </c>
      <c r="K120" s="73">
        <v>1</v>
      </c>
      <c r="L120" s="189">
        <v>40</v>
      </c>
      <c r="M120" s="189">
        <v>1</v>
      </c>
      <c r="N120" s="73">
        <v>7</v>
      </c>
      <c r="O120" s="189">
        <v>97</v>
      </c>
      <c r="P120" s="189">
        <v>2.4249999999999998</v>
      </c>
      <c r="Q120" s="73">
        <v>8</v>
      </c>
      <c r="R120" s="189">
        <v>137</v>
      </c>
      <c r="S120" s="189">
        <v>3.4249999999999998</v>
      </c>
    </row>
    <row r="121" spans="1:19" ht="15.75" thickBot="1" x14ac:dyDescent="0.3">
      <c r="A121" s="44" t="s">
        <v>1003</v>
      </c>
      <c r="B121" s="48" t="s">
        <v>1004</v>
      </c>
      <c r="C121" s="44" t="s">
        <v>808</v>
      </c>
      <c r="D121" s="73">
        <v>10021</v>
      </c>
      <c r="E121" s="73">
        <v>0</v>
      </c>
      <c r="F121" s="189">
        <v>0</v>
      </c>
      <c r="G121" s="189">
        <v>0</v>
      </c>
      <c r="H121" s="73">
        <v>3</v>
      </c>
      <c r="I121" s="189">
        <v>78</v>
      </c>
      <c r="J121" s="189">
        <v>1.95</v>
      </c>
      <c r="K121" s="73">
        <v>3</v>
      </c>
      <c r="L121" s="189">
        <v>90</v>
      </c>
      <c r="M121" s="189">
        <v>2.25</v>
      </c>
      <c r="N121" s="73">
        <v>4</v>
      </c>
      <c r="O121" s="189">
        <v>34</v>
      </c>
      <c r="P121" s="189">
        <v>0.85</v>
      </c>
      <c r="Q121" s="73">
        <v>7</v>
      </c>
      <c r="R121" s="189">
        <v>124</v>
      </c>
      <c r="S121" s="189">
        <v>3.1</v>
      </c>
    </row>
    <row r="122" spans="1:19" ht="15.75" thickBot="1" x14ac:dyDescent="0.3">
      <c r="A122" s="44" t="s">
        <v>1069</v>
      </c>
      <c r="B122" s="48" t="s">
        <v>1070</v>
      </c>
      <c r="C122" s="44" t="s">
        <v>808</v>
      </c>
      <c r="D122" s="73">
        <v>7824</v>
      </c>
      <c r="E122" s="73">
        <v>0</v>
      </c>
      <c r="F122" s="189">
        <v>0</v>
      </c>
      <c r="G122" s="189">
        <v>0</v>
      </c>
      <c r="H122" s="73">
        <v>7</v>
      </c>
      <c r="I122" s="190">
        <v>0</v>
      </c>
      <c r="J122" s="190">
        <v>0</v>
      </c>
      <c r="K122" s="73">
        <v>7</v>
      </c>
      <c r="L122" s="189">
        <v>193</v>
      </c>
      <c r="M122" s="189">
        <v>4.8250000000000002</v>
      </c>
      <c r="N122" s="73">
        <v>5</v>
      </c>
      <c r="O122" s="189">
        <v>32</v>
      </c>
      <c r="P122" s="189">
        <v>0.8</v>
      </c>
      <c r="Q122" s="73">
        <v>12</v>
      </c>
      <c r="R122" s="189">
        <v>225</v>
      </c>
      <c r="S122" s="189">
        <v>5.625</v>
      </c>
    </row>
    <row r="123" spans="1:19" ht="15.75" thickBot="1" x14ac:dyDescent="0.3">
      <c r="A123" s="44" t="s">
        <v>1095</v>
      </c>
      <c r="B123" s="48" t="s">
        <v>1096</v>
      </c>
      <c r="C123" s="44" t="s">
        <v>808</v>
      </c>
      <c r="D123" s="73">
        <v>11239</v>
      </c>
      <c r="E123" s="73">
        <v>0</v>
      </c>
      <c r="F123" s="189">
        <v>0</v>
      </c>
      <c r="G123" s="189">
        <v>0</v>
      </c>
      <c r="H123" s="73">
        <v>1</v>
      </c>
      <c r="I123" s="189">
        <v>40</v>
      </c>
      <c r="J123" s="189">
        <v>1</v>
      </c>
      <c r="K123" s="73">
        <v>1</v>
      </c>
      <c r="L123" s="189">
        <v>40</v>
      </c>
      <c r="M123" s="189">
        <v>1</v>
      </c>
      <c r="N123" s="73">
        <v>5</v>
      </c>
      <c r="O123" s="189">
        <v>104</v>
      </c>
      <c r="P123" s="189">
        <v>2.6</v>
      </c>
      <c r="Q123" s="73">
        <v>6</v>
      </c>
      <c r="R123" s="189">
        <v>144</v>
      </c>
      <c r="S123" s="189">
        <v>3.6</v>
      </c>
    </row>
    <row r="124" spans="1:19" ht="15.75" thickBot="1" x14ac:dyDescent="0.3">
      <c r="A124" s="44" t="s">
        <v>1127</v>
      </c>
      <c r="B124" s="48" t="s">
        <v>1128</v>
      </c>
      <c r="C124" s="44" t="s">
        <v>808</v>
      </c>
      <c r="D124" s="73">
        <v>8133</v>
      </c>
      <c r="E124" s="73">
        <v>0</v>
      </c>
      <c r="F124" s="189">
        <v>0</v>
      </c>
      <c r="G124" s="189">
        <v>0</v>
      </c>
      <c r="H124" s="73">
        <v>6</v>
      </c>
      <c r="I124" s="189">
        <v>135</v>
      </c>
      <c r="J124" s="189">
        <v>3.375</v>
      </c>
      <c r="K124" s="73">
        <v>6</v>
      </c>
      <c r="L124" s="189">
        <v>135</v>
      </c>
      <c r="M124" s="189">
        <v>3.375</v>
      </c>
      <c r="N124" s="73">
        <v>2</v>
      </c>
      <c r="O124" s="189">
        <v>55</v>
      </c>
      <c r="P124" s="189">
        <v>1.375</v>
      </c>
      <c r="Q124" s="73">
        <v>8</v>
      </c>
      <c r="R124" s="189">
        <v>190</v>
      </c>
      <c r="S124" s="189">
        <v>4.75</v>
      </c>
    </row>
    <row r="125" spans="1:19" ht="15.75" thickBot="1" x14ac:dyDescent="0.3">
      <c r="A125" s="44" t="s">
        <v>1193</v>
      </c>
      <c r="B125" s="48" t="s">
        <v>1194</v>
      </c>
      <c r="C125" s="44" t="s">
        <v>808</v>
      </c>
      <c r="D125" s="73">
        <v>9555</v>
      </c>
      <c r="E125" s="74">
        <v>0</v>
      </c>
      <c r="F125" s="189">
        <v>0</v>
      </c>
      <c r="G125" s="189">
        <v>0</v>
      </c>
      <c r="H125" s="74">
        <v>0</v>
      </c>
      <c r="I125" s="190">
        <v>0</v>
      </c>
      <c r="J125" s="190">
        <v>0</v>
      </c>
      <c r="K125" s="73">
        <v>1</v>
      </c>
      <c r="L125" s="189">
        <v>40</v>
      </c>
      <c r="M125" s="189">
        <v>1</v>
      </c>
      <c r="N125" s="73">
        <v>2</v>
      </c>
      <c r="O125" s="189">
        <v>25</v>
      </c>
      <c r="P125" s="189">
        <v>0.625</v>
      </c>
      <c r="Q125" s="73">
        <v>3</v>
      </c>
      <c r="R125" s="189">
        <v>65</v>
      </c>
      <c r="S125" s="189">
        <v>1.625</v>
      </c>
    </row>
    <row r="126" spans="1:19" ht="15.75" thickBot="1" x14ac:dyDescent="0.3">
      <c r="A126" s="44" t="s">
        <v>1199</v>
      </c>
      <c r="B126" s="48" t="s">
        <v>1200</v>
      </c>
      <c r="C126" s="44" t="s">
        <v>808</v>
      </c>
      <c r="D126" s="73">
        <v>9533</v>
      </c>
      <c r="E126" s="74">
        <v>0</v>
      </c>
      <c r="F126" s="189">
        <v>0</v>
      </c>
      <c r="G126" s="189">
        <v>0</v>
      </c>
      <c r="H126" s="73">
        <v>1</v>
      </c>
      <c r="I126" s="189">
        <v>18</v>
      </c>
      <c r="J126" s="189">
        <v>0.45</v>
      </c>
      <c r="K126" s="73">
        <v>1</v>
      </c>
      <c r="L126" s="189">
        <v>18</v>
      </c>
      <c r="M126" s="189">
        <v>0.45</v>
      </c>
      <c r="N126" s="73">
        <v>1</v>
      </c>
      <c r="O126" s="189">
        <v>10</v>
      </c>
      <c r="P126" s="189">
        <v>0.25</v>
      </c>
      <c r="Q126" s="73">
        <v>2</v>
      </c>
      <c r="R126" s="189">
        <v>28</v>
      </c>
      <c r="S126" s="189">
        <v>0.7</v>
      </c>
    </row>
    <row r="127" spans="1:19" ht="15.75" thickBot="1" x14ac:dyDescent="0.3">
      <c r="A127" s="44" t="s">
        <v>1251</v>
      </c>
      <c r="B127" s="48" t="s">
        <v>1252</v>
      </c>
      <c r="C127" s="44" t="s">
        <v>808</v>
      </c>
      <c r="D127" s="73">
        <v>7312</v>
      </c>
      <c r="E127" s="73">
        <v>0</v>
      </c>
      <c r="F127" s="189">
        <v>0</v>
      </c>
      <c r="G127" s="189">
        <v>0</v>
      </c>
      <c r="H127" s="73">
        <v>3</v>
      </c>
      <c r="I127" s="189">
        <v>40</v>
      </c>
      <c r="J127" s="189">
        <v>1</v>
      </c>
      <c r="K127" s="73">
        <v>1</v>
      </c>
      <c r="L127" s="189">
        <v>62</v>
      </c>
      <c r="M127" s="189">
        <v>1.55</v>
      </c>
      <c r="N127" s="73">
        <v>11</v>
      </c>
      <c r="O127" s="189">
        <v>115</v>
      </c>
      <c r="P127" s="189">
        <v>2.875</v>
      </c>
      <c r="Q127" s="73">
        <v>11</v>
      </c>
      <c r="R127" s="189">
        <v>177</v>
      </c>
      <c r="S127" s="189">
        <v>4.4249999999999998</v>
      </c>
    </row>
    <row r="128" spans="1:19" ht="15.75" thickBot="1" x14ac:dyDescent="0.3">
      <c r="A128" s="44" t="s">
        <v>1257</v>
      </c>
      <c r="B128" s="48" t="s">
        <v>1258</v>
      </c>
      <c r="C128" s="44" t="s">
        <v>808</v>
      </c>
      <c r="D128" s="73">
        <v>8344</v>
      </c>
      <c r="E128" s="73">
        <v>0</v>
      </c>
      <c r="F128" s="189">
        <v>0</v>
      </c>
      <c r="G128" s="189">
        <v>0</v>
      </c>
      <c r="H128" s="73">
        <v>2</v>
      </c>
      <c r="I128" s="189">
        <v>79</v>
      </c>
      <c r="J128" s="189">
        <v>1.9750000000000001</v>
      </c>
      <c r="K128" s="73">
        <v>1</v>
      </c>
      <c r="L128" s="189">
        <v>79</v>
      </c>
      <c r="M128" s="189">
        <v>1.9750000000000001</v>
      </c>
      <c r="N128" s="73">
        <v>0</v>
      </c>
      <c r="O128" s="189">
        <v>0</v>
      </c>
      <c r="P128" s="189">
        <v>0</v>
      </c>
      <c r="Q128" s="73">
        <v>3</v>
      </c>
      <c r="R128" s="189">
        <v>79</v>
      </c>
      <c r="S128" s="189">
        <v>1.9750000000000001</v>
      </c>
    </row>
    <row r="129" spans="1:19" ht="15.75" thickBot="1" x14ac:dyDescent="0.3">
      <c r="A129" s="44" t="s">
        <v>1289</v>
      </c>
      <c r="B129" s="48" t="s">
        <v>1290</v>
      </c>
      <c r="C129" s="44" t="s">
        <v>808</v>
      </c>
      <c r="D129" s="73">
        <v>7424</v>
      </c>
      <c r="E129" s="73">
        <v>0</v>
      </c>
      <c r="F129" s="189">
        <v>0</v>
      </c>
      <c r="G129" s="189">
        <v>0</v>
      </c>
      <c r="H129" s="73">
        <v>1</v>
      </c>
      <c r="I129" s="189">
        <v>40</v>
      </c>
      <c r="J129" s="189">
        <v>1</v>
      </c>
      <c r="K129" s="73">
        <v>1</v>
      </c>
      <c r="L129" s="189">
        <v>40</v>
      </c>
      <c r="M129" s="189">
        <v>1</v>
      </c>
      <c r="N129" s="73">
        <v>20</v>
      </c>
      <c r="O129" s="189">
        <v>90</v>
      </c>
      <c r="P129" s="189">
        <v>2.25</v>
      </c>
      <c r="Q129" s="73">
        <v>17</v>
      </c>
      <c r="R129" s="189">
        <v>130</v>
      </c>
      <c r="S129" s="189">
        <v>3.25</v>
      </c>
    </row>
    <row r="130" spans="1:19" ht="15.75" thickBot="1" x14ac:dyDescent="0.3">
      <c r="A130" s="44" t="s">
        <v>1295</v>
      </c>
      <c r="B130" s="48" t="s">
        <v>1296</v>
      </c>
      <c r="C130" s="44" t="s">
        <v>808</v>
      </c>
      <c r="D130" s="73">
        <v>9765</v>
      </c>
      <c r="E130" s="73">
        <v>0</v>
      </c>
      <c r="F130" s="189">
        <v>0</v>
      </c>
      <c r="G130" s="189">
        <v>0</v>
      </c>
      <c r="H130" s="73">
        <v>4</v>
      </c>
      <c r="I130" s="189">
        <v>136</v>
      </c>
      <c r="J130" s="189">
        <v>3.4</v>
      </c>
      <c r="K130" s="73">
        <v>4</v>
      </c>
      <c r="L130" s="189">
        <v>136</v>
      </c>
      <c r="M130" s="189">
        <v>3.4</v>
      </c>
      <c r="N130" s="73">
        <v>5</v>
      </c>
      <c r="O130" s="189">
        <v>90</v>
      </c>
      <c r="P130" s="189">
        <v>2.25</v>
      </c>
      <c r="Q130" s="73">
        <v>9</v>
      </c>
      <c r="R130" s="189">
        <v>226</v>
      </c>
      <c r="S130" s="189">
        <v>5.65</v>
      </c>
    </row>
    <row r="131" spans="1:19" ht="15.75" thickBot="1" x14ac:dyDescent="0.3">
      <c r="A131" s="44" t="s">
        <v>1305</v>
      </c>
      <c r="B131" s="48" t="s">
        <v>1306</v>
      </c>
      <c r="C131" s="44" t="s">
        <v>808</v>
      </c>
      <c r="D131" s="73">
        <v>9623</v>
      </c>
      <c r="E131" s="73">
        <v>0</v>
      </c>
      <c r="F131" s="189">
        <v>0</v>
      </c>
      <c r="G131" s="189">
        <v>0</v>
      </c>
      <c r="H131" s="73">
        <v>3</v>
      </c>
      <c r="I131" s="189">
        <v>84.5</v>
      </c>
      <c r="J131" s="189">
        <v>2.1124999999999998</v>
      </c>
      <c r="K131" s="73">
        <v>3</v>
      </c>
      <c r="L131" s="189">
        <v>84.5</v>
      </c>
      <c r="M131" s="189">
        <v>2.1124999999999998</v>
      </c>
      <c r="N131" s="73">
        <v>1</v>
      </c>
      <c r="O131" s="189">
        <v>26.5</v>
      </c>
      <c r="P131" s="189">
        <v>0.66249999999999998</v>
      </c>
      <c r="Q131" s="73">
        <v>4</v>
      </c>
      <c r="R131" s="189">
        <v>111</v>
      </c>
      <c r="S131" s="189">
        <v>2.7749999999999999</v>
      </c>
    </row>
    <row r="132" spans="1:19" ht="15.75" thickBot="1" x14ac:dyDescent="0.3">
      <c r="A132" s="44" t="s">
        <v>1321</v>
      </c>
      <c r="B132" s="48" t="s">
        <v>1322</v>
      </c>
      <c r="C132" s="44" t="s">
        <v>808</v>
      </c>
      <c r="D132" s="73">
        <v>8354</v>
      </c>
      <c r="E132" s="73">
        <v>0</v>
      </c>
      <c r="F132" s="189">
        <v>0</v>
      </c>
      <c r="G132" s="189">
        <v>0</v>
      </c>
      <c r="H132" s="73">
        <v>4</v>
      </c>
      <c r="I132" s="189">
        <v>160</v>
      </c>
      <c r="J132" s="189">
        <v>4</v>
      </c>
      <c r="K132" s="73">
        <v>4</v>
      </c>
      <c r="L132" s="189">
        <v>160</v>
      </c>
      <c r="M132" s="189">
        <v>4</v>
      </c>
      <c r="N132" s="73">
        <v>4</v>
      </c>
      <c r="O132" s="189">
        <v>88.25</v>
      </c>
      <c r="P132" s="189">
        <v>2.2062499999999998</v>
      </c>
      <c r="Q132" s="73">
        <v>9</v>
      </c>
      <c r="R132" s="189">
        <v>248.25</v>
      </c>
      <c r="S132" s="189">
        <v>6.2062499999999998</v>
      </c>
    </row>
    <row r="133" spans="1:19" ht="15.75" thickBot="1" x14ac:dyDescent="0.3">
      <c r="A133" s="44" t="s">
        <v>1353</v>
      </c>
      <c r="B133" s="48" t="s">
        <v>1354</v>
      </c>
      <c r="C133" s="44" t="s">
        <v>808</v>
      </c>
      <c r="D133" s="73">
        <v>7034</v>
      </c>
      <c r="E133" s="73">
        <v>0</v>
      </c>
      <c r="F133" s="189">
        <v>0</v>
      </c>
      <c r="G133" s="189">
        <v>0</v>
      </c>
      <c r="H133" s="73">
        <v>7</v>
      </c>
      <c r="I133" s="189">
        <v>144</v>
      </c>
      <c r="J133" s="189">
        <v>3.6</v>
      </c>
      <c r="K133" s="73">
        <v>5</v>
      </c>
      <c r="L133" s="189">
        <v>144</v>
      </c>
      <c r="M133" s="189">
        <v>3.6</v>
      </c>
      <c r="N133" s="73">
        <v>2</v>
      </c>
      <c r="O133" s="189">
        <v>32</v>
      </c>
      <c r="P133" s="189">
        <v>0.8</v>
      </c>
      <c r="Q133" s="73">
        <v>7</v>
      </c>
      <c r="R133" s="189">
        <v>176</v>
      </c>
      <c r="S133" s="189">
        <v>4.4000000000000004</v>
      </c>
    </row>
    <row r="134" spans="1:19" ht="15.75" thickBot="1" x14ac:dyDescent="0.3">
      <c r="A134" s="44" t="s">
        <v>1403</v>
      </c>
      <c r="B134" s="48" t="s">
        <v>1404</v>
      </c>
      <c r="C134" s="44" t="s">
        <v>808</v>
      </c>
      <c r="D134" s="73">
        <v>8543</v>
      </c>
      <c r="E134" s="73">
        <v>0</v>
      </c>
      <c r="F134" s="189">
        <v>0</v>
      </c>
      <c r="G134" s="189">
        <v>0</v>
      </c>
      <c r="H134" s="73">
        <v>2</v>
      </c>
      <c r="I134" s="189">
        <v>65</v>
      </c>
      <c r="J134" s="189">
        <v>1.625</v>
      </c>
      <c r="K134" s="73">
        <v>2</v>
      </c>
      <c r="L134" s="189">
        <v>65</v>
      </c>
      <c r="M134" s="189">
        <v>1.625</v>
      </c>
      <c r="N134" s="73">
        <v>4</v>
      </c>
      <c r="O134" s="189">
        <v>40</v>
      </c>
      <c r="P134" s="189">
        <v>1</v>
      </c>
      <c r="Q134" s="73">
        <v>6</v>
      </c>
      <c r="R134" s="189">
        <v>105</v>
      </c>
      <c r="S134" s="189">
        <v>2.625</v>
      </c>
    </row>
    <row r="135" spans="1:19" ht="15.75" thickBot="1" x14ac:dyDescent="0.3">
      <c r="A135" s="44" t="s">
        <v>1437</v>
      </c>
      <c r="B135" s="48" t="s">
        <v>1438</v>
      </c>
      <c r="C135" s="44" t="s">
        <v>808</v>
      </c>
      <c r="D135" s="73">
        <v>7798</v>
      </c>
      <c r="E135" s="73">
        <v>0</v>
      </c>
      <c r="F135" s="189">
        <v>0</v>
      </c>
      <c r="G135" s="189">
        <v>0</v>
      </c>
      <c r="H135" s="73">
        <v>2</v>
      </c>
      <c r="I135" s="189">
        <v>60</v>
      </c>
      <c r="J135" s="189">
        <v>1.5</v>
      </c>
      <c r="K135" s="73">
        <v>2</v>
      </c>
      <c r="L135" s="189">
        <v>60</v>
      </c>
      <c r="M135" s="189">
        <v>1.5</v>
      </c>
      <c r="N135" s="73">
        <v>5</v>
      </c>
      <c r="O135" s="189">
        <v>98</v>
      </c>
      <c r="P135" s="189">
        <v>2.4500000000000002</v>
      </c>
      <c r="Q135" s="73">
        <v>7</v>
      </c>
      <c r="R135" s="189">
        <v>158</v>
      </c>
      <c r="S135" s="189">
        <v>3.95</v>
      </c>
    </row>
    <row r="136" spans="1:19" ht="15.75" thickBot="1" x14ac:dyDescent="0.3">
      <c r="A136" s="44" t="s">
        <v>1445</v>
      </c>
      <c r="B136" s="48" t="s">
        <v>1446</v>
      </c>
      <c r="C136" s="44" t="s">
        <v>808</v>
      </c>
      <c r="D136" s="73">
        <v>7357</v>
      </c>
      <c r="E136" s="73">
        <v>0</v>
      </c>
      <c r="F136" s="189">
        <v>0</v>
      </c>
      <c r="G136" s="189">
        <v>0</v>
      </c>
      <c r="H136" s="73">
        <v>7</v>
      </c>
      <c r="I136" s="189">
        <v>153</v>
      </c>
      <c r="J136" s="189">
        <v>3.8250000000000002</v>
      </c>
      <c r="K136" s="73">
        <v>7</v>
      </c>
      <c r="L136" s="189">
        <v>153</v>
      </c>
      <c r="M136" s="189">
        <v>3.8250000000000002</v>
      </c>
      <c r="N136" s="73">
        <v>1</v>
      </c>
      <c r="O136" s="189">
        <v>14</v>
      </c>
      <c r="P136" s="189">
        <v>0.35</v>
      </c>
      <c r="Q136" s="73">
        <v>8</v>
      </c>
      <c r="R136" s="189">
        <v>167</v>
      </c>
      <c r="S136" s="189">
        <v>4.1749999999999998</v>
      </c>
    </row>
    <row r="137" spans="1:19" ht="15.75" thickBot="1" x14ac:dyDescent="0.3">
      <c r="A137" s="44" t="s">
        <v>1451</v>
      </c>
      <c r="B137" s="48" t="s">
        <v>1452</v>
      </c>
      <c r="C137" s="44" t="s">
        <v>808</v>
      </c>
      <c r="D137" s="73">
        <v>7103</v>
      </c>
      <c r="E137" s="73">
        <v>0</v>
      </c>
      <c r="F137" s="189">
        <v>0</v>
      </c>
      <c r="G137" s="189">
        <v>0</v>
      </c>
      <c r="H137" s="73">
        <v>1</v>
      </c>
      <c r="I137" s="189">
        <v>40</v>
      </c>
      <c r="J137" s="189">
        <v>1</v>
      </c>
      <c r="K137" s="73">
        <v>1</v>
      </c>
      <c r="L137" s="189">
        <v>40</v>
      </c>
      <c r="M137" s="189">
        <v>1</v>
      </c>
      <c r="N137" s="73">
        <v>18</v>
      </c>
      <c r="O137" s="189">
        <v>160</v>
      </c>
      <c r="P137" s="189">
        <v>4</v>
      </c>
      <c r="Q137" s="73">
        <v>19</v>
      </c>
      <c r="R137" s="189">
        <v>200</v>
      </c>
      <c r="S137" s="189">
        <v>5</v>
      </c>
    </row>
    <row r="138" spans="1:19" ht="15.75" thickBot="1" x14ac:dyDescent="0.3">
      <c r="A138" s="44" t="s">
        <v>1461</v>
      </c>
      <c r="B138" s="48" t="s">
        <v>1462</v>
      </c>
      <c r="C138" s="44" t="s">
        <v>808</v>
      </c>
      <c r="D138" s="73">
        <v>7272</v>
      </c>
      <c r="E138" s="73">
        <v>0</v>
      </c>
      <c r="F138" s="189">
        <v>0</v>
      </c>
      <c r="G138" s="189">
        <v>0</v>
      </c>
      <c r="H138" s="73">
        <v>1</v>
      </c>
      <c r="I138" s="189">
        <v>40</v>
      </c>
      <c r="J138" s="189">
        <v>1</v>
      </c>
      <c r="K138" s="73">
        <v>1</v>
      </c>
      <c r="L138" s="189">
        <v>40</v>
      </c>
      <c r="M138" s="189">
        <v>1</v>
      </c>
      <c r="N138" s="73">
        <v>5</v>
      </c>
      <c r="O138" s="189">
        <v>111</v>
      </c>
      <c r="P138" s="189">
        <v>2.7749999999999999</v>
      </c>
      <c r="Q138" s="73">
        <v>6</v>
      </c>
      <c r="R138" s="189">
        <v>151</v>
      </c>
      <c r="S138" s="189">
        <v>3.7749999999999999</v>
      </c>
    </row>
    <row r="139" spans="1:19" ht="15.75" thickBot="1" x14ac:dyDescent="0.3">
      <c r="A139" s="44" t="s">
        <v>1467</v>
      </c>
      <c r="B139" s="48" t="s">
        <v>1468</v>
      </c>
      <c r="C139" s="44" t="s">
        <v>808</v>
      </c>
      <c r="D139" s="73">
        <v>11377</v>
      </c>
      <c r="E139" s="73">
        <v>0</v>
      </c>
      <c r="F139" s="189">
        <v>0</v>
      </c>
      <c r="G139" s="189">
        <v>0</v>
      </c>
      <c r="H139" s="73">
        <v>1</v>
      </c>
      <c r="I139" s="189">
        <v>35</v>
      </c>
      <c r="J139" s="189">
        <v>0.875</v>
      </c>
      <c r="K139" s="73">
        <v>6</v>
      </c>
      <c r="L139" s="189">
        <v>164</v>
      </c>
      <c r="M139" s="189">
        <v>4.0999999999999996</v>
      </c>
      <c r="N139" s="73">
        <v>2</v>
      </c>
      <c r="O139" s="189">
        <v>30</v>
      </c>
      <c r="P139" s="189">
        <v>0.75</v>
      </c>
      <c r="Q139" s="73">
        <v>9</v>
      </c>
      <c r="R139" s="189">
        <v>194</v>
      </c>
      <c r="S139" s="189">
        <v>4.8499999999999996</v>
      </c>
    </row>
    <row r="140" spans="1:19" ht="15.75" thickBot="1" x14ac:dyDescent="0.3">
      <c r="A140" s="44" t="s">
        <v>1486</v>
      </c>
      <c r="B140" s="48" t="s">
        <v>1487</v>
      </c>
      <c r="C140" s="44" t="s">
        <v>808</v>
      </c>
      <c r="D140" s="73">
        <v>9110</v>
      </c>
      <c r="E140" s="73">
        <v>0</v>
      </c>
      <c r="F140" s="189">
        <v>0</v>
      </c>
      <c r="G140" s="189">
        <v>0</v>
      </c>
      <c r="H140" s="73">
        <v>8</v>
      </c>
      <c r="I140" s="189">
        <v>132</v>
      </c>
      <c r="J140" s="189">
        <v>3.3</v>
      </c>
      <c r="K140" s="73">
        <v>8</v>
      </c>
      <c r="L140" s="189">
        <v>132</v>
      </c>
      <c r="M140" s="189">
        <v>3.3</v>
      </c>
      <c r="N140" s="73">
        <v>2</v>
      </c>
      <c r="O140" s="189">
        <v>15</v>
      </c>
      <c r="P140" s="189">
        <v>0.375</v>
      </c>
      <c r="Q140" s="73">
        <v>10</v>
      </c>
      <c r="R140" s="189">
        <v>147</v>
      </c>
      <c r="S140" s="189">
        <v>3.6749999999999998</v>
      </c>
    </row>
    <row r="141" spans="1:19" ht="15.75" thickBot="1" x14ac:dyDescent="0.3">
      <c r="A141" s="44" t="s">
        <v>1508</v>
      </c>
      <c r="B141" s="48" t="s">
        <v>1509</v>
      </c>
      <c r="C141" s="44" t="s">
        <v>808</v>
      </c>
      <c r="D141" s="73">
        <v>7851</v>
      </c>
      <c r="E141" s="73">
        <v>0</v>
      </c>
      <c r="F141" s="189">
        <v>0</v>
      </c>
      <c r="G141" s="189">
        <v>0</v>
      </c>
      <c r="H141" s="73">
        <v>1</v>
      </c>
      <c r="I141" s="189">
        <v>40</v>
      </c>
      <c r="J141" s="189">
        <v>1</v>
      </c>
      <c r="K141" s="73">
        <v>1</v>
      </c>
      <c r="L141" s="189">
        <v>40</v>
      </c>
      <c r="M141" s="189">
        <v>1</v>
      </c>
      <c r="N141" s="73">
        <v>6</v>
      </c>
      <c r="O141" s="189">
        <v>98</v>
      </c>
      <c r="P141" s="189">
        <v>2.4500000000000002</v>
      </c>
      <c r="Q141" s="73">
        <v>7</v>
      </c>
      <c r="R141" s="189">
        <v>138</v>
      </c>
      <c r="S141" s="189">
        <v>3.45</v>
      </c>
    </row>
    <row r="142" spans="1:19" ht="15.75" thickBot="1" x14ac:dyDescent="0.3">
      <c r="A142" s="44" t="s">
        <v>1524</v>
      </c>
      <c r="B142" s="48" t="s">
        <v>1525</v>
      </c>
      <c r="C142" s="44" t="s">
        <v>808</v>
      </c>
      <c r="D142" s="73">
        <v>11985</v>
      </c>
      <c r="E142" s="73">
        <v>0</v>
      </c>
      <c r="F142" s="189">
        <v>0</v>
      </c>
      <c r="G142" s="189">
        <v>0</v>
      </c>
      <c r="H142" s="73">
        <v>2</v>
      </c>
      <c r="I142" s="189">
        <v>80</v>
      </c>
      <c r="J142" s="189">
        <v>2</v>
      </c>
      <c r="K142" s="73">
        <v>2</v>
      </c>
      <c r="L142" s="189">
        <v>80</v>
      </c>
      <c r="M142" s="189">
        <v>2</v>
      </c>
      <c r="N142" s="73">
        <v>8</v>
      </c>
      <c r="O142" s="189">
        <v>143</v>
      </c>
      <c r="P142" s="189">
        <v>3.5750000000000002</v>
      </c>
      <c r="Q142" s="73">
        <v>9</v>
      </c>
      <c r="R142" s="189">
        <v>223</v>
      </c>
      <c r="S142" s="189">
        <v>5.5750000000000002</v>
      </c>
    </row>
    <row r="143" spans="1:19" ht="15.75" thickBot="1" x14ac:dyDescent="0.3">
      <c r="A143" s="44" t="s">
        <v>1526</v>
      </c>
      <c r="B143" s="48" t="s">
        <v>1527</v>
      </c>
      <c r="C143" s="44" t="s">
        <v>808</v>
      </c>
      <c r="D143" s="73">
        <v>8147</v>
      </c>
      <c r="E143" s="73">
        <v>0</v>
      </c>
      <c r="F143" s="189">
        <v>0</v>
      </c>
      <c r="G143" s="189">
        <v>0</v>
      </c>
      <c r="H143" s="73">
        <v>6</v>
      </c>
      <c r="I143" s="189">
        <v>108</v>
      </c>
      <c r="J143" s="189">
        <v>2.7</v>
      </c>
      <c r="K143" s="73">
        <v>6</v>
      </c>
      <c r="L143" s="189">
        <v>108</v>
      </c>
      <c r="M143" s="189">
        <v>2.7</v>
      </c>
      <c r="N143" s="73">
        <v>1</v>
      </c>
      <c r="O143" s="189">
        <v>6</v>
      </c>
      <c r="P143" s="189">
        <v>0.15</v>
      </c>
      <c r="Q143" s="73">
        <v>7</v>
      </c>
      <c r="R143" s="189">
        <v>114</v>
      </c>
      <c r="S143" s="189">
        <v>2.85</v>
      </c>
    </row>
    <row r="144" spans="1:19" ht="15.75" thickBot="1" x14ac:dyDescent="0.3">
      <c r="A144" s="44" t="s">
        <v>1534</v>
      </c>
      <c r="B144" s="48" t="s">
        <v>1535</v>
      </c>
      <c r="C144" s="44" t="s">
        <v>808</v>
      </c>
      <c r="D144" s="73">
        <v>9714</v>
      </c>
      <c r="E144" s="73">
        <v>0</v>
      </c>
      <c r="F144" s="189">
        <v>0</v>
      </c>
      <c r="G144" s="189">
        <v>0</v>
      </c>
      <c r="H144" s="73">
        <v>2</v>
      </c>
      <c r="I144" s="189">
        <v>80</v>
      </c>
      <c r="J144" s="189">
        <v>2</v>
      </c>
      <c r="K144" s="73">
        <v>2</v>
      </c>
      <c r="L144" s="189">
        <v>80</v>
      </c>
      <c r="M144" s="189">
        <v>2</v>
      </c>
      <c r="N144" s="73">
        <v>2</v>
      </c>
      <c r="O144" s="189">
        <v>85</v>
      </c>
      <c r="P144" s="189">
        <v>2.125</v>
      </c>
      <c r="Q144" s="73">
        <v>4</v>
      </c>
      <c r="R144" s="189">
        <v>165</v>
      </c>
      <c r="S144" s="189">
        <v>4.125</v>
      </c>
    </row>
    <row r="145" spans="1:19" ht="15.75" thickBot="1" x14ac:dyDescent="0.3">
      <c r="A145" s="44" t="s">
        <v>1562</v>
      </c>
      <c r="B145" s="48" t="s">
        <v>1563</v>
      </c>
      <c r="C145" s="44" t="s">
        <v>808</v>
      </c>
      <c r="D145" s="73">
        <v>9514</v>
      </c>
      <c r="E145" s="74">
        <v>0</v>
      </c>
      <c r="F145" s="189">
        <v>0</v>
      </c>
      <c r="G145" s="189">
        <v>0</v>
      </c>
      <c r="H145" s="73">
        <v>1</v>
      </c>
      <c r="I145" s="189">
        <v>37</v>
      </c>
      <c r="J145" s="189">
        <v>0.92500000000000004</v>
      </c>
      <c r="K145" s="73">
        <v>1</v>
      </c>
      <c r="L145" s="189">
        <v>37</v>
      </c>
      <c r="M145" s="189">
        <v>0.92500000000000004</v>
      </c>
      <c r="N145" s="73">
        <v>2</v>
      </c>
      <c r="O145" s="189">
        <v>37</v>
      </c>
      <c r="P145" s="189">
        <v>0.92500000000000004</v>
      </c>
      <c r="Q145" s="73">
        <v>4</v>
      </c>
      <c r="R145" s="189">
        <v>74</v>
      </c>
      <c r="S145" s="189">
        <v>1.85</v>
      </c>
    </row>
    <row r="146" spans="1:19" ht="15.75" thickBot="1" x14ac:dyDescent="0.3">
      <c r="A146" s="44" t="s">
        <v>1578</v>
      </c>
      <c r="B146" s="48" t="s">
        <v>1579</v>
      </c>
      <c r="C146" s="44" t="s">
        <v>808</v>
      </c>
      <c r="D146" s="73">
        <v>7370</v>
      </c>
      <c r="E146" s="73">
        <v>0</v>
      </c>
      <c r="F146" s="189">
        <v>0</v>
      </c>
      <c r="G146" s="189">
        <v>0</v>
      </c>
      <c r="H146" s="73">
        <v>0</v>
      </c>
      <c r="I146" s="189">
        <v>0</v>
      </c>
      <c r="J146" s="189">
        <v>0</v>
      </c>
      <c r="K146" s="73">
        <v>1</v>
      </c>
      <c r="L146" s="189">
        <v>40</v>
      </c>
      <c r="M146" s="189">
        <v>1</v>
      </c>
      <c r="N146" s="73">
        <v>8</v>
      </c>
      <c r="O146" s="189">
        <v>223</v>
      </c>
      <c r="P146" s="189">
        <v>5.5750000000000002</v>
      </c>
      <c r="Q146" s="73">
        <v>8</v>
      </c>
      <c r="R146" s="189">
        <v>263</v>
      </c>
      <c r="S146" s="189">
        <v>6.5750000000000002</v>
      </c>
    </row>
    <row r="147" spans="1:19" ht="15.75" thickBot="1" x14ac:dyDescent="0.3">
      <c r="A147" s="44" t="s">
        <v>1582</v>
      </c>
      <c r="B147" s="48" t="s">
        <v>1583</v>
      </c>
      <c r="C147" s="44" t="s">
        <v>808</v>
      </c>
      <c r="D147" s="73">
        <v>8533</v>
      </c>
      <c r="E147" s="73">
        <v>0</v>
      </c>
      <c r="F147" s="189">
        <v>0</v>
      </c>
      <c r="G147" s="189">
        <v>0</v>
      </c>
      <c r="H147" s="73">
        <v>9</v>
      </c>
      <c r="I147" s="189">
        <v>228.5</v>
      </c>
      <c r="J147" s="189">
        <v>5.7125000000000004</v>
      </c>
      <c r="K147" s="73">
        <v>9</v>
      </c>
      <c r="L147" s="189">
        <v>228.5</v>
      </c>
      <c r="M147" s="189">
        <v>5.7125000000000004</v>
      </c>
      <c r="N147" s="73">
        <v>0</v>
      </c>
      <c r="O147" s="189">
        <v>0</v>
      </c>
      <c r="P147" s="189">
        <v>0</v>
      </c>
      <c r="Q147" s="73">
        <v>9</v>
      </c>
      <c r="R147" s="189">
        <v>228.5</v>
      </c>
      <c r="S147" s="189">
        <v>5.7125000000000004</v>
      </c>
    </row>
    <row r="148" spans="1:19" ht="15.75" thickBot="1" x14ac:dyDescent="0.3">
      <c r="A148" s="44" t="s">
        <v>1590</v>
      </c>
      <c r="B148" s="48" t="s">
        <v>1591</v>
      </c>
      <c r="C148" s="44" t="s">
        <v>808</v>
      </c>
      <c r="D148" s="73">
        <v>10014</v>
      </c>
      <c r="E148" s="73">
        <v>0</v>
      </c>
      <c r="F148" s="189">
        <v>0</v>
      </c>
      <c r="G148" s="189">
        <v>0</v>
      </c>
      <c r="H148" s="73">
        <v>1</v>
      </c>
      <c r="I148" s="189">
        <v>30</v>
      </c>
      <c r="J148" s="189">
        <v>0.75</v>
      </c>
      <c r="K148" s="73">
        <v>1</v>
      </c>
      <c r="L148" s="189">
        <v>30</v>
      </c>
      <c r="M148" s="189">
        <v>0.75</v>
      </c>
      <c r="N148" s="73">
        <v>8</v>
      </c>
      <c r="O148" s="189">
        <v>116</v>
      </c>
      <c r="P148" s="189">
        <v>2.9</v>
      </c>
      <c r="Q148" s="73">
        <v>9</v>
      </c>
      <c r="R148" s="189">
        <v>146</v>
      </c>
      <c r="S148" s="189">
        <v>3.65</v>
      </c>
    </row>
    <row r="149" spans="1:19" ht="15.75" thickBot="1" x14ac:dyDescent="0.3">
      <c r="A149" s="44" t="s">
        <v>1291</v>
      </c>
      <c r="B149" s="48" t="s">
        <v>1292</v>
      </c>
      <c r="C149" s="44" t="s">
        <v>803</v>
      </c>
      <c r="D149" s="73">
        <v>13097</v>
      </c>
      <c r="E149" s="73">
        <v>0</v>
      </c>
      <c r="F149" s="189">
        <v>0</v>
      </c>
      <c r="G149" s="189">
        <v>0</v>
      </c>
      <c r="H149" s="73">
        <v>1</v>
      </c>
      <c r="I149" s="189">
        <v>40</v>
      </c>
      <c r="J149" s="189">
        <v>1</v>
      </c>
      <c r="K149" s="73">
        <v>1</v>
      </c>
      <c r="L149" s="189">
        <v>40</v>
      </c>
      <c r="M149" s="189">
        <v>1</v>
      </c>
      <c r="N149" s="73">
        <v>8</v>
      </c>
      <c r="O149" s="189">
        <v>89</v>
      </c>
      <c r="P149" s="189">
        <v>2.2250000000000001</v>
      </c>
      <c r="Q149" s="73">
        <v>9</v>
      </c>
      <c r="R149" s="189">
        <v>129</v>
      </c>
      <c r="S149" s="189">
        <v>3.2250000000000001</v>
      </c>
    </row>
    <row r="150" spans="1:19" ht="15.75" thickBot="1" x14ac:dyDescent="0.3">
      <c r="A150" s="44" t="s">
        <v>1203</v>
      </c>
      <c r="B150" s="48" t="s">
        <v>1204</v>
      </c>
      <c r="C150" s="44" t="s">
        <v>817</v>
      </c>
      <c r="D150" s="73">
        <v>2735</v>
      </c>
      <c r="E150" s="73">
        <v>1</v>
      </c>
      <c r="F150" s="189">
        <v>6</v>
      </c>
      <c r="G150" s="189">
        <v>0.15</v>
      </c>
      <c r="H150" s="73">
        <v>0</v>
      </c>
      <c r="I150" s="189">
        <v>0</v>
      </c>
      <c r="J150" s="189">
        <v>0</v>
      </c>
      <c r="K150" s="73">
        <v>1</v>
      </c>
      <c r="L150" s="189">
        <v>6</v>
      </c>
      <c r="M150" s="189">
        <v>0.15</v>
      </c>
      <c r="N150" s="73">
        <v>2</v>
      </c>
      <c r="O150" s="189">
        <v>1</v>
      </c>
      <c r="P150" s="189">
        <v>2.5000000000000001E-2</v>
      </c>
      <c r="Q150" s="73">
        <v>3</v>
      </c>
      <c r="R150" s="189">
        <v>7</v>
      </c>
      <c r="S150" s="189">
        <v>0.17499999999999999</v>
      </c>
    </row>
    <row r="151" spans="1:19" ht="15.75" thickBot="1" x14ac:dyDescent="0.3">
      <c r="A151" s="44" t="s">
        <v>1045</v>
      </c>
      <c r="B151" s="48" t="s">
        <v>1046</v>
      </c>
      <c r="C151" s="44" t="s">
        <v>808</v>
      </c>
      <c r="D151" s="73">
        <v>7717</v>
      </c>
      <c r="E151" s="73">
        <v>1</v>
      </c>
      <c r="F151" s="189">
        <v>7.5</v>
      </c>
      <c r="G151" s="189">
        <v>0.1875</v>
      </c>
      <c r="H151" s="73">
        <v>3</v>
      </c>
      <c r="I151" s="189">
        <v>66</v>
      </c>
      <c r="J151" s="189">
        <v>1.65</v>
      </c>
      <c r="K151" s="73">
        <v>4</v>
      </c>
      <c r="L151" s="189">
        <v>73.5</v>
      </c>
      <c r="M151" s="189">
        <v>1.8374999999999999</v>
      </c>
      <c r="N151" s="73">
        <v>1</v>
      </c>
      <c r="O151" s="189">
        <v>7.5</v>
      </c>
      <c r="P151" s="189">
        <v>0.1875</v>
      </c>
      <c r="Q151" s="73">
        <v>5</v>
      </c>
      <c r="R151" s="189">
        <v>81</v>
      </c>
      <c r="S151" s="189">
        <v>2.0249999999999999</v>
      </c>
    </row>
    <row r="152" spans="1:19" ht="15.75" thickBot="1" x14ac:dyDescent="0.3">
      <c r="A152" s="44" t="s">
        <v>1494</v>
      </c>
      <c r="B152" s="48" t="s">
        <v>1495</v>
      </c>
      <c r="C152" s="44" t="s">
        <v>798</v>
      </c>
      <c r="D152" s="73">
        <v>4046</v>
      </c>
      <c r="E152" s="73">
        <v>1</v>
      </c>
      <c r="F152" s="189">
        <v>9.0299999999999994</v>
      </c>
      <c r="G152" s="189">
        <v>0.22575000000000001</v>
      </c>
      <c r="H152" s="73">
        <v>2</v>
      </c>
      <c r="I152" s="189">
        <v>55.77</v>
      </c>
      <c r="J152" s="189">
        <v>1.39425</v>
      </c>
      <c r="K152" s="73">
        <v>3</v>
      </c>
      <c r="L152" s="189">
        <v>64.8</v>
      </c>
      <c r="M152" s="189">
        <v>1.62</v>
      </c>
      <c r="N152" s="73">
        <v>2</v>
      </c>
      <c r="O152" s="189">
        <v>30.18</v>
      </c>
      <c r="P152" s="189">
        <v>0.75449999999999995</v>
      </c>
      <c r="Q152" s="73">
        <v>5</v>
      </c>
      <c r="R152" s="189">
        <v>94.98</v>
      </c>
      <c r="S152" s="189">
        <v>2.3744999999999998</v>
      </c>
    </row>
    <row r="153" spans="1:19" ht="15.75" thickBot="1" x14ac:dyDescent="0.3">
      <c r="A153" s="44" t="s">
        <v>1057</v>
      </c>
      <c r="B153" s="48" t="s">
        <v>1058</v>
      </c>
      <c r="C153" s="44" t="s">
        <v>817</v>
      </c>
      <c r="D153" s="73">
        <v>2791</v>
      </c>
      <c r="E153" s="73">
        <v>1</v>
      </c>
      <c r="F153" s="189">
        <v>15</v>
      </c>
      <c r="G153" s="189">
        <v>0.375</v>
      </c>
      <c r="H153" s="73">
        <v>9</v>
      </c>
      <c r="I153" s="189">
        <v>101</v>
      </c>
      <c r="J153" s="189">
        <v>2.5249999999999999</v>
      </c>
      <c r="K153" s="73">
        <v>10</v>
      </c>
      <c r="L153" s="189">
        <v>118</v>
      </c>
      <c r="M153" s="189">
        <v>2.95</v>
      </c>
      <c r="N153" s="73">
        <v>1</v>
      </c>
      <c r="O153" s="189">
        <v>2</v>
      </c>
      <c r="P153" s="189">
        <v>0.05</v>
      </c>
      <c r="Q153" s="73">
        <v>11</v>
      </c>
      <c r="R153" s="189">
        <v>120</v>
      </c>
      <c r="S153" s="189">
        <v>3</v>
      </c>
    </row>
    <row r="154" spans="1:19" ht="15.75" thickBot="1" x14ac:dyDescent="0.3">
      <c r="A154" s="44" t="s">
        <v>1558</v>
      </c>
      <c r="B154" s="48" t="s">
        <v>1559</v>
      </c>
      <c r="C154" s="44" t="s">
        <v>817</v>
      </c>
      <c r="D154" s="73">
        <v>1968</v>
      </c>
      <c r="E154" s="73">
        <v>1</v>
      </c>
      <c r="F154" s="189">
        <v>15</v>
      </c>
      <c r="G154" s="189">
        <v>0.375</v>
      </c>
      <c r="H154" s="73">
        <v>0</v>
      </c>
      <c r="I154" s="189">
        <v>0</v>
      </c>
      <c r="J154" s="189">
        <v>0</v>
      </c>
      <c r="K154" s="73">
        <v>1</v>
      </c>
      <c r="L154" s="189">
        <v>15</v>
      </c>
      <c r="M154" s="189">
        <v>0.375</v>
      </c>
      <c r="N154" s="73">
        <v>0</v>
      </c>
      <c r="O154" s="189">
        <v>0</v>
      </c>
      <c r="P154" s="189">
        <v>0</v>
      </c>
      <c r="Q154" s="73">
        <v>1</v>
      </c>
      <c r="R154" s="189">
        <v>15</v>
      </c>
      <c r="S154" s="189">
        <v>0.375</v>
      </c>
    </row>
    <row r="155" spans="1:19" ht="15.75" thickBot="1" x14ac:dyDescent="0.3">
      <c r="A155" s="44" t="s">
        <v>1219</v>
      </c>
      <c r="B155" s="48" t="s">
        <v>1220</v>
      </c>
      <c r="C155" s="44" t="s">
        <v>817</v>
      </c>
      <c r="D155" s="73">
        <v>2835</v>
      </c>
      <c r="E155" s="73">
        <v>1</v>
      </c>
      <c r="F155" s="189">
        <v>18</v>
      </c>
      <c r="G155" s="189">
        <v>0.45</v>
      </c>
      <c r="H155" s="73">
        <v>1</v>
      </c>
      <c r="I155" s="189">
        <v>8</v>
      </c>
      <c r="J155" s="189">
        <v>0.2</v>
      </c>
      <c r="K155" s="73">
        <v>2</v>
      </c>
      <c r="L155" s="189">
        <v>26</v>
      </c>
      <c r="M155" s="189">
        <v>0.65</v>
      </c>
      <c r="N155" s="73">
        <v>0</v>
      </c>
      <c r="O155" s="189">
        <v>0</v>
      </c>
      <c r="P155" s="189">
        <v>0</v>
      </c>
      <c r="Q155" s="73">
        <v>2</v>
      </c>
      <c r="R155" s="189">
        <v>26</v>
      </c>
      <c r="S155" s="189">
        <v>0.65</v>
      </c>
    </row>
    <row r="156" spans="1:19" ht="15.75" thickBot="1" x14ac:dyDescent="0.3">
      <c r="A156" s="44" t="s">
        <v>1592</v>
      </c>
      <c r="B156" s="48" t="s">
        <v>1593</v>
      </c>
      <c r="C156" s="44" t="s">
        <v>817</v>
      </c>
      <c r="D156" s="73">
        <v>575</v>
      </c>
      <c r="E156" s="73">
        <v>1</v>
      </c>
      <c r="F156" s="189">
        <v>21</v>
      </c>
      <c r="G156" s="189">
        <v>0.52500000000000002</v>
      </c>
      <c r="H156" s="73">
        <v>0</v>
      </c>
      <c r="I156" s="189">
        <v>0</v>
      </c>
      <c r="J156" s="189">
        <v>0</v>
      </c>
      <c r="K156" s="73">
        <v>1</v>
      </c>
      <c r="L156" s="189">
        <v>21</v>
      </c>
      <c r="M156" s="189">
        <v>0.52500000000000002</v>
      </c>
      <c r="N156" s="73">
        <v>6</v>
      </c>
      <c r="O156" s="189">
        <v>18</v>
      </c>
      <c r="P156" s="189">
        <v>0.45</v>
      </c>
      <c r="Q156" s="73">
        <v>7</v>
      </c>
      <c r="R156" s="189">
        <v>39</v>
      </c>
      <c r="S156" s="189">
        <v>0.97499999999999998</v>
      </c>
    </row>
    <row r="157" spans="1:19" ht="15.75" thickBot="1" x14ac:dyDescent="0.3">
      <c r="A157" s="44" t="s">
        <v>1151</v>
      </c>
      <c r="B157" s="48" t="s">
        <v>1152</v>
      </c>
      <c r="C157" s="44" t="s">
        <v>798</v>
      </c>
      <c r="D157" s="73">
        <v>4610</v>
      </c>
      <c r="E157" s="73">
        <v>1</v>
      </c>
      <c r="F157" s="189">
        <v>25</v>
      </c>
      <c r="G157" s="189">
        <v>0.625</v>
      </c>
      <c r="H157" s="73">
        <v>0</v>
      </c>
      <c r="I157" s="189">
        <v>0</v>
      </c>
      <c r="J157" s="189">
        <v>0</v>
      </c>
      <c r="K157" s="73">
        <v>1</v>
      </c>
      <c r="L157" s="189">
        <v>25</v>
      </c>
      <c r="M157" s="189">
        <v>0.625</v>
      </c>
      <c r="N157" s="73">
        <v>2</v>
      </c>
      <c r="O157" s="189">
        <v>37</v>
      </c>
      <c r="P157" s="189">
        <v>0.92500000000000004</v>
      </c>
      <c r="Q157" s="73">
        <v>2</v>
      </c>
      <c r="R157" s="189">
        <v>62</v>
      </c>
      <c r="S157" s="189">
        <v>1.55</v>
      </c>
    </row>
    <row r="158" spans="1:19" ht="15.75" thickBot="1" x14ac:dyDescent="0.3">
      <c r="A158" s="44" t="s">
        <v>1411</v>
      </c>
      <c r="B158" s="48" t="s">
        <v>1412</v>
      </c>
      <c r="C158" s="44" t="s">
        <v>808</v>
      </c>
      <c r="D158" s="73">
        <v>7580</v>
      </c>
      <c r="E158" s="73">
        <v>1</v>
      </c>
      <c r="F158" s="189">
        <v>25</v>
      </c>
      <c r="G158" s="189">
        <v>0.625</v>
      </c>
      <c r="H158" s="73">
        <v>3</v>
      </c>
      <c r="I158" s="189">
        <v>108</v>
      </c>
      <c r="J158" s="189">
        <v>2.7</v>
      </c>
      <c r="K158" s="73">
        <v>4</v>
      </c>
      <c r="L158" s="189">
        <v>133</v>
      </c>
      <c r="M158" s="189">
        <v>3.3250000000000002</v>
      </c>
      <c r="N158" s="73">
        <v>6</v>
      </c>
      <c r="O158" s="189">
        <v>110</v>
      </c>
      <c r="P158" s="189">
        <v>2.75</v>
      </c>
      <c r="Q158" s="73">
        <v>10</v>
      </c>
      <c r="R158" s="189">
        <v>243</v>
      </c>
      <c r="S158" s="189">
        <v>6.0750000000000002</v>
      </c>
    </row>
    <row r="159" spans="1:19" ht="15.75" thickBot="1" x14ac:dyDescent="0.3">
      <c r="A159" s="44" t="s">
        <v>969</v>
      </c>
      <c r="B159" s="48" t="s">
        <v>970</v>
      </c>
      <c r="C159" s="44" t="s">
        <v>817</v>
      </c>
      <c r="D159" s="73">
        <v>2373</v>
      </c>
      <c r="E159" s="73">
        <v>1</v>
      </c>
      <c r="F159" s="189">
        <v>26</v>
      </c>
      <c r="G159" s="189">
        <v>0.65</v>
      </c>
      <c r="H159" s="73">
        <v>1</v>
      </c>
      <c r="I159" s="189">
        <v>12</v>
      </c>
      <c r="J159" s="189">
        <v>0.3</v>
      </c>
      <c r="K159" s="73">
        <v>2</v>
      </c>
      <c r="L159" s="189">
        <v>38</v>
      </c>
      <c r="M159" s="189">
        <v>0.95</v>
      </c>
      <c r="N159" s="73">
        <v>2</v>
      </c>
      <c r="O159" s="189">
        <v>29.75</v>
      </c>
      <c r="P159" s="189">
        <v>0.74375000000000002</v>
      </c>
      <c r="Q159" s="73">
        <v>4</v>
      </c>
      <c r="R159" s="189">
        <v>67.75</v>
      </c>
      <c r="S159" s="189">
        <v>1.6937500000000001</v>
      </c>
    </row>
    <row r="160" spans="1:19" ht="15.75" thickBot="1" x14ac:dyDescent="0.3">
      <c r="A160" s="44" t="s">
        <v>1071</v>
      </c>
      <c r="B160" s="48" t="s">
        <v>1072</v>
      </c>
      <c r="C160" s="44" t="s">
        <v>817</v>
      </c>
      <c r="D160" s="73">
        <v>3150</v>
      </c>
      <c r="E160" s="73">
        <v>2</v>
      </c>
      <c r="F160" s="189">
        <v>27</v>
      </c>
      <c r="G160" s="189">
        <v>0.67500000000000004</v>
      </c>
      <c r="H160" s="73">
        <v>2</v>
      </c>
      <c r="I160" s="189">
        <v>23</v>
      </c>
      <c r="J160" s="189">
        <v>0.57499999999999996</v>
      </c>
      <c r="K160" s="73">
        <v>4</v>
      </c>
      <c r="L160" s="189">
        <v>50</v>
      </c>
      <c r="M160" s="189">
        <v>1.25</v>
      </c>
      <c r="N160" s="73">
        <v>5</v>
      </c>
      <c r="O160" s="189">
        <v>16</v>
      </c>
      <c r="P160" s="189">
        <v>0.4</v>
      </c>
      <c r="Q160" s="73">
        <v>9</v>
      </c>
      <c r="R160" s="189">
        <v>66</v>
      </c>
      <c r="S160" s="189">
        <v>1.65</v>
      </c>
    </row>
    <row r="161" spans="1:19" ht="15.75" thickBot="1" x14ac:dyDescent="0.3">
      <c r="A161" s="44" t="s">
        <v>1033</v>
      </c>
      <c r="B161" s="48" t="s">
        <v>1034</v>
      </c>
      <c r="C161" s="44" t="s">
        <v>808</v>
      </c>
      <c r="D161" s="73">
        <v>9512</v>
      </c>
      <c r="E161" s="73">
        <v>1</v>
      </c>
      <c r="F161" s="189">
        <v>29</v>
      </c>
      <c r="G161" s="189">
        <v>0.72499999999999998</v>
      </c>
      <c r="H161" s="73">
        <v>0</v>
      </c>
      <c r="I161" s="189">
        <v>0</v>
      </c>
      <c r="J161" s="189">
        <v>0</v>
      </c>
      <c r="K161" s="73">
        <v>1</v>
      </c>
      <c r="L161" s="189">
        <v>29</v>
      </c>
      <c r="M161" s="189">
        <v>0.72499999999999998</v>
      </c>
      <c r="N161" s="73">
        <v>1</v>
      </c>
      <c r="O161" s="189">
        <v>32</v>
      </c>
      <c r="P161" s="189">
        <v>0.8</v>
      </c>
      <c r="Q161" s="73">
        <v>2</v>
      </c>
      <c r="R161" s="189">
        <v>61</v>
      </c>
      <c r="S161" s="189">
        <v>1.5249999999999999</v>
      </c>
    </row>
    <row r="162" spans="1:19" ht="15.75" thickBot="1" x14ac:dyDescent="0.3">
      <c r="A162" s="44" t="s">
        <v>1225</v>
      </c>
      <c r="B162" s="48" t="s">
        <v>1226</v>
      </c>
      <c r="C162" s="44" t="s">
        <v>817</v>
      </c>
      <c r="D162" s="73">
        <v>2372</v>
      </c>
      <c r="E162" s="73">
        <v>1</v>
      </c>
      <c r="F162" s="189">
        <v>31.24</v>
      </c>
      <c r="G162" s="189">
        <v>0.78100000000000003</v>
      </c>
      <c r="H162" s="73">
        <v>2</v>
      </c>
      <c r="I162" s="189">
        <v>32</v>
      </c>
      <c r="J162" s="189">
        <v>0.8</v>
      </c>
      <c r="K162" s="73">
        <v>2</v>
      </c>
      <c r="L162" s="189">
        <v>63.25</v>
      </c>
      <c r="M162" s="189">
        <v>1.58125</v>
      </c>
      <c r="N162" s="73">
        <v>0</v>
      </c>
      <c r="O162" s="189">
        <v>0</v>
      </c>
      <c r="P162" s="189">
        <v>0</v>
      </c>
      <c r="Q162" s="73">
        <v>3</v>
      </c>
      <c r="R162" s="189">
        <v>63.25</v>
      </c>
      <c r="S162" s="189">
        <v>1.58125</v>
      </c>
    </row>
    <row r="163" spans="1:19" ht="15.75" thickBot="1" x14ac:dyDescent="0.3">
      <c r="A163" s="44" t="s">
        <v>1453</v>
      </c>
      <c r="B163" s="48" t="s">
        <v>1454</v>
      </c>
      <c r="C163" s="44" t="s">
        <v>798</v>
      </c>
      <c r="D163" s="73">
        <v>4375</v>
      </c>
      <c r="E163" s="73">
        <v>1</v>
      </c>
      <c r="F163" s="189">
        <v>32</v>
      </c>
      <c r="G163" s="189">
        <v>0.8</v>
      </c>
      <c r="H163" s="73">
        <v>1</v>
      </c>
      <c r="I163" s="189">
        <v>40</v>
      </c>
      <c r="J163" s="189">
        <v>1</v>
      </c>
      <c r="K163" s="73">
        <v>2</v>
      </c>
      <c r="L163" s="189">
        <v>72</v>
      </c>
      <c r="M163" s="189">
        <v>1.8</v>
      </c>
      <c r="N163" s="73">
        <v>5</v>
      </c>
      <c r="O163" s="189">
        <v>57.75</v>
      </c>
      <c r="P163" s="189">
        <v>1.4437500000000001</v>
      </c>
      <c r="Q163" s="73">
        <v>7</v>
      </c>
      <c r="R163" s="189">
        <v>129.75</v>
      </c>
      <c r="S163" s="189">
        <v>3.2437499999999999</v>
      </c>
    </row>
    <row r="164" spans="1:19" ht="15.75" thickBot="1" x14ac:dyDescent="0.3">
      <c r="A164" s="44" t="s">
        <v>1570</v>
      </c>
      <c r="B164" s="48" t="s">
        <v>1571</v>
      </c>
      <c r="C164" s="44" t="s">
        <v>798</v>
      </c>
      <c r="D164" s="73">
        <v>4837</v>
      </c>
      <c r="E164" s="73">
        <v>1</v>
      </c>
      <c r="F164" s="189">
        <v>32</v>
      </c>
      <c r="G164" s="189">
        <v>0.8</v>
      </c>
      <c r="H164" s="73">
        <v>0</v>
      </c>
      <c r="I164" s="189">
        <v>0</v>
      </c>
      <c r="J164" s="189">
        <v>0</v>
      </c>
      <c r="K164" s="73">
        <v>1</v>
      </c>
      <c r="L164" s="189">
        <v>32</v>
      </c>
      <c r="M164" s="189">
        <v>0.8</v>
      </c>
      <c r="N164" s="73">
        <v>4</v>
      </c>
      <c r="O164" s="189">
        <v>107</v>
      </c>
      <c r="P164" s="189">
        <v>2.6749999999999998</v>
      </c>
      <c r="Q164" s="73">
        <v>5</v>
      </c>
      <c r="R164" s="189">
        <v>139</v>
      </c>
      <c r="S164" s="189">
        <v>3.4750000000000001</v>
      </c>
    </row>
    <row r="165" spans="1:19" ht="15.75" thickBot="1" x14ac:dyDescent="0.3">
      <c r="A165" s="44" t="s">
        <v>1081</v>
      </c>
      <c r="B165" s="48" t="s">
        <v>1082</v>
      </c>
      <c r="C165" s="44" t="s">
        <v>808</v>
      </c>
      <c r="D165" s="73">
        <v>9476</v>
      </c>
      <c r="E165" s="73">
        <v>1</v>
      </c>
      <c r="F165" s="189">
        <v>32</v>
      </c>
      <c r="G165" s="189">
        <v>0.8</v>
      </c>
      <c r="H165" s="73">
        <v>0</v>
      </c>
      <c r="I165" s="190">
        <v>0</v>
      </c>
      <c r="J165" s="190">
        <v>0</v>
      </c>
      <c r="K165" s="73">
        <v>1</v>
      </c>
      <c r="L165" s="189">
        <v>32</v>
      </c>
      <c r="M165" s="189">
        <v>0.8</v>
      </c>
      <c r="N165" s="73">
        <v>3</v>
      </c>
      <c r="O165" s="189">
        <v>52</v>
      </c>
      <c r="P165" s="189">
        <v>1.3</v>
      </c>
      <c r="Q165" s="73">
        <v>4</v>
      </c>
      <c r="R165" s="189">
        <v>84</v>
      </c>
      <c r="S165" s="189">
        <v>2.1</v>
      </c>
    </row>
    <row r="166" spans="1:19" ht="15.75" thickBot="1" x14ac:dyDescent="0.3">
      <c r="A166" s="44" t="s">
        <v>959</v>
      </c>
      <c r="B166" s="48" t="s">
        <v>960</v>
      </c>
      <c r="C166" s="44" t="s">
        <v>817</v>
      </c>
      <c r="D166" s="73">
        <v>3604</v>
      </c>
      <c r="E166" s="73">
        <v>1</v>
      </c>
      <c r="F166" s="189">
        <v>35</v>
      </c>
      <c r="G166" s="189">
        <v>0.875</v>
      </c>
      <c r="H166" s="73">
        <v>0</v>
      </c>
      <c r="I166" s="189">
        <v>0</v>
      </c>
      <c r="J166" s="189">
        <v>0</v>
      </c>
      <c r="K166" s="73">
        <v>1</v>
      </c>
      <c r="L166" s="189">
        <v>35</v>
      </c>
      <c r="M166" s="189">
        <v>0.875</v>
      </c>
      <c r="N166" s="73">
        <v>5</v>
      </c>
      <c r="O166" s="189">
        <v>81</v>
      </c>
      <c r="P166" s="189">
        <v>2.0249999999999999</v>
      </c>
      <c r="Q166" s="73">
        <v>6</v>
      </c>
      <c r="R166" s="189">
        <v>116</v>
      </c>
      <c r="S166" s="189">
        <v>2.9</v>
      </c>
    </row>
    <row r="167" spans="1:19" ht="15.75" thickBot="1" x14ac:dyDescent="0.3">
      <c r="A167" s="44" t="s">
        <v>1245</v>
      </c>
      <c r="B167" s="48" t="s">
        <v>1246</v>
      </c>
      <c r="C167" s="44" t="s">
        <v>798</v>
      </c>
      <c r="D167" s="73">
        <v>5068</v>
      </c>
      <c r="E167" s="73">
        <v>1</v>
      </c>
      <c r="F167" s="189">
        <v>35</v>
      </c>
      <c r="G167" s="189">
        <v>0.875</v>
      </c>
      <c r="H167" s="73">
        <v>4</v>
      </c>
      <c r="I167" s="189">
        <v>98</v>
      </c>
      <c r="J167" s="189">
        <v>2.4500000000000002</v>
      </c>
      <c r="K167" s="73">
        <v>5</v>
      </c>
      <c r="L167" s="189">
        <v>133</v>
      </c>
      <c r="M167" s="189">
        <v>3.3250000000000002</v>
      </c>
      <c r="N167" s="73">
        <v>1</v>
      </c>
      <c r="O167" s="189">
        <v>8</v>
      </c>
      <c r="P167" s="189">
        <v>0.2</v>
      </c>
      <c r="Q167" s="73">
        <v>7</v>
      </c>
      <c r="R167" s="189">
        <v>141</v>
      </c>
      <c r="S167" s="189">
        <v>3.5249999999999999</v>
      </c>
    </row>
    <row r="168" spans="1:19" ht="15.75" thickBot="1" x14ac:dyDescent="0.3">
      <c r="A168" s="44" t="s">
        <v>1405</v>
      </c>
      <c r="B168" s="48" t="s">
        <v>1406</v>
      </c>
      <c r="C168" s="44" t="s">
        <v>798</v>
      </c>
      <c r="D168" s="73">
        <v>5523</v>
      </c>
      <c r="E168" s="73">
        <v>1</v>
      </c>
      <c r="F168" s="189">
        <v>35</v>
      </c>
      <c r="G168" s="189">
        <v>0.875</v>
      </c>
      <c r="H168" s="73">
        <v>4</v>
      </c>
      <c r="I168" s="189">
        <v>52</v>
      </c>
      <c r="J168" s="189">
        <v>1.3</v>
      </c>
      <c r="K168" s="73">
        <v>5</v>
      </c>
      <c r="L168" s="189">
        <v>87</v>
      </c>
      <c r="M168" s="189">
        <v>2.1749999999999998</v>
      </c>
      <c r="N168" s="73">
        <v>2</v>
      </c>
      <c r="O168" s="189">
        <v>3</v>
      </c>
      <c r="P168" s="189">
        <v>7.4999999999999997E-2</v>
      </c>
      <c r="Q168" s="73">
        <v>7</v>
      </c>
      <c r="R168" s="189">
        <v>90</v>
      </c>
      <c r="S168" s="189">
        <v>2.25</v>
      </c>
    </row>
    <row r="169" spans="1:19" ht="15.75" thickBot="1" x14ac:dyDescent="0.3">
      <c r="A169" s="44" t="s">
        <v>1457</v>
      </c>
      <c r="B169" s="48" t="s">
        <v>1458</v>
      </c>
      <c r="C169" s="44" t="s">
        <v>798</v>
      </c>
      <c r="D169" s="73">
        <v>5101</v>
      </c>
      <c r="E169" s="73">
        <v>1</v>
      </c>
      <c r="F169" s="189">
        <v>35</v>
      </c>
      <c r="G169" s="189">
        <v>0.875</v>
      </c>
      <c r="H169" s="73">
        <v>0</v>
      </c>
      <c r="I169" s="189">
        <v>0</v>
      </c>
      <c r="J169" s="189">
        <v>0</v>
      </c>
      <c r="K169" s="73">
        <v>1</v>
      </c>
      <c r="L169" s="189">
        <v>35</v>
      </c>
      <c r="M169" s="189">
        <v>0.875</v>
      </c>
      <c r="N169" s="73">
        <v>10</v>
      </c>
      <c r="O169" s="189">
        <v>130.5</v>
      </c>
      <c r="P169" s="189">
        <v>3.2625000000000002</v>
      </c>
      <c r="Q169" s="73">
        <v>11</v>
      </c>
      <c r="R169" s="189">
        <v>165.5</v>
      </c>
      <c r="S169" s="189">
        <v>4.1375000000000002</v>
      </c>
    </row>
    <row r="170" spans="1:19" ht="15.75" thickBot="1" x14ac:dyDescent="0.3">
      <c r="A170" s="44" t="s">
        <v>859</v>
      </c>
      <c r="B170" s="48" t="s">
        <v>860</v>
      </c>
      <c r="C170" s="44" t="s">
        <v>808</v>
      </c>
      <c r="D170" s="73">
        <v>11598</v>
      </c>
      <c r="E170" s="73">
        <v>1</v>
      </c>
      <c r="F170" s="189">
        <v>35</v>
      </c>
      <c r="G170" s="189">
        <v>0.875</v>
      </c>
      <c r="H170" s="73">
        <v>2</v>
      </c>
      <c r="I170" s="189">
        <v>70</v>
      </c>
      <c r="J170" s="189">
        <v>1.75</v>
      </c>
      <c r="K170" s="73">
        <v>3</v>
      </c>
      <c r="L170" s="189">
        <v>105</v>
      </c>
      <c r="M170" s="189">
        <v>2.625</v>
      </c>
      <c r="N170" s="73">
        <v>3</v>
      </c>
      <c r="O170" s="189">
        <v>44</v>
      </c>
      <c r="P170" s="189">
        <v>1.1000000000000001</v>
      </c>
      <c r="Q170" s="73">
        <v>6</v>
      </c>
      <c r="R170" s="189">
        <v>149</v>
      </c>
      <c r="S170" s="189">
        <v>3.7250000000000001</v>
      </c>
    </row>
    <row r="171" spans="1:19" ht="15.75" thickBot="1" x14ac:dyDescent="0.3">
      <c r="A171" s="44" t="s">
        <v>981</v>
      </c>
      <c r="B171" s="48" t="s">
        <v>982</v>
      </c>
      <c r="C171" s="44" t="s">
        <v>803</v>
      </c>
      <c r="D171" s="73">
        <v>14074</v>
      </c>
      <c r="E171" s="73">
        <v>1</v>
      </c>
      <c r="F171" s="189">
        <v>35</v>
      </c>
      <c r="G171" s="189">
        <v>0.875</v>
      </c>
      <c r="H171" s="73">
        <v>1</v>
      </c>
      <c r="I171" s="189">
        <v>40</v>
      </c>
      <c r="J171" s="189">
        <v>1</v>
      </c>
      <c r="K171" s="73">
        <v>2</v>
      </c>
      <c r="L171" s="189">
        <v>75</v>
      </c>
      <c r="M171" s="189">
        <v>1.875</v>
      </c>
      <c r="N171" s="73">
        <v>11</v>
      </c>
      <c r="O171" s="189">
        <v>278</v>
      </c>
      <c r="P171" s="189">
        <v>6.95</v>
      </c>
      <c r="Q171" s="73">
        <v>13</v>
      </c>
      <c r="R171" s="189">
        <v>353</v>
      </c>
      <c r="S171" s="189">
        <v>8.8249999999999993</v>
      </c>
    </row>
    <row r="172" spans="1:19" ht="15.75" thickBot="1" x14ac:dyDescent="0.3">
      <c r="A172" s="44" t="s">
        <v>1207</v>
      </c>
      <c r="B172" s="48" t="s">
        <v>1208</v>
      </c>
      <c r="C172" s="44" t="s">
        <v>803</v>
      </c>
      <c r="D172" s="73">
        <v>25369</v>
      </c>
      <c r="E172" s="73">
        <v>1</v>
      </c>
      <c r="F172" s="189">
        <v>36</v>
      </c>
      <c r="G172" s="189">
        <v>0.9</v>
      </c>
      <c r="H172" s="73">
        <v>0</v>
      </c>
      <c r="I172" s="189">
        <v>0</v>
      </c>
      <c r="J172" s="189">
        <v>0</v>
      </c>
      <c r="K172" s="73">
        <v>1</v>
      </c>
      <c r="L172" s="189">
        <v>36</v>
      </c>
      <c r="M172" s="189">
        <v>0.9</v>
      </c>
      <c r="N172" s="73">
        <v>3</v>
      </c>
      <c r="O172" s="189">
        <v>153</v>
      </c>
      <c r="P172" s="189">
        <v>3.8250000000000002</v>
      </c>
      <c r="Q172" s="73">
        <v>4</v>
      </c>
      <c r="R172" s="189">
        <v>189</v>
      </c>
      <c r="S172" s="189">
        <v>4.7249999999999996</v>
      </c>
    </row>
    <row r="173" spans="1:19" ht="15.75" thickBot="1" x14ac:dyDescent="0.3">
      <c r="A173" s="44" t="s">
        <v>1498</v>
      </c>
      <c r="B173" s="48" t="s">
        <v>1499</v>
      </c>
      <c r="C173" s="44" t="s">
        <v>803</v>
      </c>
      <c r="D173" s="73">
        <v>17937</v>
      </c>
      <c r="E173" s="73">
        <v>1</v>
      </c>
      <c r="F173" s="189">
        <v>37.5</v>
      </c>
      <c r="G173" s="189">
        <v>0.9375</v>
      </c>
      <c r="H173" s="73">
        <v>2</v>
      </c>
      <c r="I173" s="189">
        <v>75</v>
      </c>
      <c r="J173" s="189">
        <v>1.875</v>
      </c>
      <c r="K173" s="73">
        <v>3</v>
      </c>
      <c r="L173" s="189">
        <v>112.5</v>
      </c>
      <c r="M173" s="189">
        <v>2.8125</v>
      </c>
      <c r="N173" s="73">
        <v>11</v>
      </c>
      <c r="O173" s="189">
        <v>228</v>
      </c>
      <c r="P173" s="189">
        <v>5.7</v>
      </c>
      <c r="Q173" s="73">
        <v>14</v>
      </c>
      <c r="R173" s="189">
        <v>340.5</v>
      </c>
      <c r="S173" s="189">
        <v>8.5124999999999993</v>
      </c>
    </row>
    <row r="174" spans="1:19" ht="15.75" thickBot="1" x14ac:dyDescent="0.3">
      <c r="A174" s="44" t="s">
        <v>993</v>
      </c>
      <c r="B174" s="48" t="s">
        <v>994</v>
      </c>
      <c r="C174" s="44" t="s">
        <v>817</v>
      </c>
      <c r="D174" s="73">
        <v>3179</v>
      </c>
      <c r="E174" s="73">
        <v>1</v>
      </c>
      <c r="F174" s="189">
        <v>38</v>
      </c>
      <c r="G174" s="189">
        <v>0.95</v>
      </c>
      <c r="H174" s="73">
        <v>3</v>
      </c>
      <c r="I174" s="189">
        <v>29</v>
      </c>
      <c r="J174" s="189">
        <v>0.72499999999999998</v>
      </c>
      <c r="K174" s="73">
        <v>4</v>
      </c>
      <c r="L174" s="189">
        <v>67</v>
      </c>
      <c r="M174" s="189">
        <v>1.675</v>
      </c>
      <c r="N174" s="73">
        <v>0</v>
      </c>
      <c r="O174" s="189">
        <v>0</v>
      </c>
      <c r="P174" s="189">
        <v>0</v>
      </c>
      <c r="Q174" s="73">
        <v>4</v>
      </c>
      <c r="R174" s="189">
        <v>67</v>
      </c>
      <c r="S174" s="189">
        <v>1.675</v>
      </c>
    </row>
    <row r="175" spans="1:19" ht="15.75" thickBot="1" x14ac:dyDescent="0.3">
      <c r="A175" s="44" t="s">
        <v>1237</v>
      </c>
      <c r="B175" s="48" t="s">
        <v>1238</v>
      </c>
      <c r="C175" s="44" t="s">
        <v>817</v>
      </c>
      <c r="D175" s="73">
        <v>3667</v>
      </c>
      <c r="E175" s="73">
        <v>1</v>
      </c>
      <c r="F175" s="189">
        <v>38</v>
      </c>
      <c r="G175" s="189">
        <v>0.95</v>
      </c>
      <c r="H175" s="73">
        <v>0</v>
      </c>
      <c r="I175" s="189">
        <v>0</v>
      </c>
      <c r="J175" s="189">
        <v>0</v>
      </c>
      <c r="K175" s="73">
        <v>1</v>
      </c>
      <c r="L175" s="189">
        <v>38</v>
      </c>
      <c r="M175" s="189">
        <v>0.95</v>
      </c>
      <c r="N175" s="73">
        <v>4</v>
      </c>
      <c r="O175" s="189">
        <v>59</v>
      </c>
      <c r="P175" s="189">
        <v>1.4750000000000001</v>
      </c>
      <c r="Q175" s="73">
        <v>5</v>
      </c>
      <c r="R175" s="189">
        <v>97</v>
      </c>
      <c r="S175" s="189">
        <v>2.4249999999999998</v>
      </c>
    </row>
    <row r="176" spans="1:19" ht="15.75" thickBot="1" x14ac:dyDescent="0.3">
      <c r="A176" s="44" t="s">
        <v>1309</v>
      </c>
      <c r="B176" s="48" t="s">
        <v>1310</v>
      </c>
      <c r="C176" s="44" t="s">
        <v>808</v>
      </c>
      <c r="D176" s="73">
        <v>7656</v>
      </c>
      <c r="E176" s="73">
        <v>1</v>
      </c>
      <c r="F176" s="189">
        <v>38</v>
      </c>
      <c r="G176" s="189">
        <v>0.95</v>
      </c>
      <c r="H176" s="73">
        <v>1</v>
      </c>
      <c r="I176" s="189">
        <v>21</v>
      </c>
      <c r="J176" s="189">
        <v>0.52500000000000002</v>
      </c>
      <c r="K176" s="73">
        <v>2</v>
      </c>
      <c r="L176" s="189">
        <v>59</v>
      </c>
      <c r="M176" s="189">
        <v>1.4750000000000001</v>
      </c>
      <c r="N176" s="73">
        <v>1</v>
      </c>
      <c r="O176" s="189">
        <v>14</v>
      </c>
      <c r="P176" s="189">
        <v>0.35</v>
      </c>
      <c r="Q176" s="73">
        <v>3</v>
      </c>
      <c r="R176" s="189">
        <v>73</v>
      </c>
      <c r="S176" s="189">
        <v>1.825</v>
      </c>
    </row>
    <row r="177" spans="1:19" ht="15.75" thickBot="1" x14ac:dyDescent="0.3">
      <c r="A177" s="44" t="s">
        <v>873</v>
      </c>
      <c r="B177" s="48" t="s">
        <v>874</v>
      </c>
      <c r="C177" s="44" t="s">
        <v>817</v>
      </c>
      <c r="D177" s="73">
        <v>3811</v>
      </c>
      <c r="E177" s="73">
        <v>1</v>
      </c>
      <c r="F177" s="189">
        <v>40</v>
      </c>
      <c r="G177" s="189">
        <v>1</v>
      </c>
      <c r="H177" s="73">
        <v>2</v>
      </c>
      <c r="I177" s="189">
        <v>60</v>
      </c>
      <c r="J177" s="189">
        <v>1.5</v>
      </c>
      <c r="K177" s="73">
        <v>3</v>
      </c>
      <c r="L177" s="189">
        <v>100</v>
      </c>
      <c r="M177" s="189">
        <v>2.5</v>
      </c>
      <c r="N177" s="73">
        <v>3</v>
      </c>
      <c r="O177" s="189">
        <v>27</v>
      </c>
      <c r="P177" s="189">
        <v>0.67500000000000004</v>
      </c>
      <c r="Q177" s="73">
        <v>6</v>
      </c>
      <c r="R177" s="189">
        <v>127</v>
      </c>
      <c r="S177" s="189">
        <v>3.1749999999999998</v>
      </c>
    </row>
    <row r="178" spans="1:19" ht="15.75" thickBot="1" x14ac:dyDescent="0.3">
      <c r="A178" s="44" t="s">
        <v>1099</v>
      </c>
      <c r="B178" s="48" t="s">
        <v>1100</v>
      </c>
      <c r="C178" s="44" t="s">
        <v>817</v>
      </c>
      <c r="D178" s="73">
        <v>3650</v>
      </c>
      <c r="E178" s="73">
        <v>1</v>
      </c>
      <c r="F178" s="189">
        <v>40</v>
      </c>
      <c r="G178" s="189">
        <v>1</v>
      </c>
      <c r="H178" s="73">
        <v>1</v>
      </c>
      <c r="I178" s="189">
        <v>40</v>
      </c>
      <c r="J178" s="189">
        <v>1</v>
      </c>
      <c r="K178" s="73">
        <v>2</v>
      </c>
      <c r="L178" s="189">
        <v>80</v>
      </c>
      <c r="M178" s="189">
        <v>2</v>
      </c>
      <c r="N178" s="73">
        <v>3</v>
      </c>
      <c r="O178" s="189">
        <v>5.3</v>
      </c>
      <c r="P178" s="189">
        <v>0.13250000000000001</v>
      </c>
      <c r="Q178" s="73">
        <v>5</v>
      </c>
      <c r="R178" s="189">
        <v>85.3</v>
      </c>
      <c r="S178" s="189">
        <v>2.1324999999999998</v>
      </c>
    </row>
    <row r="179" spans="1:19" ht="15.75" thickBot="1" x14ac:dyDescent="0.3">
      <c r="A179" s="44" t="s">
        <v>1209</v>
      </c>
      <c r="B179" s="48" t="s">
        <v>1210</v>
      </c>
      <c r="C179" s="44" t="s">
        <v>817</v>
      </c>
      <c r="D179" s="73">
        <v>2027</v>
      </c>
      <c r="E179" s="73">
        <v>1</v>
      </c>
      <c r="F179" s="189">
        <v>40</v>
      </c>
      <c r="G179" s="189">
        <v>1</v>
      </c>
      <c r="H179" s="73">
        <v>0</v>
      </c>
      <c r="I179" s="189">
        <v>0</v>
      </c>
      <c r="J179" s="189">
        <v>0</v>
      </c>
      <c r="K179" s="73">
        <v>1</v>
      </c>
      <c r="L179" s="189">
        <v>40</v>
      </c>
      <c r="M179" s="189">
        <v>1</v>
      </c>
      <c r="N179" s="73">
        <v>1</v>
      </c>
      <c r="O179" s="189">
        <v>29</v>
      </c>
      <c r="P179" s="189">
        <v>0.72499999999999998</v>
      </c>
      <c r="Q179" s="73">
        <v>2</v>
      </c>
      <c r="R179" s="189">
        <v>69</v>
      </c>
      <c r="S179" s="189">
        <v>1.7250000000000001</v>
      </c>
    </row>
    <row r="180" spans="1:19" ht="15.75" thickBot="1" x14ac:dyDescent="0.3">
      <c r="A180" s="44" t="s">
        <v>1459</v>
      </c>
      <c r="B180" s="48" t="s">
        <v>1460</v>
      </c>
      <c r="C180" s="44" t="s">
        <v>817</v>
      </c>
      <c r="D180" s="73">
        <v>3775</v>
      </c>
      <c r="E180" s="73">
        <v>1</v>
      </c>
      <c r="F180" s="189">
        <v>40</v>
      </c>
      <c r="G180" s="189">
        <v>1</v>
      </c>
      <c r="H180" s="73">
        <v>2</v>
      </c>
      <c r="I180" s="189">
        <v>57</v>
      </c>
      <c r="J180" s="189">
        <v>1.425</v>
      </c>
      <c r="K180" s="73">
        <v>3</v>
      </c>
      <c r="L180" s="189">
        <v>97</v>
      </c>
      <c r="M180" s="189">
        <v>2.4249999999999998</v>
      </c>
      <c r="N180" s="73">
        <v>5</v>
      </c>
      <c r="O180" s="189">
        <v>64</v>
      </c>
      <c r="P180" s="189">
        <v>1.6</v>
      </c>
      <c r="Q180" s="73">
        <v>8</v>
      </c>
      <c r="R180" s="189">
        <v>161</v>
      </c>
      <c r="S180" s="189">
        <v>4.0250000000000004</v>
      </c>
    </row>
    <row r="181" spans="1:19" ht="15.75" thickBot="1" x14ac:dyDescent="0.3">
      <c r="A181" s="44" t="s">
        <v>838</v>
      </c>
      <c r="B181" s="48" t="s">
        <v>839</v>
      </c>
      <c r="C181" s="44" t="s">
        <v>798</v>
      </c>
      <c r="D181" s="73">
        <v>5379</v>
      </c>
      <c r="E181" s="73">
        <v>1</v>
      </c>
      <c r="F181" s="189">
        <v>40</v>
      </c>
      <c r="G181" s="189">
        <v>1</v>
      </c>
      <c r="H181" s="73">
        <v>0</v>
      </c>
      <c r="I181" s="189">
        <v>0</v>
      </c>
      <c r="J181" s="189">
        <v>0</v>
      </c>
      <c r="K181" s="73">
        <v>1</v>
      </c>
      <c r="L181" s="189">
        <v>40</v>
      </c>
      <c r="M181" s="189">
        <v>1</v>
      </c>
      <c r="N181" s="73">
        <v>8</v>
      </c>
      <c r="O181" s="189">
        <v>110</v>
      </c>
      <c r="P181" s="189">
        <v>2.75</v>
      </c>
      <c r="Q181" s="73">
        <v>9</v>
      </c>
      <c r="R181" s="189">
        <v>150</v>
      </c>
      <c r="S181" s="189">
        <v>3.75</v>
      </c>
    </row>
    <row r="182" spans="1:19" ht="15.75" thickBot="1" x14ac:dyDescent="0.3">
      <c r="A182" s="44" t="s">
        <v>881</v>
      </c>
      <c r="B182" s="48" t="s">
        <v>882</v>
      </c>
      <c r="C182" s="44" t="s">
        <v>798</v>
      </c>
      <c r="D182" s="73">
        <v>5414</v>
      </c>
      <c r="E182" s="73">
        <v>1</v>
      </c>
      <c r="F182" s="189">
        <v>40</v>
      </c>
      <c r="G182" s="189">
        <v>1</v>
      </c>
      <c r="H182" s="73">
        <v>0</v>
      </c>
      <c r="I182" s="189">
        <v>0</v>
      </c>
      <c r="J182" s="189">
        <v>0</v>
      </c>
      <c r="K182" s="73">
        <v>1</v>
      </c>
      <c r="L182" s="189">
        <v>40</v>
      </c>
      <c r="M182" s="189">
        <v>1</v>
      </c>
      <c r="N182" s="73">
        <v>1</v>
      </c>
      <c r="O182" s="189">
        <v>11</v>
      </c>
      <c r="P182" s="189">
        <v>0.27500000000000002</v>
      </c>
      <c r="Q182" s="73">
        <v>2</v>
      </c>
      <c r="R182" s="189">
        <v>51</v>
      </c>
      <c r="S182" s="189">
        <v>1.2749999999999999</v>
      </c>
    </row>
    <row r="183" spans="1:19" ht="15.75" thickBot="1" x14ac:dyDescent="0.3">
      <c r="A183" s="44" t="s">
        <v>903</v>
      </c>
      <c r="B183" s="48" t="s">
        <v>904</v>
      </c>
      <c r="C183" s="44" t="s">
        <v>798</v>
      </c>
      <c r="D183" s="73">
        <v>6296</v>
      </c>
      <c r="E183" s="73">
        <v>1</v>
      </c>
      <c r="F183" s="189">
        <v>40</v>
      </c>
      <c r="G183" s="189">
        <v>1</v>
      </c>
      <c r="H183" s="73">
        <v>2</v>
      </c>
      <c r="I183" s="189">
        <v>74</v>
      </c>
      <c r="J183" s="189">
        <v>1.85</v>
      </c>
      <c r="K183" s="73">
        <v>3</v>
      </c>
      <c r="L183" s="189">
        <v>114</v>
      </c>
      <c r="M183" s="189">
        <v>2.85</v>
      </c>
      <c r="N183" s="73">
        <v>10</v>
      </c>
      <c r="O183" s="189">
        <v>184</v>
      </c>
      <c r="P183" s="189">
        <v>4.5999999999999996</v>
      </c>
      <c r="Q183" s="73">
        <v>13</v>
      </c>
      <c r="R183" s="189">
        <v>298</v>
      </c>
      <c r="S183" s="189">
        <v>7.45</v>
      </c>
    </row>
    <row r="184" spans="1:19" ht="15.75" thickBot="1" x14ac:dyDescent="0.3">
      <c r="A184" s="44" t="s">
        <v>1185</v>
      </c>
      <c r="B184" s="48" t="s">
        <v>1186</v>
      </c>
      <c r="C184" s="44" t="s">
        <v>798</v>
      </c>
      <c r="D184" s="73">
        <v>6997</v>
      </c>
      <c r="E184" s="73">
        <v>1</v>
      </c>
      <c r="F184" s="189">
        <v>40</v>
      </c>
      <c r="G184" s="189">
        <v>1</v>
      </c>
      <c r="H184" s="73">
        <v>0</v>
      </c>
      <c r="I184" s="189">
        <v>0</v>
      </c>
      <c r="J184" s="189">
        <v>0</v>
      </c>
      <c r="K184" s="73">
        <v>1</v>
      </c>
      <c r="L184" s="189">
        <v>40</v>
      </c>
      <c r="M184" s="189">
        <v>1</v>
      </c>
      <c r="N184" s="73">
        <v>12</v>
      </c>
      <c r="O184" s="189">
        <v>138</v>
      </c>
      <c r="P184" s="189">
        <v>3.45</v>
      </c>
      <c r="Q184" s="73">
        <v>13</v>
      </c>
      <c r="R184" s="189">
        <v>178</v>
      </c>
      <c r="S184" s="189">
        <v>4.45</v>
      </c>
    </row>
    <row r="185" spans="1:19" ht="15.75" thickBot="1" x14ac:dyDescent="0.3">
      <c r="A185" s="44" t="s">
        <v>1299</v>
      </c>
      <c r="B185" s="48" t="s">
        <v>1300</v>
      </c>
      <c r="C185" s="44" t="s">
        <v>798</v>
      </c>
      <c r="D185" s="73">
        <v>6634</v>
      </c>
      <c r="E185" s="73">
        <v>1</v>
      </c>
      <c r="F185" s="189">
        <v>40</v>
      </c>
      <c r="G185" s="189">
        <v>1</v>
      </c>
      <c r="H185" s="73">
        <v>2</v>
      </c>
      <c r="I185" s="189">
        <v>80</v>
      </c>
      <c r="J185" s="189">
        <v>2</v>
      </c>
      <c r="K185" s="73">
        <v>3</v>
      </c>
      <c r="L185" s="189">
        <v>120</v>
      </c>
      <c r="M185" s="189">
        <v>3</v>
      </c>
      <c r="N185" s="73">
        <v>1</v>
      </c>
      <c r="O185" s="189">
        <v>33</v>
      </c>
      <c r="P185" s="189">
        <v>0.82499999999999996</v>
      </c>
      <c r="Q185" s="73">
        <v>4</v>
      </c>
      <c r="R185" s="189">
        <v>153</v>
      </c>
      <c r="S185" s="189">
        <v>3.8250000000000002</v>
      </c>
    </row>
    <row r="186" spans="1:19" ht="15.75" thickBot="1" x14ac:dyDescent="0.3">
      <c r="A186" s="44" t="s">
        <v>1429</v>
      </c>
      <c r="B186" s="48" t="s">
        <v>1430</v>
      </c>
      <c r="C186" s="44" t="s">
        <v>798</v>
      </c>
      <c r="D186" s="73">
        <v>6295</v>
      </c>
      <c r="E186" s="73">
        <v>1</v>
      </c>
      <c r="F186" s="189">
        <v>40</v>
      </c>
      <c r="G186" s="189">
        <v>1</v>
      </c>
      <c r="H186" s="73">
        <v>0</v>
      </c>
      <c r="I186" s="189">
        <v>0</v>
      </c>
      <c r="J186" s="189">
        <v>0</v>
      </c>
      <c r="K186" s="73">
        <v>1</v>
      </c>
      <c r="L186" s="189">
        <v>40</v>
      </c>
      <c r="M186" s="189">
        <v>1</v>
      </c>
      <c r="N186" s="73">
        <v>6</v>
      </c>
      <c r="O186" s="189">
        <v>172</v>
      </c>
      <c r="P186" s="189">
        <v>4.3</v>
      </c>
      <c r="Q186" s="73">
        <v>7</v>
      </c>
      <c r="R186" s="189">
        <v>212</v>
      </c>
      <c r="S186" s="189">
        <v>5.3</v>
      </c>
    </row>
    <row r="187" spans="1:19" ht="15.75" thickBot="1" x14ac:dyDescent="0.3">
      <c r="A187" s="44" t="s">
        <v>1506</v>
      </c>
      <c r="B187" s="48" t="s">
        <v>1507</v>
      </c>
      <c r="C187" s="44" t="s">
        <v>798</v>
      </c>
      <c r="D187" s="73">
        <v>5479</v>
      </c>
      <c r="E187" s="73">
        <v>1</v>
      </c>
      <c r="F187" s="189">
        <v>40</v>
      </c>
      <c r="G187" s="189">
        <v>1</v>
      </c>
      <c r="H187" s="73">
        <v>0</v>
      </c>
      <c r="I187" s="189">
        <v>0</v>
      </c>
      <c r="J187" s="189">
        <v>0</v>
      </c>
      <c r="K187" s="73">
        <v>1</v>
      </c>
      <c r="L187" s="189">
        <v>40</v>
      </c>
      <c r="M187" s="189">
        <v>1</v>
      </c>
      <c r="N187" s="73">
        <v>6</v>
      </c>
      <c r="O187" s="189">
        <v>65</v>
      </c>
      <c r="P187" s="189">
        <v>1.625</v>
      </c>
      <c r="Q187" s="73">
        <v>7</v>
      </c>
      <c r="R187" s="189">
        <v>105</v>
      </c>
      <c r="S187" s="189">
        <v>2.625</v>
      </c>
    </row>
    <row r="188" spans="1:19" ht="15.75" thickBot="1" x14ac:dyDescent="0.3">
      <c r="A188" s="44" t="s">
        <v>806</v>
      </c>
      <c r="B188" s="48" t="s">
        <v>807</v>
      </c>
      <c r="C188" s="44" t="s">
        <v>808</v>
      </c>
      <c r="D188" s="73">
        <v>7410</v>
      </c>
      <c r="E188" s="73">
        <v>1</v>
      </c>
      <c r="F188" s="189">
        <v>40</v>
      </c>
      <c r="G188" s="189">
        <v>1</v>
      </c>
      <c r="H188" s="73">
        <v>1</v>
      </c>
      <c r="I188" s="189">
        <v>29</v>
      </c>
      <c r="J188" s="189">
        <v>0.72499999999999998</v>
      </c>
      <c r="K188" s="73">
        <v>2</v>
      </c>
      <c r="L188" s="189">
        <v>69</v>
      </c>
      <c r="M188" s="189">
        <v>1.7250000000000001</v>
      </c>
      <c r="N188" s="73">
        <v>4</v>
      </c>
      <c r="O188" s="189">
        <v>51</v>
      </c>
      <c r="P188" s="189">
        <v>1.2749999999999999</v>
      </c>
      <c r="Q188" s="73">
        <v>6</v>
      </c>
      <c r="R188" s="189">
        <v>120</v>
      </c>
      <c r="S188" s="189">
        <v>3</v>
      </c>
    </row>
    <row r="189" spans="1:19" ht="15.75" thickBot="1" x14ac:dyDescent="0.3">
      <c r="A189" s="44" t="s">
        <v>809</v>
      </c>
      <c r="B189" s="48" t="s">
        <v>810</v>
      </c>
      <c r="C189" s="44" t="s">
        <v>808</v>
      </c>
      <c r="D189" s="73">
        <v>11600</v>
      </c>
      <c r="E189" s="73">
        <v>1</v>
      </c>
      <c r="F189" s="189">
        <v>40</v>
      </c>
      <c r="G189" s="189">
        <v>1</v>
      </c>
      <c r="H189" s="73">
        <v>0</v>
      </c>
      <c r="I189" s="189">
        <v>0</v>
      </c>
      <c r="J189" s="189">
        <v>0</v>
      </c>
      <c r="K189" s="73">
        <v>1</v>
      </c>
      <c r="L189" s="189">
        <v>40</v>
      </c>
      <c r="M189" s="189">
        <v>1</v>
      </c>
      <c r="N189" s="73">
        <v>3</v>
      </c>
      <c r="O189" s="189">
        <v>58</v>
      </c>
      <c r="P189" s="189">
        <v>1.45</v>
      </c>
      <c r="Q189" s="73">
        <v>5</v>
      </c>
      <c r="R189" s="189">
        <v>98</v>
      </c>
      <c r="S189" s="189">
        <v>2.4500000000000002</v>
      </c>
    </row>
    <row r="190" spans="1:19" ht="15.75" thickBot="1" x14ac:dyDescent="0.3">
      <c r="A190" s="44" t="s">
        <v>813</v>
      </c>
      <c r="B190" s="48" t="s">
        <v>814</v>
      </c>
      <c r="C190" s="44" t="s">
        <v>808</v>
      </c>
      <c r="D190" s="73">
        <v>9706</v>
      </c>
      <c r="E190" s="73">
        <v>1</v>
      </c>
      <c r="F190" s="189">
        <v>40</v>
      </c>
      <c r="G190" s="189">
        <v>1</v>
      </c>
      <c r="H190" s="73">
        <v>2</v>
      </c>
      <c r="I190" s="189">
        <v>70</v>
      </c>
      <c r="J190" s="189">
        <v>1.75</v>
      </c>
      <c r="K190" s="73">
        <v>3</v>
      </c>
      <c r="L190" s="189">
        <v>110</v>
      </c>
      <c r="M190" s="189">
        <v>2.75</v>
      </c>
      <c r="N190" s="73">
        <v>12</v>
      </c>
      <c r="O190" s="189">
        <v>231.5</v>
      </c>
      <c r="P190" s="189">
        <v>5.7874999999999996</v>
      </c>
      <c r="Q190" s="73">
        <v>15</v>
      </c>
      <c r="R190" s="189">
        <v>341.5</v>
      </c>
      <c r="S190" s="189">
        <v>8.5374999999999996</v>
      </c>
    </row>
    <row r="191" spans="1:19" ht="15.75" thickBot="1" x14ac:dyDescent="0.3">
      <c r="A191" s="44" t="s">
        <v>879</v>
      </c>
      <c r="B191" s="48" t="s">
        <v>880</v>
      </c>
      <c r="C191" s="44" t="s">
        <v>808</v>
      </c>
      <c r="D191" s="73">
        <v>9197</v>
      </c>
      <c r="E191" s="73">
        <v>1</v>
      </c>
      <c r="F191" s="189">
        <v>40</v>
      </c>
      <c r="G191" s="189">
        <v>1</v>
      </c>
      <c r="H191" s="73">
        <v>1</v>
      </c>
      <c r="I191" s="189">
        <v>40</v>
      </c>
      <c r="J191" s="189">
        <v>1</v>
      </c>
      <c r="K191" s="73">
        <v>2</v>
      </c>
      <c r="L191" s="189">
        <v>80</v>
      </c>
      <c r="M191" s="189">
        <v>2</v>
      </c>
      <c r="N191" s="73">
        <v>9</v>
      </c>
      <c r="O191" s="189">
        <v>174</v>
      </c>
      <c r="P191" s="189">
        <v>4.3499999999999996</v>
      </c>
      <c r="Q191" s="73">
        <v>11</v>
      </c>
      <c r="R191" s="189">
        <v>254</v>
      </c>
      <c r="S191" s="189">
        <v>6.35</v>
      </c>
    </row>
    <row r="192" spans="1:19" ht="15.75" thickBot="1" x14ac:dyDescent="0.3">
      <c r="A192" s="44" t="s">
        <v>893</v>
      </c>
      <c r="B192" s="48" t="s">
        <v>894</v>
      </c>
      <c r="C192" s="44" t="s">
        <v>808</v>
      </c>
      <c r="D192" s="73">
        <v>7226</v>
      </c>
      <c r="E192" s="73">
        <v>1</v>
      </c>
      <c r="F192" s="189">
        <v>40</v>
      </c>
      <c r="G192" s="189">
        <v>1</v>
      </c>
      <c r="H192" s="73">
        <v>0</v>
      </c>
      <c r="I192" s="189">
        <v>0</v>
      </c>
      <c r="J192" s="189">
        <v>0</v>
      </c>
      <c r="K192" s="73">
        <v>1</v>
      </c>
      <c r="L192" s="189">
        <v>40</v>
      </c>
      <c r="M192" s="189">
        <v>1</v>
      </c>
      <c r="N192" s="73">
        <v>10</v>
      </c>
      <c r="O192" s="189">
        <v>267.5</v>
      </c>
      <c r="P192" s="189">
        <v>6.6875</v>
      </c>
      <c r="Q192" s="73">
        <v>11</v>
      </c>
      <c r="R192" s="189">
        <v>307.5</v>
      </c>
      <c r="S192" s="189">
        <v>7.6875</v>
      </c>
    </row>
    <row r="193" spans="1:19" ht="15.75" thickBot="1" x14ac:dyDescent="0.3">
      <c r="A193" s="44" t="s">
        <v>911</v>
      </c>
      <c r="B193" s="48" t="s">
        <v>912</v>
      </c>
      <c r="C193" s="44" t="s">
        <v>808</v>
      </c>
      <c r="D193" s="73">
        <v>10090</v>
      </c>
      <c r="E193" s="73">
        <v>1</v>
      </c>
      <c r="F193" s="189">
        <v>40</v>
      </c>
      <c r="G193" s="189">
        <v>1</v>
      </c>
      <c r="H193" s="73">
        <v>4</v>
      </c>
      <c r="I193" s="189">
        <v>160</v>
      </c>
      <c r="J193" s="189">
        <v>4</v>
      </c>
      <c r="K193" s="73">
        <v>5</v>
      </c>
      <c r="L193" s="189">
        <v>200</v>
      </c>
      <c r="M193" s="189">
        <v>5</v>
      </c>
      <c r="N193" s="73">
        <v>8</v>
      </c>
      <c r="O193" s="189">
        <v>91.5</v>
      </c>
      <c r="P193" s="189">
        <v>2.2875000000000001</v>
      </c>
      <c r="Q193" s="73">
        <v>13</v>
      </c>
      <c r="R193" s="189">
        <v>291.5</v>
      </c>
      <c r="S193" s="189">
        <v>7.2874999999999996</v>
      </c>
    </row>
    <row r="194" spans="1:19" ht="15.75" thickBot="1" x14ac:dyDescent="0.3">
      <c r="A194" s="44" t="s">
        <v>913</v>
      </c>
      <c r="B194" s="48" t="s">
        <v>914</v>
      </c>
      <c r="C194" s="44" t="s">
        <v>808</v>
      </c>
      <c r="D194" s="73">
        <v>9705</v>
      </c>
      <c r="E194" s="73">
        <v>1</v>
      </c>
      <c r="F194" s="189">
        <v>40</v>
      </c>
      <c r="G194" s="189">
        <v>1</v>
      </c>
      <c r="H194" s="74" t="s">
        <v>850</v>
      </c>
      <c r="I194" s="190">
        <v>0</v>
      </c>
      <c r="J194" s="190">
        <v>0</v>
      </c>
      <c r="K194" s="73">
        <v>1</v>
      </c>
      <c r="L194" s="189">
        <v>40</v>
      </c>
      <c r="M194" s="189">
        <v>1</v>
      </c>
      <c r="N194" s="73">
        <v>8</v>
      </c>
      <c r="O194" s="189">
        <v>151</v>
      </c>
      <c r="P194" s="189">
        <v>3.7749999999999999</v>
      </c>
      <c r="Q194" s="73">
        <v>9</v>
      </c>
      <c r="R194" s="189">
        <v>191</v>
      </c>
      <c r="S194" s="189">
        <v>4.7750000000000004</v>
      </c>
    </row>
    <row r="195" spans="1:19" ht="15.75" thickBot="1" x14ac:dyDescent="0.3">
      <c r="A195" s="44" t="s">
        <v>1015</v>
      </c>
      <c r="B195" s="48" t="s">
        <v>1016</v>
      </c>
      <c r="C195" s="44" t="s">
        <v>808</v>
      </c>
      <c r="D195" s="73">
        <v>7439</v>
      </c>
      <c r="E195" s="73">
        <v>1</v>
      </c>
      <c r="F195" s="189">
        <v>40</v>
      </c>
      <c r="G195" s="189">
        <v>1</v>
      </c>
      <c r="H195" s="73">
        <v>1</v>
      </c>
      <c r="I195" s="189">
        <v>52</v>
      </c>
      <c r="J195" s="189">
        <v>1.3</v>
      </c>
      <c r="K195" s="73">
        <v>3</v>
      </c>
      <c r="L195" s="189">
        <v>92</v>
      </c>
      <c r="M195" s="189">
        <v>2.2999999999999998</v>
      </c>
      <c r="N195" s="73">
        <v>5</v>
      </c>
      <c r="O195" s="189">
        <v>70</v>
      </c>
      <c r="P195" s="189">
        <v>1.75</v>
      </c>
      <c r="Q195" s="73">
        <v>7</v>
      </c>
      <c r="R195" s="189">
        <v>162</v>
      </c>
      <c r="S195" s="189">
        <v>4.05</v>
      </c>
    </row>
    <row r="196" spans="1:19" ht="15.75" thickBot="1" x14ac:dyDescent="0.3">
      <c r="A196" s="44" t="s">
        <v>1029</v>
      </c>
      <c r="B196" s="48" t="s">
        <v>1030</v>
      </c>
      <c r="C196" s="44" t="s">
        <v>808</v>
      </c>
      <c r="D196" s="73">
        <v>7392</v>
      </c>
      <c r="E196" s="73">
        <v>1</v>
      </c>
      <c r="F196" s="189">
        <v>40</v>
      </c>
      <c r="G196" s="189">
        <v>1</v>
      </c>
      <c r="H196" s="73">
        <v>0</v>
      </c>
      <c r="I196" s="189">
        <v>0</v>
      </c>
      <c r="J196" s="189">
        <v>0</v>
      </c>
      <c r="K196" s="73">
        <v>1</v>
      </c>
      <c r="L196" s="189">
        <v>40</v>
      </c>
      <c r="M196" s="189">
        <v>1</v>
      </c>
      <c r="N196" s="73">
        <v>7</v>
      </c>
      <c r="O196" s="189">
        <v>97</v>
      </c>
      <c r="P196" s="189">
        <v>2.4249999999999998</v>
      </c>
      <c r="Q196" s="73">
        <v>8</v>
      </c>
      <c r="R196" s="189">
        <v>137</v>
      </c>
      <c r="S196" s="189">
        <v>3.4249999999999998</v>
      </c>
    </row>
    <row r="197" spans="1:19" ht="15.75" thickBot="1" x14ac:dyDescent="0.3">
      <c r="A197" s="44" t="s">
        <v>1143</v>
      </c>
      <c r="B197" s="48" t="s">
        <v>1144</v>
      </c>
      <c r="C197" s="44" t="s">
        <v>808</v>
      </c>
      <c r="D197" s="73">
        <v>11870</v>
      </c>
      <c r="E197" s="73">
        <v>1</v>
      </c>
      <c r="F197" s="189">
        <v>40</v>
      </c>
      <c r="G197" s="189">
        <v>1</v>
      </c>
      <c r="H197" s="73">
        <v>1</v>
      </c>
      <c r="I197" s="189">
        <v>40</v>
      </c>
      <c r="J197" s="189">
        <v>1</v>
      </c>
      <c r="K197" s="73">
        <v>2</v>
      </c>
      <c r="L197" s="189">
        <v>80</v>
      </c>
      <c r="M197" s="189">
        <v>2</v>
      </c>
      <c r="N197" s="73">
        <v>7</v>
      </c>
      <c r="O197" s="189">
        <v>121</v>
      </c>
      <c r="P197" s="189">
        <v>3.0249999999999999</v>
      </c>
      <c r="Q197" s="73">
        <v>9</v>
      </c>
      <c r="R197" s="189">
        <v>201</v>
      </c>
      <c r="S197" s="189">
        <v>5.0250000000000004</v>
      </c>
    </row>
    <row r="198" spans="1:19" ht="15.75" thickBot="1" x14ac:dyDescent="0.3">
      <c r="A198" s="44" t="s">
        <v>1229</v>
      </c>
      <c r="B198" s="48" t="s">
        <v>1230</v>
      </c>
      <c r="C198" s="44" t="s">
        <v>808</v>
      </c>
      <c r="D198" s="73">
        <v>11581</v>
      </c>
      <c r="E198" s="73">
        <v>1</v>
      </c>
      <c r="F198" s="189">
        <v>40</v>
      </c>
      <c r="G198" s="189">
        <v>1</v>
      </c>
      <c r="H198" s="73">
        <v>3</v>
      </c>
      <c r="I198" s="189">
        <v>100</v>
      </c>
      <c r="J198" s="189">
        <v>2.5</v>
      </c>
      <c r="K198" s="73">
        <v>4</v>
      </c>
      <c r="L198" s="189">
        <v>140</v>
      </c>
      <c r="M198" s="189">
        <v>3.5</v>
      </c>
      <c r="N198" s="73">
        <v>2</v>
      </c>
      <c r="O198" s="189">
        <v>32</v>
      </c>
      <c r="P198" s="189">
        <v>0.8</v>
      </c>
      <c r="Q198" s="73">
        <v>6</v>
      </c>
      <c r="R198" s="189">
        <v>172</v>
      </c>
      <c r="S198" s="189">
        <v>4.3</v>
      </c>
    </row>
    <row r="199" spans="1:19" ht="15.75" thickBot="1" x14ac:dyDescent="0.3">
      <c r="A199" s="44" t="s">
        <v>1339</v>
      </c>
      <c r="B199" s="48" t="s">
        <v>1340</v>
      </c>
      <c r="C199" s="44" t="s">
        <v>808</v>
      </c>
      <c r="D199" s="73">
        <v>8640</v>
      </c>
      <c r="E199" s="73">
        <v>1</v>
      </c>
      <c r="F199" s="189">
        <v>40</v>
      </c>
      <c r="G199" s="189">
        <v>1</v>
      </c>
      <c r="H199" s="73">
        <v>0</v>
      </c>
      <c r="I199" s="189">
        <v>0</v>
      </c>
      <c r="J199" s="189">
        <v>0</v>
      </c>
      <c r="K199" s="73">
        <v>1</v>
      </c>
      <c r="L199" s="189">
        <v>40</v>
      </c>
      <c r="M199" s="189">
        <v>1</v>
      </c>
      <c r="N199" s="73">
        <v>8</v>
      </c>
      <c r="O199" s="189">
        <v>153</v>
      </c>
      <c r="P199" s="189">
        <v>3.8250000000000002</v>
      </c>
      <c r="Q199" s="73">
        <v>8</v>
      </c>
      <c r="R199" s="189">
        <v>193</v>
      </c>
      <c r="S199" s="189">
        <v>4.8250000000000002</v>
      </c>
    </row>
    <row r="200" spans="1:19" ht="15.75" thickBot="1" x14ac:dyDescent="0.3">
      <c r="A200" s="44" t="s">
        <v>1361</v>
      </c>
      <c r="B200" s="48" t="s">
        <v>1362</v>
      </c>
      <c r="C200" s="44" t="s">
        <v>808</v>
      </c>
      <c r="D200" s="73">
        <v>8833</v>
      </c>
      <c r="E200" s="73">
        <v>1</v>
      </c>
      <c r="F200" s="189">
        <v>40</v>
      </c>
      <c r="G200" s="189">
        <v>1</v>
      </c>
      <c r="H200" s="73">
        <v>1</v>
      </c>
      <c r="I200" s="189">
        <v>20</v>
      </c>
      <c r="J200" s="189">
        <v>0.5</v>
      </c>
      <c r="K200" s="73">
        <v>2</v>
      </c>
      <c r="L200" s="189">
        <v>60</v>
      </c>
      <c r="M200" s="189">
        <v>1.5</v>
      </c>
      <c r="N200" s="73">
        <v>5</v>
      </c>
      <c r="O200" s="189">
        <v>138</v>
      </c>
      <c r="P200" s="189">
        <v>3.45</v>
      </c>
      <c r="Q200" s="73">
        <v>7</v>
      </c>
      <c r="R200" s="189">
        <v>198</v>
      </c>
      <c r="S200" s="189">
        <v>4.95</v>
      </c>
    </row>
    <row r="201" spans="1:19" ht="15.75" thickBot="1" x14ac:dyDescent="0.3">
      <c r="A201" s="44" t="s">
        <v>1435</v>
      </c>
      <c r="B201" s="48" t="s">
        <v>1436</v>
      </c>
      <c r="C201" s="44" t="s">
        <v>808</v>
      </c>
      <c r="D201" s="73">
        <v>11480</v>
      </c>
      <c r="E201" s="73">
        <v>1</v>
      </c>
      <c r="F201" s="189">
        <v>40</v>
      </c>
      <c r="G201" s="189">
        <v>1</v>
      </c>
      <c r="H201" s="73">
        <v>3</v>
      </c>
      <c r="I201" s="189">
        <v>120</v>
      </c>
      <c r="J201" s="189">
        <v>3</v>
      </c>
      <c r="K201" s="73">
        <v>4</v>
      </c>
      <c r="L201" s="189">
        <v>160</v>
      </c>
      <c r="M201" s="189">
        <v>4</v>
      </c>
      <c r="N201" s="73">
        <v>9</v>
      </c>
      <c r="O201" s="189">
        <v>100</v>
      </c>
      <c r="P201" s="189">
        <v>2.5</v>
      </c>
      <c r="Q201" s="73">
        <v>13</v>
      </c>
      <c r="R201" s="189">
        <v>260</v>
      </c>
      <c r="S201" s="189">
        <v>6.5</v>
      </c>
    </row>
    <row r="202" spans="1:19" ht="15.75" thickBot="1" x14ac:dyDescent="0.3">
      <c r="A202" s="44" t="s">
        <v>1455</v>
      </c>
      <c r="B202" s="48" t="s">
        <v>1456</v>
      </c>
      <c r="C202" s="44" t="s">
        <v>808</v>
      </c>
      <c r="D202" s="73">
        <v>10017</v>
      </c>
      <c r="E202" s="73">
        <v>1</v>
      </c>
      <c r="F202" s="189">
        <v>40</v>
      </c>
      <c r="G202" s="189">
        <v>1</v>
      </c>
      <c r="H202" s="73">
        <v>0</v>
      </c>
      <c r="I202" s="189">
        <v>0</v>
      </c>
      <c r="J202" s="189">
        <v>0</v>
      </c>
      <c r="K202" s="73">
        <v>2</v>
      </c>
      <c r="L202" s="189">
        <v>40</v>
      </c>
      <c r="M202" s="189">
        <v>1</v>
      </c>
      <c r="N202" s="73">
        <v>8</v>
      </c>
      <c r="O202" s="189">
        <v>199.5</v>
      </c>
      <c r="P202" s="189">
        <v>4.9874999999999998</v>
      </c>
      <c r="Q202" s="73">
        <v>11</v>
      </c>
      <c r="R202" s="189">
        <v>239.5</v>
      </c>
      <c r="S202" s="189">
        <v>5.9874999999999998</v>
      </c>
    </row>
    <row r="203" spans="1:19" ht="15.75" thickBot="1" x14ac:dyDescent="0.3">
      <c r="A203" s="44" t="s">
        <v>1488</v>
      </c>
      <c r="B203" s="48" t="s">
        <v>1489</v>
      </c>
      <c r="C203" s="44" t="s">
        <v>808</v>
      </c>
      <c r="D203" s="73">
        <v>9645</v>
      </c>
      <c r="E203" s="73">
        <v>1</v>
      </c>
      <c r="F203" s="189">
        <v>40</v>
      </c>
      <c r="G203" s="189">
        <v>1</v>
      </c>
      <c r="H203" s="73">
        <v>0</v>
      </c>
      <c r="I203" s="189">
        <v>0</v>
      </c>
      <c r="J203" s="189">
        <v>0</v>
      </c>
      <c r="K203" s="73">
        <v>1</v>
      </c>
      <c r="L203" s="189">
        <v>40</v>
      </c>
      <c r="M203" s="189">
        <v>1</v>
      </c>
      <c r="N203" s="73">
        <v>8</v>
      </c>
      <c r="O203" s="189">
        <v>227.5</v>
      </c>
      <c r="P203" s="189">
        <v>5.6875</v>
      </c>
      <c r="Q203" s="73">
        <v>9</v>
      </c>
      <c r="R203" s="189">
        <v>267.5</v>
      </c>
      <c r="S203" s="189">
        <v>6.6875</v>
      </c>
    </row>
    <row r="204" spans="1:19" ht="15.75" thickBot="1" x14ac:dyDescent="0.3">
      <c r="A204" s="44" t="s">
        <v>1504</v>
      </c>
      <c r="B204" s="48" t="s">
        <v>1505</v>
      </c>
      <c r="C204" s="44" t="s">
        <v>808</v>
      </c>
      <c r="D204" s="73">
        <v>9301</v>
      </c>
      <c r="E204" s="73">
        <v>1</v>
      </c>
      <c r="F204" s="189">
        <v>40</v>
      </c>
      <c r="G204" s="189">
        <v>1</v>
      </c>
      <c r="H204" s="73">
        <v>1</v>
      </c>
      <c r="I204" s="189">
        <v>0</v>
      </c>
      <c r="J204" s="189">
        <v>0</v>
      </c>
      <c r="K204" s="73">
        <v>1</v>
      </c>
      <c r="L204" s="189">
        <v>40</v>
      </c>
      <c r="M204" s="189">
        <v>1</v>
      </c>
      <c r="N204" s="73">
        <v>4</v>
      </c>
      <c r="O204" s="189">
        <v>120</v>
      </c>
      <c r="P204" s="189">
        <v>3</v>
      </c>
      <c r="Q204" s="73">
        <v>5</v>
      </c>
      <c r="R204" s="189">
        <v>160</v>
      </c>
      <c r="S204" s="189">
        <v>4</v>
      </c>
    </row>
    <row r="205" spans="1:19" ht="15.75" thickBot="1" x14ac:dyDescent="0.3">
      <c r="A205" s="44" t="s">
        <v>1510</v>
      </c>
      <c r="B205" s="48" t="s">
        <v>1511</v>
      </c>
      <c r="C205" s="44" t="s">
        <v>808</v>
      </c>
      <c r="D205" s="73">
        <v>10250</v>
      </c>
      <c r="E205" s="73">
        <v>1</v>
      </c>
      <c r="F205" s="189">
        <v>40</v>
      </c>
      <c r="G205" s="189">
        <v>1</v>
      </c>
      <c r="H205" s="73">
        <v>0</v>
      </c>
      <c r="I205" s="190">
        <v>0</v>
      </c>
      <c r="J205" s="190">
        <v>0</v>
      </c>
      <c r="K205" s="73">
        <v>1</v>
      </c>
      <c r="L205" s="189">
        <v>40</v>
      </c>
      <c r="M205" s="189">
        <v>1</v>
      </c>
      <c r="N205" s="73">
        <v>7</v>
      </c>
      <c r="O205" s="189">
        <v>143</v>
      </c>
      <c r="P205" s="189">
        <v>3.5750000000000002</v>
      </c>
      <c r="Q205" s="73">
        <v>7</v>
      </c>
      <c r="R205" s="189">
        <v>183</v>
      </c>
      <c r="S205" s="189">
        <v>4.5750000000000002</v>
      </c>
    </row>
    <row r="206" spans="1:19" ht="15.75" thickBot="1" x14ac:dyDescent="0.3">
      <c r="A206" s="44" t="s">
        <v>1520</v>
      </c>
      <c r="B206" s="48" t="s">
        <v>1521</v>
      </c>
      <c r="C206" s="44" t="s">
        <v>808</v>
      </c>
      <c r="D206" s="73">
        <v>10662</v>
      </c>
      <c r="E206" s="73">
        <v>1</v>
      </c>
      <c r="F206" s="189">
        <v>40</v>
      </c>
      <c r="G206" s="189">
        <v>1</v>
      </c>
      <c r="H206" s="73">
        <v>2</v>
      </c>
      <c r="I206" s="189">
        <v>58.5</v>
      </c>
      <c r="J206" s="189">
        <v>1.4624999999999999</v>
      </c>
      <c r="K206" s="73">
        <v>3</v>
      </c>
      <c r="L206" s="189">
        <v>98.5</v>
      </c>
      <c r="M206" s="189">
        <v>2.4624999999999999</v>
      </c>
      <c r="N206" s="73">
        <v>2</v>
      </c>
      <c r="O206" s="189">
        <v>36</v>
      </c>
      <c r="P206" s="189">
        <v>0.9</v>
      </c>
      <c r="Q206" s="73">
        <v>5</v>
      </c>
      <c r="R206" s="189">
        <v>134.5</v>
      </c>
      <c r="S206" s="189">
        <v>3.3624999999999998</v>
      </c>
    </row>
    <row r="207" spans="1:19" ht="15.75" thickBot="1" x14ac:dyDescent="0.3">
      <c r="A207" s="44" t="s">
        <v>1576</v>
      </c>
      <c r="B207" s="48" t="s">
        <v>1577</v>
      </c>
      <c r="C207" s="44" t="s">
        <v>808</v>
      </c>
      <c r="D207" s="73">
        <v>9138</v>
      </c>
      <c r="E207" s="73">
        <v>1</v>
      </c>
      <c r="F207" s="189">
        <v>40</v>
      </c>
      <c r="G207" s="189">
        <v>1</v>
      </c>
      <c r="H207" s="74" t="s">
        <v>850</v>
      </c>
      <c r="I207" s="190">
        <v>0</v>
      </c>
      <c r="J207" s="190">
        <v>0</v>
      </c>
      <c r="K207" s="73">
        <v>1</v>
      </c>
      <c r="L207" s="189">
        <v>40</v>
      </c>
      <c r="M207" s="189">
        <v>1</v>
      </c>
      <c r="N207" s="73">
        <v>9</v>
      </c>
      <c r="O207" s="189">
        <v>148</v>
      </c>
      <c r="P207" s="189">
        <v>3.7</v>
      </c>
      <c r="Q207" s="73">
        <v>10</v>
      </c>
      <c r="R207" s="189">
        <v>188</v>
      </c>
      <c r="S207" s="189">
        <v>4.7</v>
      </c>
    </row>
    <row r="208" spans="1:19" ht="15.75" thickBot="1" x14ac:dyDescent="0.3">
      <c r="A208" s="44" t="s">
        <v>1584</v>
      </c>
      <c r="B208" s="48" t="s">
        <v>1585</v>
      </c>
      <c r="C208" s="44" t="s">
        <v>808</v>
      </c>
      <c r="D208" s="73">
        <v>11811</v>
      </c>
      <c r="E208" s="73">
        <v>1</v>
      </c>
      <c r="F208" s="189">
        <v>40</v>
      </c>
      <c r="G208" s="189">
        <v>1</v>
      </c>
      <c r="H208" s="73">
        <v>6</v>
      </c>
      <c r="I208" s="189">
        <v>152</v>
      </c>
      <c r="J208" s="189">
        <v>3.8</v>
      </c>
      <c r="K208" s="73">
        <v>7</v>
      </c>
      <c r="L208" s="189">
        <v>192</v>
      </c>
      <c r="M208" s="189">
        <v>4.8</v>
      </c>
      <c r="N208" s="73">
        <v>11</v>
      </c>
      <c r="O208" s="189">
        <v>95</v>
      </c>
      <c r="P208" s="189">
        <v>2.375</v>
      </c>
      <c r="Q208" s="73">
        <v>18</v>
      </c>
      <c r="R208" s="189">
        <v>287</v>
      </c>
      <c r="S208" s="189">
        <v>7.1749999999999998</v>
      </c>
    </row>
    <row r="209" spans="1:19" ht="15.75" thickBot="1" x14ac:dyDescent="0.3">
      <c r="A209" s="44" t="s">
        <v>901</v>
      </c>
      <c r="B209" s="48" t="s">
        <v>902</v>
      </c>
      <c r="C209" s="44" t="s">
        <v>803</v>
      </c>
      <c r="D209" s="73">
        <v>12667</v>
      </c>
      <c r="E209" s="73">
        <v>1</v>
      </c>
      <c r="F209" s="189">
        <v>40</v>
      </c>
      <c r="G209" s="189">
        <v>1</v>
      </c>
      <c r="H209" s="73">
        <v>2</v>
      </c>
      <c r="I209" s="189">
        <v>80</v>
      </c>
      <c r="J209" s="189">
        <v>2</v>
      </c>
      <c r="K209" s="73">
        <v>3</v>
      </c>
      <c r="L209" s="189">
        <v>120</v>
      </c>
      <c r="M209" s="189">
        <v>3</v>
      </c>
      <c r="N209" s="73">
        <v>5</v>
      </c>
      <c r="O209" s="189">
        <v>62</v>
      </c>
      <c r="P209" s="189">
        <v>1.55</v>
      </c>
      <c r="Q209" s="73">
        <v>8</v>
      </c>
      <c r="R209" s="189">
        <v>182</v>
      </c>
      <c r="S209" s="189">
        <v>4.55</v>
      </c>
    </row>
    <row r="210" spans="1:19" ht="15.75" thickBot="1" x14ac:dyDescent="0.3">
      <c r="A210" s="44" t="s">
        <v>1017</v>
      </c>
      <c r="B210" s="48" t="s">
        <v>1018</v>
      </c>
      <c r="C210" s="44" t="s">
        <v>803</v>
      </c>
      <c r="D210" s="73">
        <v>13306</v>
      </c>
      <c r="E210" s="73">
        <v>1</v>
      </c>
      <c r="F210" s="189">
        <v>40</v>
      </c>
      <c r="G210" s="189">
        <v>1</v>
      </c>
      <c r="H210" s="73">
        <v>9</v>
      </c>
      <c r="I210" s="189">
        <v>194</v>
      </c>
      <c r="J210" s="189">
        <v>4.8499999999999996</v>
      </c>
      <c r="K210" s="73">
        <v>6</v>
      </c>
      <c r="L210" s="189">
        <v>234</v>
      </c>
      <c r="M210" s="189">
        <v>5.85</v>
      </c>
      <c r="N210" s="73">
        <v>0</v>
      </c>
      <c r="O210" s="189">
        <v>0</v>
      </c>
      <c r="P210" s="189">
        <v>0</v>
      </c>
      <c r="Q210" s="73">
        <v>10</v>
      </c>
      <c r="R210" s="189">
        <v>234</v>
      </c>
      <c r="S210" s="189">
        <v>5.85</v>
      </c>
    </row>
    <row r="211" spans="1:19" ht="15.75" thickBot="1" x14ac:dyDescent="0.3">
      <c r="A211" s="44" t="s">
        <v>1027</v>
      </c>
      <c r="B211" s="48" t="s">
        <v>1028</v>
      </c>
      <c r="C211" s="44" t="s">
        <v>803</v>
      </c>
      <c r="D211" s="73">
        <v>12670</v>
      </c>
      <c r="E211" s="73">
        <v>1</v>
      </c>
      <c r="F211" s="189">
        <v>40</v>
      </c>
      <c r="G211" s="189">
        <v>1</v>
      </c>
      <c r="H211" s="73">
        <v>1</v>
      </c>
      <c r="I211" s="189">
        <v>27</v>
      </c>
      <c r="J211" s="189">
        <v>0.67500000000000004</v>
      </c>
      <c r="K211" s="73">
        <v>2</v>
      </c>
      <c r="L211" s="189">
        <v>67</v>
      </c>
      <c r="M211" s="189">
        <v>1.675</v>
      </c>
      <c r="N211" s="73">
        <v>4</v>
      </c>
      <c r="O211" s="189">
        <v>100</v>
      </c>
      <c r="P211" s="189">
        <v>2.5</v>
      </c>
      <c r="Q211" s="73">
        <v>6</v>
      </c>
      <c r="R211" s="189">
        <v>167</v>
      </c>
      <c r="S211" s="189">
        <v>4.1749999999999998</v>
      </c>
    </row>
    <row r="212" spans="1:19" ht="15.75" thickBot="1" x14ac:dyDescent="0.3">
      <c r="A212" s="44" t="s">
        <v>1097</v>
      </c>
      <c r="B212" s="48" t="s">
        <v>1098</v>
      </c>
      <c r="C212" s="44" t="s">
        <v>803</v>
      </c>
      <c r="D212" s="73">
        <v>25692</v>
      </c>
      <c r="E212" s="73">
        <v>1</v>
      </c>
      <c r="F212" s="189">
        <v>40</v>
      </c>
      <c r="G212" s="189">
        <v>1</v>
      </c>
      <c r="H212" s="73">
        <v>0</v>
      </c>
      <c r="I212" s="189">
        <v>0</v>
      </c>
      <c r="J212" s="189">
        <v>0</v>
      </c>
      <c r="K212" s="73">
        <v>1</v>
      </c>
      <c r="L212" s="189">
        <v>40</v>
      </c>
      <c r="M212" s="189">
        <v>1</v>
      </c>
      <c r="N212" s="73">
        <v>12</v>
      </c>
      <c r="O212" s="189">
        <v>322</v>
      </c>
      <c r="P212" s="189">
        <v>8.0500000000000007</v>
      </c>
      <c r="Q212" s="73">
        <v>12</v>
      </c>
      <c r="R212" s="189">
        <v>362</v>
      </c>
      <c r="S212" s="189">
        <v>9.0500000000000007</v>
      </c>
    </row>
    <row r="213" spans="1:19" ht="15.75" thickBot="1" x14ac:dyDescent="0.3">
      <c r="A213" s="44" t="s">
        <v>1123</v>
      </c>
      <c r="B213" s="48" t="s">
        <v>1124</v>
      </c>
      <c r="C213" s="44" t="s">
        <v>803</v>
      </c>
      <c r="D213" s="73">
        <v>12920</v>
      </c>
      <c r="E213" s="73">
        <v>1</v>
      </c>
      <c r="F213" s="189">
        <v>40</v>
      </c>
      <c r="G213" s="189">
        <v>1</v>
      </c>
      <c r="H213" s="73">
        <v>3</v>
      </c>
      <c r="I213" s="189">
        <v>64</v>
      </c>
      <c r="J213" s="189">
        <v>1.6</v>
      </c>
      <c r="K213" s="73">
        <v>4</v>
      </c>
      <c r="L213" s="189">
        <v>104</v>
      </c>
      <c r="M213" s="189">
        <v>2.6</v>
      </c>
      <c r="N213" s="73">
        <v>4</v>
      </c>
      <c r="O213" s="189">
        <v>60</v>
      </c>
      <c r="P213" s="189">
        <v>1.5</v>
      </c>
      <c r="Q213" s="73">
        <v>8</v>
      </c>
      <c r="R213" s="189">
        <v>164</v>
      </c>
      <c r="S213" s="189">
        <v>4.0999999999999996</v>
      </c>
    </row>
    <row r="214" spans="1:19" ht="15.75" thickBot="1" x14ac:dyDescent="0.3">
      <c r="A214" s="44" t="s">
        <v>1145</v>
      </c>
      <c r="B214" s="48" t="s">
        <v>1146</v>
      </c>
      <c r="C214" s="44" t="s">
        <v>803</v>
      </c>
      <c r="D214" s="73">
        <v>23088</v>
      </c>
      <c r="E214" s="73">
        <v>1</v>
      </c>
      <c r="F214" s="189">
        <v>40</v>
      </c>
      <c r="G214" s="189">
        <v>1</v>
      </c>
      <c r="H214" s="73">
        <v>3</v>
      </c>
      <c r="I214" s="189">
        <v>114</v>
      </c>
      <c r="J214" s="189">
        <v>2.85</v>
      </c>
      <c r="K214" s="73">
        <v>4</v>
      </c>
      <c r="L214" s="189">
        <v>154</v>
      </c>
      <c r="M214" s="189">
        <v>3.85</v>
      </c>
      <c r="N214" s="73">
        <v>6</v>
      </c>
      <c r="O214" s="189">
        <v>154</v>
      </c>
      <c r="P214" s="189">
        <v>3.85</v>
      </c>
      <c r="Q214" s="73">
        <v>9</v>
      </c>
      <c r="R214" s="189">
        <v>308</v>
      </c>
      <c r="S214" s="189">
        <v>7.7</v>
      </c>
    </row>
    <row r="215" spans="1:19" ht="15.75" thickBot="1" x14ac:dyDescent="0.3">
      <c r="A215" s="44" t="s">
        <v>1153</v>
      </c>
      <c r="B215" s="48" t="s">
        <v>1154</v>
      </c>
      <c r="C215" s="44" t="s">
        <v>803</v>
      </c>
      <c r="D215" s="73">
        <v>15322</v>
      </c>
      <c r="E215" s="73">
        <v>1</v>
      </c>
      <c r="F215" s="189">
        <v>40</v>
      </c>
      <c r="G215" s="189">
        <v>1</v>
      </c>
      <c r="H215" s="73">
        <v>1</v>
      </c>
      <c r="I215" s="189">
        <v>40</v>
      </c>
      <c r="J215" s="189">
        <v>1</v>
      </c>
      <c r="K215" s="73">
        <v>2</v>
      </c>
      <c r="L215" s="189">
        <v>80</v>
      </c>
      <c r="M215" s="189">
        <v>2</v>
      </c>
      <c r="N215" s="73">
        <v>5</v>
      </c>
      <c r="O215" s="189">
        <v>200</v>
      </c>
      <c r="P215" s="189">
        <v>5</v>
      </c>
      <c r="Q215" s="73">
        <v>7</v>
      </c>
      <c r="R215" s="189">
        <v>280</v>
      </c>
      <c r="S215" s="189">
        <v>7</v>
      </c>
    </row>
    <row r="216" spans="1:19" ht="15.75" thickBot="1" x14ac:dyDescent="0.3">
      <c r="A216" s="44" t="s">
        <v>1169</v>
      </c>
      <c r="B216" s="48" t="s">
        <v>1170</v>
      </c>
      <c r="C216" s="44" t="s">
        <v>803</v>
      </c>
      <c r="D216" s="73">
        <v>21871</v>
      </c>
      <c r="E216" s="73">
        <v>1</v>
      </c>
      <c r="F216" s="189">
        <v>40</v>
      </c>
      <c r="G216" s="189">
        <v>1</v>
      </c>
      <c r="H216" s="73">
        <v>2</v>
      </c>
      <c r="I216" s="189">
        <v>72</v>
      </c>
      <c r="J216" s="189">
        <v>1.8</v>
      </c>
      <c r="K216" s="73">
        <v>3</v>
      </c>
      <c r="L216" s="189">
        <v>112</v>
      </c>
      <c r="M216" s="189">
        <v>2.8</v>
      </c>
      <c r="N216" s="73">
        <v>11</v>
      </c>
      <c r="O216" s="189">
        <v>240</v>
      </c>
      <c r="P216" s="189">
        <v>6</v>
      </c>
      <c r="Q216" s="73">
        <v>14</v>
      </c>
      <c r="R216" s="189">
        <v>352</v>
      </c>
      <c r="S216" s="189">
        <v>8.8000000000000007</v>
      </c>
    </row>
    <row r="217" spans="1:19" ht="15.75" thickBot="1" x14ac:dyDescent="0.3">
      <c r="A217" s="44" t="s">
        <v>1255</v>
      </c>
      <c r="B217" s="48" t="s">
        <v>1256</v>
      </c>
      <c r="C217" s="44" t="s">
        <v>803</v>
      </c>
      <c r="D217" s="73">
        <v>22995</v>
      </c>
      <c r="E217" s="73">
        <v>1</v>
      </c>
      <c r="F217" s="189">
        <v>40</v>
      </c>
      <c r="G217" s="189">
        <v>1</v>
      </c>
      <c r="H217" s="73">
        <v>4</v>
      </c>
      <c r="I217" s="189">
        <v>152.5</v>
      </c>
      <c r="J217" s="189">
        <v>3.8125</v>
      </c>
      <c r="K217" s="73">
        <v>5</v>
      </c>
      <c r="L217" s="189">
        <v>192.5</v>
      </c>
      <c r="M217" s="189">
        <v>4.8125</v>
      </c>
      <c r="N217" s="73">
        <v>13</v>
      </c>
      <c r="O217" s="189">
        <v>376.5</v>
      </c>
      <c r="P217" s="189">
        <v>9.4124999999999996</v>
      </c>
      <c r="Q217" s="73">
        <v>18</v>
      </c>
      <c r="R217" s="189">
        <v>569</v>
      </c>
      <c r="S217" s="189">
        <v>14.225</v>
      </c>
    </row>
    <row r="218" spans="1:19" ht="15.75" thickBot="1" x14ac:dyDescent="0.3">
      <c r="A218" s="44" t="s">
        <v>1281</v>
      </c>
      <c r="B218" s="48" t="s">
        <v>1282</v>
      </c>
      <c r="C218" s="44" t="s">
        <v>803</v>
      </c>
      <c r="D218" s="73">
        <v>14384</v>
      </c>
      <c r="E218" s="73">
        <v>1</v>
      </c>
      <c r="F218" s="189">
        <v>40</v>
      </c>
      <c r="G218" s="189">
        <v>1</v>
      </c>
      <c r="H218" s="73">
        <v>2</v>
      </c>
      <c r="I218" s="189">
        <v>80</v>
      </c>
      <c r="J218" s="189">
        <v>2</v>
      </c>
      <c r="K218" s="73">
        <v>3</v>
      </c>
      <c r="L218" s="189">
        <v>120</v>
      </c>
      <c r="M218" s="189">
        <v>3</v>
      </c>
      <c r="N218" s="73">
        <v>4</v>
      </c>
      <c r="O218" s="189">
        <v>85</v>
      </c>
      <c r="P218" s="189">
        <v>2.125</v>
      </c>
      <c r="Q218" s="73">
        <v>7</v>
      </c>
      <c r="R218" s="189">
        <v>205</v>
      </c>
      <c r="S218" s="189">
        <v>5.125</v>
      </c>
    </row>
    <row r="219" spans="1:19" ht="15.75" thickBot="1" x14ac:dyDescent="0.3">
      <c r="A219" s="44" t="s">
        <v>1331</v>
      </c>
      <c r="B219" s="48" t="s">
        <v>1332</v>
      </c>
      <c r="C219" s="44" t="s">
        <v>803</v>
      </c>
      <c r="D219" s="73">
        <v>12561</v>
      </c>
      <c r="E219" s="73">
        <v>1</v>
      </c>
      <c r="F219" s="189">
        <v>40</v>
      </c>
      <c r="G219" s="189">
        <v>1</v>
      </c>
      <c r="H219" s="73">
        <v>3</v>
      </c>
      <c r="I219" s="189">
        <v>100</v>
      </c>
      <c r="J219" s="189">
        <v>2.5</v>
      </c>
      <c r="K219" s="73">
        <v>4</v>
      </c>
      <c r="L219" s="189">
        <v>180</v>
      </c>
      <c r="M219" s="189">
        <v>4.5</v>
      </c>
      <c r="N219" s="73">
        <v>4</v>
      </c>
      <c r="O219" s="189">
        <v>84</v>
      </c>
      <c r="P219" s="189">
        <v>2.1</v>
      </c>
      <c r="Q219" s="73">
        <v>8</v>
      </c>
      <c r="R219" s="189">
        <v>264</v>
      </c>
      <c r="S219" s="189">
        <v>6.6</v>
      </c>
    </row>
    <row r="220" spans="1:19" ht="15.75" thickBot="1" x14ac:dyDescent="0.3">
      <c r="A220" s="44" t="s">
        <v>1343</v>
      </c>
      <c r="B220" s="48" t="s">
        <v>1344</v>
      </c>
      <c r="C220" s="44" t="s">
        <v>803</v>
      </c>
      <c r="D220" s="73">
        <v>14230</v>
      </c>
      <c r="E220" s="73">
        <v>1</v>
      </c>
      <c r="F220" s="189">
        <v>40</v>
      </c>
      <c r="G220" s="189">
        <v>1</v>
      </c>
      <c r="H220" s="73">
        <v>1</v>
      </c>
      <c r="I220" s="189">
        <v>40</v>
      </c>
      <c r="J220" s="189">
        <v>1</v>
      </c>
      <c r="K220" s="73">
        <v>2</v>
      </c>
      <c r="L220" s="189">
        <v>80</v>
      </c>
      <c r="M220" s="189">
        <v>2</v>
      </c>
      <c r="N220" s="73">
        <v>22</v>
      </c>
      <c r="O220" s="189">
        <v>248</v>
      </c>
      <c r="P220" s="189">
        <v>6.2</v>
      </c>
      <c r="Q220" s="73">
        <v>19</v>
      </c>
      <c r="R220" s="189">
        <v>328</v>
      </c>
      <c r="S220" s="189">
        <v>8.1999999999999993</v>
      </c>
    </row>
    <row r="221" spans="1:19" ht="15.75" thickBot="1" x14ac:dyDescent="0.3">
      <c r="A221" s="44" t="s">
        <v>1387</v>
      </c>
      <c r="B221" s="48" t="s">
        <v>1388</v>
      </c>
      <c r="C221" s="44" t="s">
        <v>803</v>
      </c>
      <c r="D221" s="73">
        <v>14878</v>
      </c>
      <c r="E221" s="73">
        <v>1</v>
      </c>
      <c r="F221" s="189">
        <v>40</v>
      </c>
      <c r="G221" s="189">
        <v>1</v>
      </c>
      <c r="H221" s="73">
        <v>8</v>
      </c>
      <c r="I221" s="189">
        <v>320</v>
      </c>
      <c r="J221" s="189">
        <v>8</v>
      </c>
      <c r="K221" s="73">
        <v>9</v>
      </c>
      <c r="L221" s="189">
        <v>360</v>
      </c>
      <c r="M221" s="189">
        <v>9</v>
      </c>
      <c r="N221" s="73">
        <v>14</v>
      </c>
      <c r="O221" s="189">
        <v>298</v>
      </c>
      <c r="P221" s="189">
        <v>7.45</v>
      </c>
      <c r="Q221" s="73">
        <v>23</v>
      </c>
      <c r="R221" s="189">
        <v>658</v>
      </c>
      <c r="S221" s="189">
        <v>16.45</v>
      </c>
    </row>
    <row r="222" spans="1:19" ht="15.75" thickBot="1" x14ac:dyDescent="0.3">
      <c r="A222" s="44" t="s">
        <v>1421</v>
      </c>
      <c r="B222" s="48" t="s">
        <v>1422</v>
      </c>
      <c r="C222" s="44" t="s">
        <v>803</v>
      </c>
      <c r="D222" s="73">
        <v>12486</v>
      </c>
      <c r="E222" s="73">
        <v>1</v>
      </c>
      <c r="F222" s="189">
        <v>40</v>
      </c>
      <c r="G222" s="189">
        <v>1</v>
      </c>
      <c r="H222" s="74" t="s">
        <v>850</v>
      </c>
      <c r="I222" s="190">
        <v>0</v>
      </c>
      <c r="J222" s="190">
        <v>0</v>
      </c>
      <c r="K222" s="73">
        <v>1</v>
      </c>
      <c r="L222" s="189">
        <v>40</v>
      </c>
      <c r="M222" s="189">
        <v>1</v>
      </c>
      <c r="N222" s="73">
        <v>8</v>
      </c>
      <c r="O222" s="189">
        <v>102</v>
      </c>
      <c r="P222" s="189">
        <v>2.5499999999999998</v>
      </c>
      <c r="Q222" s="73">
        <v>9</v>
      </c>
      <c r="R222" s="189">
        <v>142</v>
      </c>
      <c r="S222" s="189">
        <v>3.55</v>
      </c>
    </row>
    <row r="223" spans="1:19" ht="15.75" thickBot="1" x14ac:dyDescent="0.3">
      <c r="A223" s="44" t="s">
        <v>1528</v>
      </c>
      <c r="B223" s="48" t="s">
        <v>1529</v>
      </c>
      <c r="C223" s="44" t="s">
        <v>803</v>
      </c>
      <c r="D223" s="73">
        <v>15497</v>
      </c>
      <c r="E223" s="73">
        <v>1</v>
      </c>
      <c r="F223" s="189">
        <v>40</v>
      </c>
      <c r="G223" s="189">
        <v>1</v>
      </c>
      <c r="H223" s="73">
        <v>1</v>
      </c>
      <c r="I223" s="189">
        <v>8</v>
      </c>
      <c r="J223" s="189">
        <v>0.2</v>
      </c>
      <c r="K223" s="73">
        <v>2</v>
      </c>
      <c r="L223" s="189">
        <v>48</v>
      </c>
      <c r="M223" s="189">
        <v>1.2</v>
      </c>
      <c r="N223" s="73">
        <v>2</v>
      </c>
      <c r="O223" s="189">
        <v>8</v>
      </c>
      <c r="P223" s="189">
        <v>0.2</v>
      </c>
      <c r="Q223" s="73">
        <v>4</v>
      </c>
      <c r="R223" s="189">
        <v>56</v>
      </c>
      <c r="S223" s="189">
        <v>1.4</v>
      </c>
    </row>
    <row r="224" spans="1:19" ht="15.75" thickBot="1" x14ac:dyDescent="0.3">
      <c r="A224" s="44" t="s">
        <v>823</v>
      </c>
      <c r="B224" s="48" t="s">
        <v>824</v>
      </c>
      <c r="C224" s="44" t="s">
        <v>822</v>
      </c>
      <c r="D224" s="73">
        <v>28283</v>
      </c>
      <c r="E224" s="73">
        <v>1</v>
      </c>
      <c r="F224" s="189">
        <v>40</v>
      </c>
      <c r="G224" s="189">
        <v>1</v>
      </c>
      <c r="H224" s="73">
        <v>6</v>
      </c>
      <c r="I224" s="189">
        <v>140</v>
      </c>
      <c r="J224" s="189">
        <v>3.5</v>
      </c>
      <c r="K224" s="73">
        <v>7</v>
      </c>
      <c r="L224" s="189">
        <v>180</v>
      </c>
      <c r="M224" s="189">
        <v>4.5</v>
      </c>
      <c r="N224" s="73">
        <v>4</v>
      </c>
      <c r="O224" s="189">
        <v>50</v>
      </c>
      <c r="P224" s="189">
        <v>1.25</v>
      </c>
      <c r="Q224" s="73">
        <v>11</v>
      </c>
      <c r="R224" s="189">
        <v>230</v>
      </c>
      <c r="S224" s="189">
        <v>5.75</v>
      </c>
    </row>
    <row r="225" spans="1:19" ht="15.75" thickBot="1" x14ac:dyDescent="0.3">
      <c r="A225" s="44" t="s">
        <v>973</v>
      </c>
      <c r="B225" s="48" t="s">
        <v>974</v>
      </c>
      <c r="C225" s="44" t="s">
        <v>822</v>
      </c>
      <c r="D225" s="73">
        <v>28263</v>
      </c>
      <c r="E225" s="73">
        <v>1</v>
      </c>
      <c r="F225" s="189">
        <v>40</v>
      </c>
      <c r="G225" s="189">
        <v>1</v>
      </c>
      <c r="H225" s="73">
        <v>7</v>
      </c>
      <c r="I225" s="189">
        <v>156</v>
      </c>
      <c r="J225" s="189">
        <v>3.9</v>
      </c>
      <c r="K225" s="73">
        <v>8</v>
      </c>
      <c r="L225" s="189">
        <v>222</v>
      </c>
      <c r="M225" s="189">
        <v>5.55</v>
      </c>
      <c r="N225" s="73">
        <v>3</v>
      </c>
      <c r="O225" s="189">
        <v>70</v>
      </c>
      <c r="P225" s="189">
        <v>1.75</v>
      </c>
      <c r="Q225" s="73">
        <v>12</v>
      </c>
      <c r="R225" s="189">
        <v>292</v>
      </c>
      <c r="S225" s="189">
        <v>7.3</v>
      </c>
    </row>
    <row r="226" spans="1:19" ht="15.75" thickBot="1" x14ac:dyDescent="0.3">
      <c r="A226" s="44" t="s">
        <v>1267</v>
      </c>
      <c r="B226" s="48" t="s">
        <v>1268</v>
      </c>
      <c r="C226" s="44" t="s">
        <v>822</v>
      </c>
      <c r="D226" s="73">
        <v>28646</v>
      </c>
      <c r="E226" s="73">
        <v>1</v>
      </c>
      <c r="F226" s="189">
        <v>40</v>
      </c>
      <c r="G226" s="189">
        <v>1</v>
      </c>
      <c r="H226" s="73">
        <v>2</v>
      </c>
      <c r="I226" s="189">
        <v>75</v>
      </c>
      <c r="J226" s="189">
        <v>1.875</v>
      </c>
      <c r="K226" s="73">
        <v>3</v>
      </c>
      <c r="L226" s="189">
        <v>115</v>
      </c>
      <c r="M226" s="189">
        <v>2.875</v>
      </c>
      <c r="N226" s="73">
        <v>30</v>
      </c>
      <c r="O226" s="189">
        <v>552.78</v>
      </c>
      <c r="P226" s="189">
        <v>13.8195</v>
      </c>
      <c r="Q226" s="73">
        <v>33</v>
      </c>
      <c r="R226" s="189">
        <v>667.78</v>
      </c>
      <c r="S226" s="189">
        <v>16.694500000000001</v>
      </c>
    </row>
    <row r="227" spans="1:19" ht="15.75" thickBot="1" x14ac:dyDescent="0.3">
      <c r="A227" s="44" t="s">
        <v>1109</v>
      </c>
      <c r="B227" s="48" t="s">
        <v>1110</v>
      </c>
      <c r="C227" s="44" t="s">
        <v>808</v>
      </c>
      <c r="D227" s="73">
        <v>8875</v>
      </c>
      <c r="E227" s="73">
        <v>1</v>
      </c>
      <c r="F227" s="189">
        <v>42</v>
      </c>
      <c r="G227" s="189">
        <v>1.05</v>
      </c>
      <c r="H227" s="73">
        <v>3</v>
      </c>
      <c r="I227" s="189">
        <v>98</v>
      </c>
      <c r="J227" s="189">
        <v>2.4500000000000002</v>
      </c>
      <c r="K227" s="73">
        <v>4</v>
      </c>
      <c r="L227" s="189">
        <v>140</v>
      </c>
      <c r="M227" s="189">
        <v>3.5</v>
      </c>
      <c r="N227" s="73">
        <v>3</v>
      </c>
      <c r="O227" s="189">
        <v>94</v>
      </c>
      <c r="P227" s="189">
        <v>2.35</v>
      </c>
      <c r="Q227" s="73">
        <v>7</v>
      </c>
      <c r="R227" s="189">
        <v>234</v>
      </c>
      <c r="S227" s="189">
        <v>5.85</v>
      </c>
    </row>
    <row r="228" spans="1:19" ht="15.75" thickBot="1" x14ac:dyDescent="0.3">
      <c r="A228" s="44" t="s">
        <v>1053</v>
      </c>
      <c r="B228" s="48" t="s">
        <v>1054</v>
      </c>
      <c r="C228" s="44" t="s">
        <v>803</v>
      </c>
      <c r="D228" s="73">
        <v>14230</v>
      </c>
      <c r="E228" s="73">
        <v>2</v>
      </c>
      <c r="F228" s="189">
        <v>45</v>
      </c>
      <c r="G228" s="189">
        <v>1.125</v>
      </c>
      <c r="H228" s="73">
        <v>1</v>
      </c>
      <c r="I228" s="189">
        <v>12</v>
      </c>
      <c r="J228" s="189">
        <v>0.3</v>
      </c>
      <c r="K228" s="73">
        <v>3</v>
      </c>
      <c r="L228" s="189">
        <v>57</v>
      </c>
      <c r="M228" s="189">
        <v>1.425</v>
      </c>
      <c r="N228" s="73">
        <v>8</v>
      </c>
      <c r="O228" s="189">
        <v>155</v>
      </c>
      <c r="P228" s="189">
        <v>3.875</v>
      </c>
      <c r="Q228" s="73">
        <v>11</v>
      </c>
      <c r="R228" s="189">
        <v>212</v>
      </c>
      <c r="S228" s="189">
        <v>5.3</v>
      </c>
    </row>
    <row r="229" spans="1:19" ht="15.75" thickBot="1" x14ac:dyDescent="0.3">
      <c r="A229" s="44" t="s">
        <v>1419</v>
      </c>
      <c r="B229" s="48" t="s">
        <v>1420</v>
      </c>
      <c r="C229" s="44" t="s">
        <v>808</v>
      </c>
      <c r="D229" s="73">
        <v>7903</v>
      </c>
      <c r="E229" s="73">
        <v>2</v>
      </c>
      <c r="F229" s="189">
        <v>50</v>
      </c>
      <c r="G229" s="189">
        <v>1.25</v>
      </c>
      <c r="H229" s="74" t="s">
        <v>850</v>
      </c>
      <c r="I229" s="190">
        <v>0</v>
      </c>
      <c r="J229" s="190">
        <v>0</v>
      </c>
      <c r="K229" s="73">
        <v>2</v>
      </c>
      <c r="L229" s="189">
        <v>50</v>
      </c>
      <c r="M229" s="189">
        <v>1.25</v>
      </c>
      <c r="N229" s="73">
        <v>2</v>
      </c>
      <c r="O229" s="189">
        <v>30</v>
      </c>
      <c r="P229" s="189">
        <v>0.75</v>
      </c>
      <c r="Q229" s="73">
        <v>4</v>
      </c>
      <c r="R229" s="189">
        <v>80</v>
      </c>
      <c r="S229" s="189">
        <v>2</v>
      </c>
    </row>
    <row r="230" spans="1:19" ht="15.75" thickBot="1" x14ac:dyDescent="0.3">
      <c r="A230" s="44" t="s">
        <v>1079</v>
      </c>
      <c r="B230" s="48" t="s">
        <v>1080</v>
      </c>
      <c r="C230" s="44" t="s">
        <v>803</v>
      </c>
      <c r="D230" s="73">
        <v>13598</v>
      </c>
      <c r="E230" s="73">
        <v>2</v>
      </c>
      <c r="F230" s="189">
        <v>50</v>
      </c>
      <c r="G230" s="189">
        <v>1.25</v>
      </c>
      <c r="H230" s="73">
        <v>0</v>
      </c>
      <c r="I230" s="189">
        <v>0</v>
      </c>
      <c r="J230" s="189">
        <v>0</v>
      </c>
      <c r="K230" s="73">
        <v>2</v>
      </c>
      <c r="L230" s="189">
        <v>50</v>
      </c>
      <c r="M230" s="189">
        <v>1.25</v>
      </c>
      <c r="N230" s="73">
        <v>1</v>
      </c>
      <c r="O230" s="189">
        <v>20</v>
      </c>
      <c r="P230" s="189">
        <v>0.5</v>
      </c>
      <c r="Q230" s="73">
        <v>3</v>
      </c>
      <c r="R230" s="189">
        <v>70</v>
      </c>
      <c r="S230" s="189">
        <v>1.75</v>
      </c>
    </row>
    <row r="231" spans="1:19" ht="15.75" thickBot="1" x14ac:dyDescent="0.3">
      <c r="A231" s="44" t="s">
        <v>1013</v>
      </c>
      <c r="B231" s="48" t="s">
        <v>1014</v>
      </c>
      <c r="C231" s="44" t="s">
        <v>798</v>
      </c>
      <c r="D231" s="73">
        <v>6838</v>
      </c>
      <c r="E231" s="73">
        <v>2</v>
      </c>
      <c r="F231" s="189">
        <v>51</v>
      </c>
      <c r="G231" s="189">
        <v>1.2749999999999999</v>
      </c>
      <c r="H231" s="74" t="s">
        <v>850</v>
      </c>
      <c r="I231" s="190">
        <v>0</v>
      </c>
      <c r="J231" s="190">
        <v>0</v>
      </c>
      <c r="K231" s="73">
        <v>2</v>
      </c>
      <c r="L231" s="189">
        <v>51</v>
      </c>
      <c r="M231" s="189">
        <v>1.2749999999999999</v>
      </c>
      <c r="N231" s="73">
        <v>3</v>
      </c>
      <c r="O231" s="189">
        <v>40</v>
      </c>
      <c r="P231" s="189">
        <v>1</v>
      </c>
      <c r="Q231" s="73">
        <v>5</v>
      </c>
      <c r="R231" s="189">
        <v>91</v>
      </c>
      <c r="S231" s="189">
        <v>2.2749999999999999</v>
      </c>
    </row>
    <row r="232" spans="1:19" ht="15.75" thickBot="1" x14ac:dyDescent="0.3">
      <c r="A232" s="44" t="s">
        <v>1480</v>
      </c>
      <c r="B232" s="48" t="s">
        <v>1481</v>
      </c>
      <c r="C232" s="44" t="s">
        <v>808</v>
      </c>
      <c r="D232" s="73">
        <v>8386</v>
      </c>
      <c r="E232" s="73">
        <v>2</v>
      </c>
      <c r="F232" s="189">
        <v>52</v>
      </c>
      <c r="G232" s="189">
        <v>1.3</v>
      </c>
      <c r="H232" s="73">
        <v>10</v>
      </c>
      <c r="I232" s="189">
        <v>206</v>
      </c>
      <c r="J232" s="189">
        <v>5.15</v>
      </c>
      <c r="K232" s="73">
        <v>12</v>
      </c>
      <c r="L232" s="189">
        <v>258</v>
      </c>
      <c r="M232" s="189">
        <v>6.45</v>
      </c>
      <c r="N232" s="73">
        <v>1</v>
      </c>
      <c r="O232" s="189">
        <v>12</v>
      </c>
      <c r="P232" s="189">
        <v>0.3</v>
      </c>
      <c r="Q232" s="73">
        <v>13</v>
      </c>
      <c r="R232" s="189">
        <v>270</v>
      </c>
      <c r="S232" s="189">
        <v>6.75</v>
      </c>
    </row>
    <row r="233" spans="1:19" ht="15.75" thickBot="1" x14ac:dyDescent="0.3">
      <c r="A233" s="44" t="s">
        <v>796</v>
      </c>
      <c r="B233" s="48" t="s">
        <v>797</v>
      </c>
      <c r="C233" s="44" t="s">
        <v>798</v>
      </c>
      <c r="D233" s="73">
        <v>6351</v>
      </c>
      <c r="E233" s="73">
        <v>2</v>
      </c>
      <c r="F233" s="189">
        <v>56</v>
      </c>
      <c r="G233" s="189">
        <v>1.4</v>
      </c>
      <c r="H233" s="73">
        <v>0</v>
      </c>
      <c r="I233" s="189">
        <v>0</v>
      </c>
      <c r="J233" s="189">
        <v>0</v>
      </c>
      <c r="K233" s="73">
        <v>2</v>
      </c>
      <c r="L233" s="189">
        <v>56</v>
      </c>
      <c r="M233" s="189">
        <v>1.4</v>
      </c>
      <c r="N233" s="73">
        <v>12</v>
      </c>
      <c r="O233" s="189">
        <v>96</v>
      </c>
      <c r="P233" s="189">
        <v>2.4</v>
      </c>
      <c r="Q233" s="73">
        <v>14</v>
      </c>
      <c r="R233" s="189">
        <v>152</v>
      </c>
      <c r="S233" s="189">
        <v>3.8</v>
      </c>
    </row>
    <row r="234" spans="1:19" ht="15.75" thickBot="1" x14ac:dyDescent="0.3">
      <c r="A234" s="44" t="s">
        <v>979</v>
      </c>
      <c r="B234" s="48" t="s">
        <v>980</v>
      </c>
      <c r="C234" s="44" t="s">
        <v>808</v>
      </c>
      <c r="D234" s="73">
        <v>11862</v>
      </c>
      <c r="E234" s="73">
        <v>2</v>
      </c>
      <c r="F234" s="189">
        <v>56</v>
      </c>
      <c r="G234" s="189">
        <v>1.4</v>
      </c>
      <c r="H234" s="73">
        <v>4</v>
      </c>
      <c r="I234" s="189">
        <v>132</v>
      </c>
      <c r="J234" s="189">
        <v>3.3</v>
      </c>
      <c r="K234" s="73">
        <v>6</v>
      </c>
      <c r="L234" s="189">
        <v>189</v>
      </c>
      <c r="M234" s="189">
        <v>4.7249999999999996</v>
      </c>
      <c r="N234" s="73">
        <v>3</v>
      </c>
      <c r="O234" s="189">
        <v>15</v>
      </c>
      <c r="P234" s="189">
        <v>0.375</v>
      </c>
      <c r="Q234" s="73">
        <v>9</v>
      </c>
      <c r="R234" s="189">
        <v>204</v>
      </c>
      <c r="S234" s="189">
        <v>5.0999999999999996</v>
      </c>
    </row>
    <row r="235" spans="1:19" ht="15.75" thickBot="1" x14ac:dyDescent="0.3">
      <c r="A235" s="44" t="s">
        <v>1085</v>
      </c>
      <c r="B235" s="48" t="s">
        <v>1086</v>
      </c>
      <c r="C235" s="44" t="s">
        <v>822</v>
      </c>
      <c r="D235" s="73">
        <v>27692</v>
      </c>
      <c r="E235" s="73">
        <v>2</v>
      </c>
      <c r="F235" s="189">
        <v>56</v>
      </c>
      <c r="G235" s="189">
        <v>1.4</v>
      </c>
      <c r="H235" s="73">
        <v>2</v>
      </c>
      <c r="I235" s="189">
        <v>75</v>
      </c>
      <c r="J235" s="189">
        <v>1.875</v>
      </c>
      <c r="K235" s="73">
        <v>4</v>
      </c>
      <c r="L235" s="189">
        <v>131</v>
      </c>
      <c r="M235" s="189">
        <v>3.2749999999999999</v>
      </c>
      <c r="N235" s="73">
        <v>7</v>
      </c>
      <c r="O235" s="189">
        <v>137.5</v>
      </c>
      <c r="P235" s="189">
        <v>3.4375</v>
      </c>
      <c r="Q235" s="73">
        <v>11</v>
      </c>
      <c r="R235" s="189">
        <v>268.5</v>
      </c>
      <c r="S235" s="189">
        <v>6.7125000000000004</v>
      </c>
    </row>
    <row r="236" spans="1:19" ht="15.75" thickBot="1" x14ac:dyDescent="0.3">
      <c r="A236" s="44" t="s">
        <v>1277</v>
      </c>
      <c r="B236" s="48" t="s">
        <v>1278</v>
      </c>
      <c r="C236" s="44" t="s">
        <v>808</v>
      </c>
      <c r="D236" s="73">
        <v>10715</v>
      </c>
      <c r="E236" s="73">
        <v>2</v>
      </c>
      <c r="F236" s="189">
        <v>56.5</v>
      </c>
      <c r="G236" s="189">
        <v>1.4125000000000001</v>
      </c>
      <c r="H236" s="73">
        <v>0</v>
      </c>
      <c r="I236" s="189">
        <v>0</v>
      </c>
      <c r="J236" s="189">
        <v>0</v>
      </c>
      <c r="K236" s="73">
        <v>2</v>
      </c>
      <c r="L236" s="189">
        <v>56.5</v>
      </c>
      <c r="M236" s="189">
        <v>1.4125000000000001</v>
      </c>
      <c r="N236" s="73">
        <v>1</v>
      </c>
      <c r="O236" s="189">
        <v>21.5</v>
      </c>
      <c r="P236" s="189">
        <v>0.53749999999999998</v>
      </c>
      <c r="Q236" s="73">
        <v>3</v>
      </c>
      <c r="R236" s="189">
        <v>78</v>
      </c>
      <c r="S236" s="189">
        <v>1.95</v>
      </c>
    </row>
    <row r="237" spans="1:19" ht="15.75" thickBot="1" x14ac:dyDescent="0.3">
      <c r="A237" s="44" t="s">
        <v>1087</v>
      </c>
      <c r="B237" s="48" t="s">
        <v>1088</v>
      </c>
      <c r="C237" s="44" t="s">
        <v>808</v>
      </c>
      <c r="D237" s="73">
        <v>10983</v>
      </c>
      <c r="E237" s="73">
        <v>2</v>
      </c>
      <c r="F237" s="189">
        <v>58</v>
      </c>
      <c r="G237" s="189">
        <v>1.45</v>
      </c>
      <c r="H237" s="73">
        <v>1</v>
      </c>
      <c r="I237" s="189">
        <v>28</v>
      </c>
      <c r="J237" s="189">
        <v>0.7</v>
      </c>
      <c r="K237" s="73">
        <v>3</v>
      </c>
      <c r="L237" s="189">
        <v>86</v>
      </c>
      <c r="M237" s="189">
        <v>2.15</v>
      </c>
      <c r="N237" s="73">
        <v>12</v>
      </c>
      <c r="O237" s="189">
        <v>154</v>
      </c>
      <c r="P237" s="189">
        <v>3.85</v>
      </c>
      <c r="Q237" s="73">
        <v>15</v>
      </c>
      <c r="R237" s="189">
        <v>240</v>
      </c>
      <c r="S237" s="189">
        <v>6</v>
      </c>
    </row>
    <row r="238" spans="1:19" ht="15.75" thickBot="1" x14ac:dyDescent="0.3">
      <c r="A238" s="44" t="s">
        <v>933</v>
      </c>
      <c r="B238" s="48" t="s">
        <v>934</v>
      </c>
      <c r="C238" s="44" t="s">
        <v>822</v>
      </c>
      <c r="D238" s="73">
        <v>38002</v>
      </c>
      <c r="E238" s="73">
        <v>2</v>
      </c>
      <c r="F238" s="189">
        <v>60</v>
      </c>
      <c r="G238" s="189">
        <v>1.5</v>
      </c>
      <c r="H238" s="73">
        <v>10</v>
      </c>
      <c r="I238" s="189">
        <v>400</v>
      </c>
      <c r="J238" s="189">
        <v>10</v>
      </c>
      <c r="K238" s="73">
        <v>12</v>
      </c>
      <c r="L238" s="189">
        <v>466</v>
      </c>
      <c r="M238" s="189">
        <v>11.65</v>
      </c>
      <c r="N238" s="73">
        <v>9</v>
      </c>
      <c r="O238" s="189">
        <v>110</v>
      </c>
      <c r="P238" s="189">
        <v>2.75</v>
      </c>
      <c r="Q238" s="73">
        <v>21</v>
      </c>
      <c r="R238" s="189">
        <v>576</v>
      </c>
      <c r="S238" s="189">
        <v>14.4</v>
      </c>
    </row>
    <row r="239" spans="1:19" ht="15.75" thickBot="1" x14ac:dyDescent="0.3">
      <c r="A239" s="44" t="s">
        <v>820</v>
      </c>
      <c r="B239" s="48" t="s">
        <v>821</v>
      </c>
      <c r="C239" s="44" t="s">
        <v>822</v>
      </c>
      <c r="D239" s="73">
        <v>28210</v>
      </c>
      <c r="E239" s="73">
        <v>2</v>
      </c>
      <c r="F239" s="189">
        <v>64.75</v>
      </c>
      <c r="G239" s="189">
        <v>1.6187499999999999</v>
      </c>
      <c r="H239" s="73">
        <v>0</v>
      </c>
      <c r="I239" s="189">
        <v>0</v>
      </c>
      <c r="J239" s="189">
        <v>0</v>
      </c>
      <c r="K239" s="73">
        <v>2</v>
      </c>
      <c r="L239" s="189">
        <v>64.75</v>
      </c>
      <c r="M239" s="189">
        <v>1.6187499999999999</v>
      </c>
      <c r="N239" s="73">
        <v>23</v>
      </c>
      <c r="O239" s="189">
        <v>374.88</v>
      </c>
      <c r="P239" s="189">
        <v>9.3719999999999999</v>
      </c>
      <c r="Q239" s="73">
        <v>25</v>
      </c>
      <c r="R239" s="189">
        <v>439.63</v>
      </c>
      <c r="S239" s="189">
        <v>10.99075</v>
      </c>
    </row>
    <row r="240" spans="1:19" ht="15.75" thickBot="1" x14ac:dyDescent="0.3">
      <c r="A240" s="44" t="s">
        <v>985</v>
      </c>
      <c r="B240" s="48" t="s">
        <v>986</v>
      </c>
      <c r="C240" s="44" t="s">
        <v>817</v>
      </c>
      <c r="D240" s="73">
        <v>3953</v>
      </c>
      <c r="E240" s="73">
        <v>2</v>
      </c>
      <c r="F240" s="189">
        <v>65</v>
      </c>
      <c r="G240" s="189">
        <v>1.625</v>
      </c>
      <c r="H240" s="73">
        <v>0</v>
      </c>
      <c r="I240" s="189">
        <v>0</v>
      </c>
      <c r="J240" s="189">
        <v>0</v>
      </c>
      <c r="K240" s="73">
        <v>2</v>
      </c>
      <c r="L240" s="189">
        <v>65</v>
      </c>
      <c r="M240" s="189">
        <v>1.625</v>
      </c>
      <c r="N240" s="73">
        <v>2</v>
      </c>
      <c r="O240" s="189">
        <v>51</v>
      </c>
      <c r="P240" s="189">
        <v>1.2749999999999999</v>
      </c>
      <c r="Q240" s="73">
        <v>4</v>
      </c>
      <c r="R240" s="189">
        <v>116</v>
      </c>
      <c r="S240" s="189">
        <v>2.9</v>
      </c>
    </row>
    <row r="241" spans="1:19" ht="15.75" thickBot="1" x14ac:dyDescent="0.3">
      <c r="A241" s="44" t="s">
        <v>1175</v>
      </c>
      <c r="B241" s="48" t="s">
        <v>1176</v>
      </c>
      <c r="C241" s="44" t="s">
        <v>803</v>
      </c>
      <c r="D241" s="73">
        <v>13600</v>
      </c>
      <c r="E241" s="73">
        <v>2</v>
      </c>
      <c r="F241" s="189">
        <v>67</v>
      </c>
      <c r="G241" s="189">
        <v>1.675</v>
      </c>
      <c r="H241" s="73">
        <v>1</v>
      </c>
      <c r="I241" s="189">
        <v>40</v>
      </c>
      <c r="J241" s="189">
        <v>1</v>
      </c>
      <c r="K241" s="73">
        <v>3</v>
      </c>
      <c r="L241" s="189">
        <v>107</v>
      </c>
      <c r="M241" s="189">
        <v>2.6749999999999998</v>
      </c>
      <c r="N241" s="73">
        <v>2</v>
      </c>
      <c r="O241" s="189">
        <v>20</v>
      </c>
      <c r="P241" s="189">
        <v>0.5</v>
      </c>
      <c r="Q241" s="73">
        <v>5</v>
      </c>
      <c r="R241" s="189">
        <v>127</v>
      </c>
      <c r="S241" s="189">
        <v>3.1749999999999998</v>
      </c>
    </row>
    <row r="242" spans="1:19" ht="15.75" thickBot="1" x14ac:dyDescent="0.3">
      <c r="A242" s="44" t="s">
        <v>1131</v>
      </c>
      <c r="B242" s="48" t="s">
        <v>1132</v>
      </c>
      <c r="C242" s="44" t="s">
        <v>803</v>
      </c>
      <c r="D242" s="73">
        <v>13233</v>
      </c>
      <c r="E242" s="73">
        <v>2</v>
      </c>
      <c r="F242" s="189">
        <v>68</v>
      </c>
      <c r="G242" s="189">
        <v>1.7</v>
      </c>
      <c r="H242" s="73">
        <v>11</v>
      </c>
      <c r="I242" s="189">
        <v>244</v>
      </c>
      <c r="J242" s="189">
        <v>6.1</v>
      </c>
      <c r="K242" s="73">
        <v>13</v>
      </c>
      <c r="L242" s="189">
        <v>312</v>
      </c>
      <c r="M242" s="189">
        <v>7.8</v>
      </c>
      <c r="N242" s="73">
        <v>2</v>
      </c>
      <c r="O242" s="189">
        <v>25</v>
      </c>
      <c r="P242" s="189">
        <v>0.625</v>
      </c>
      <c r="Q242" s="73">
        <v>15</v>
      </c>
      <c r="R242" s="189">
        <v>337</v>
      </c>
      <c r="S242" s="189">
        <v>8.4250000000000007</v>
      </c>
    </row>
    <row r="243" spans="1:19" ht="15.75" thickBot="1" x14ac:dyDescent="0.3">
      <c r="A243" s="44" t="s">
        <v>1532</v>
      </c>
      <c r="B243" s="48" t="s">
        <v>1533</v>
      </c>
      <c r="C243" s="44" t="s">
        <v>803</v>
      </c>
      <c r="D243" s="73">
        <v>14253</v>
      </c>
      <c r="E243" s="73">
        <v>2</v>
      </c>
      <c r="F243" s="189">
        <v>69</v>
      </c>
      <c r="G243" s="189">
        <v>1.7250000000000001</v>
      </c>
      <c r="H243" s="73">
        <v>1</v>
      </c>
      <c r="I243" s="189">
        <v>40</v>
      </c>
      <c r="J243" s="189">
        <v>1</v>
      </c>
      <c r="K243" s="73">
        <v>3</v>
      </c>
      <c r="L243" s="189">
        <v>109</v>
      </c>
      <c r="M243" s="189">
        <v>2.7250000000000001</v>
      </c>
      <c r="N243" s="73">
        <v>9</v>
      </c>
      <c r="O243" s="189">
        <v>208</v>
      </c>
      <c r="P243" s="189">
        <v>5.2</v>
      </c>
      <c r="Q243" s="73">
        <v>12</v>
      </c>
      <c r="R243" s="189">
        <v>317</v>
      </c>
      <c r="S243" s="189">
        <v>7.9249999999999998</v>
      </c>
    </row>
    <row r="244" spans="1:19" ht="15.75" thickBot="1" x14ac:dyDescent="0.3">
      <c r="A244" s="44" t="s">
        <v>811</v>
      </c>
      <c r="B244" s="48" t="s">
        <v>812</v>
      </c>
      <c r="C244" s="44" t="s">
        <v>808</v>
      </c>
      <c r="D244" s="73">
        <v>11569</v>
      </c>
      <c r="E244" s="73">
        <v>2</v>
      </c>
      <c r="F244" s="189">
        <v>70</v>
      </c>
      <c r="G244" s="189">
        <v>1.75</v>
      </c>
      <c r="H244" s="73">
        <v>0</v>
      </c>
      <c r="I244" s="189">
        <v>0</v>
      </c>
      <c r="J244" s="189">
        <v>0</v>
      </c>
      <c r="K244" s="73">
        <v>2</v>
      </c>
      <c r="L244" s="189">
        <v>70</v>
      </c>
      <c r="M244" s="189">
        <v>1.75</v>
      </c>
      <c r="N244" s="73">
        <v>13</v>
      </c>
      <c r="O244" s="189">
        <v>310</v>
      </c>
      <c r="P244" s="189">
        <v>7.75</v>
      </c>
      <c r="Q244" s="73">
        <v>15</v>
      </c>
      <c r="R244" s="189">
        <v>380</v>
      </c>
      <c r="S244" s="189">
        <v>9.5</v>
      </c>
    </row>
    <row r="245" spans="1:19" ht="15.75" thickBot="1" x14ac:dyDescent="0.3">
      <c r="A245" s="44" t="s">
        <v>1369</v>
      </c>
      <c r="B245" s="48" t="s">
        <v>1370</v>
      </c>
      <c r="C245" s="44" t="s">
        <v>808</v>
      </c>
      <c r="D245" s="73">
        <v>11503</v>
      </c>
      <c r="E245" s="73">
        <v>2</v>
      </c>
      <c r="F245" s="189">
        <v>70</v>
      </c>
      <c r="G245" s="189">
        <v>1.75</v>
      </c>
      <c r="H245" s="73">
        <v>0</v>
      </c>
      <c r="I245" s="189">
        <v>0</v>
      </c>
      <c r="J245" s="189">
        <v>0</v>
      </c>
      <c r="K245" s="73">
        <v>2</v>
      </c>
      <c r="L245" s="189">
        <v>70</v>
      </c>
      <c r="M245" s="189">
        <v>1.75</v>
      </c>
      <c r="N245" s="73">
        <v>11</v>
      </c>
      <c r="O245" s="189">
        <v>231</v>
      </c>
      <c r="P245" s="189">
        <v>5.7750000000000004</v>
      </c>
      <c r="Q245" s="73">
        <v>13</v>
      </c>
      <c r="R245" s="189">
        <v>301</v>
      </c>
      <c r="S245" s="189">
        <v>7.5250000000000004</v>
      </c>
    </row>
    <row r="246" spans="1:19" ht="15.75" thickBot="1" x14ac:dyDescent="0.3">
      <c r="A246" s="44" t="s">
        <v>1067</v>
      </c>
      <c r="B246" s="48" t="s">
        <v>1068</v>
      </c>
      <c r="C246" s="44" t="s">
        <v>803</v>
      </c>
      <c r="D246" s="73">
        <v>17068</v>
      </c>
      <c r="E246" s="73">
        <v>2</v>
      </c>
      <c r="F246" s="189">
        <v>70</v>
      </c>
      <c r="G246" s="189">
        <v>1.75</v>
      </c>
      <c r="H246" s="73">
        <v>2</v>
      </c>
      <c r="I246" s="189">
        <v>70</v>
      </c>
      <c r="J246" s="189">
        <v>1.75</v>
      </c>
      <c r="K246" s="73">
        <v>4</v>
      </c>
      <c r="L246" s="189">
        <v>140</v>
      </c>
      <c r="M246" s="189">
        <v>3.5</v>
      </c>
      <c r="N246" s="73">
        <v>7</v>
      </c>
      <c r="O246" s="189">
        <v>139</v>
      </c>
      <c r="P246" s="189">
        <v>3.4750000000000001</v>
      </c>
      <c r="Q246" s="73">
        <v>11</v>
      </c>
      <c r="R246" s="189">
        <v>279</v>
      </c>
      <c r="S246" s="189">
        <v>6.9749999999999996</v>
      </c>
    </row>
    <row r="247" spans="1:19" ht="15.75" thickBot="1" x14ac:dyDescent="0.3">
      <c r="A247" s="44" t="s">
        <v>1381</v>
      </c>
      <c r="B247" s="48" t="s">
        <v>1382</v>
      </c>
      <c r="C247" s="44" t="s">
        <v>803</v>
      </c>
      <c r="D247" s="73">
        <v>19629</v>
      </c>
      <c r="E247" s="73">
        <v>2</v>
      </c>
      <c r="F247" s="189">
        <v>70</v>
      </c>
      <c r="G247" s="189">
        <v>1.75</v>
      </c>
      <c r="H247" s="73">
        <v>12</v>
      </c>
      <c r="I247" s="189">
        <v>330</v>
      </c>
      <c r="J247" s="189">
        <v>8.25</v>
      </c>
      <c r="K247" s="73">
        <v>12</v>
      </c>
      <c r="L247" s="189">
        <v>330</v>
      </c>
      <c r="M247" s="189">
        <v>8.25</v>
      </c>
      <c r="N247" s="73">
        <v>7</v>
      </c>
      <c r="O247" s="189">
        <v>100</v>
      </c>
      <c r="P247" s="189">
        <v>2.5</v>
      </c>
      <c r="Q247" s="73">
        <v>20</v>
      </c>
      <c r="R247" s="189">
        <v>430</v>
      </c>
      <c r="S247" s="189">
        <v>10.75</v>
      </c>
    </row>
    <row r="248" spans="1:19" ht="15.75" thickBot="1" x14ac:dyDescent="0.3">
      <c r="A248" s="44" t="s">
        <v>889</v>
      </c>
      <c r="B248" s="48" t="s">
        <v>890</v>
      </c>
      <c r="C248" s="44" t="s">
        <v>808</v>
      </c>
      <c r="D248" s="73">
        <v>11825</v>
      </c>
      <c r="E248" s="73">
        <v>2</v>
      </c>
      <c r="F248" s="189">
        <v>72</v>
      </c>
      <c r="G248" s="189">
        <v>1.8</v>
      </c>
      <c r="H248" s="73">
        <v>0</v>
      </c>
      <c r="I248" s="189">
        <v>0</v>
      </c>
      <c r="J248" s="189">
        <v>0</v>
      </c>
      <c r="K248" s="73">
        <v>2</v>
      </c>
      <c r="L248" s="189">
        <v>72</v>
      </c>
      <c r="M248" s="189">
        <v>1.8</v>
      </c>
      <c r="N248" s="73">
        <v>10</v>
      </c>
      <c r="O248" s="189">
        <v>155</v>
      </c>
      <c r="P248" s="189">
        <v>3.875</v>
      </c>
      <c r="Q248" s="73">
        <v>12</v>
      </c>
      <c r="R248" s="189">
        <v>227</v>
      </c>
      <c r="S248" s="189">
        <v>5.6749999999999998</v>
      </c>
    </row>
    <row r="249" spans="1:19" ht="15.75" thickBot="1" x14ac:dyDescent="0.3">
      <c r="A249" s="44" t="s">
        <v>945</v>
      </c>
      <c r="B249" s="48" t="s">
        <v>946</v>
      </c>
      <c r="C249" s="44" t="s">
        <v>803</v>
      </c>
      <c r="D249" s="73">
        <v>24370</v>
      </c>
      <c r="E249" s="73">
        <v>2</v>
      </c>
      <c r="F249" s="189">
        <v>75</v>
      </c>
      <c r="G249" s="189">
        <v>1.875</v>
      </c>
      <c r="H249" s="73">
        <v>6</v>
      </c>
      <c r="I249" s="189">
        <v>187</v>
      </c>
      <c r="J249" s="189">
        <v>4.6749999999999998</v>
      </c>
      <c r="K249" s="73">
        <v>8</v>
      </c>
      <c r="L249" s="189">
        <v>262</v>
      </c>
      <c r="M249" s="189">
        <v>6.55</v>
      </c>
      <c r="N249" s="73">
        <v>9</v>
      </c>
      <c r="O249" s="189">
        <v>146</v>
      </c>
      <c r="P249" s="189">
        <v>3.65</v>
      </c>
      <c r="Q249" s="73">
        <v>17</v>
      </c>
      <c r="R249" s="189">
        <v>408</v>
      </c>
      <c r="S249" s="189">
        <v>10.199999999999999</v>
      </c>
    </row>
    <row r="250" spans="1:19" ht="15.75" thickBot="1" x14ac:dyDescent="0.3">
      <c r="A250" s="44" t="s">
        <v>1552</v>
      </c>
      <c r="B250" s="48" t="s">
        <v>1553</v>
      </c>
      <c r="C250" s="44" t="s">
        <v>803</v>
      </c>
      <c r="D250" s="73">
        <v>12238</v>
      </c>
      <c r="E250" s="73">
        <v>2</v>
      </c>
      <c r="F250" s="189">
        <v>75</v>
      </c>
      <c r="G250" s="189">
        <v>1.875</v>
      </c>
      <c r="H250" s="73">
        <v>1</v>
      </c>
      <c r="I250" s="189">
        <v>30</v>
      </c>
      <c r="J250" s="189">
        <v>0.75</v>
      </c>
      <c r="K250" s="73">
        <v>3</v>
      </c>
      <c r="L250" s="189">
        <v>105</v>
      </c>
      <c r="M250" s="189">
        <v>2.625</v>
      </c>
      <c r="N250" s="73">
        <v>11</v>
      </c>
      <c r="O250" s="189">
        <v>145.75</v>
      </c>
      <c r="P250" s="189">
        <v>3.6437499999999998</v>
      </c>
      <c r="Q250" s="73">
        <v>14</v>
      </c>
      <c r="R250" s="189">
        <v>250.75</v>
      </c>
      <c r="S250" s="189">
        <v>6.2687499999999998</v>
      </c>
    </row>
    <row r="251" spans="1:19" ht="15.75" thickBot="1" x14ac:dyDescent="0.3">
      <c r="A251" s="44" t="s">
        <v>1395</v>
      </c>
      <c r="B251" s="48" t="s">
        <v>1396</v>
      </c>
      <c r="C251" s="44" t="s">
        <v>808</v>
      </c>
      <c r="D251" s="73">
        <v>8891</v>
      </c>
      <c r="E251" s="73">
        <v>2</v>
      </c>
      <c r="F251" s="189">
        <v>76</v>
      </c>
      <c r="G251" s="189">
        <v>1.9</v>
      </c>
      <c r="H251" s="73">
        <v>3</v>
      </c>
      <c r="I251" s="189">
        <v>81</v>
      </c>
      <c r="J251" s="189">
        <v>2.0249999999999999</v>
      </c>
      <c r="K251" s="73">
        <v>5</v>
      </c>
      <c r="L251" s="189">
        <v>157</v>
      </c>
      <c r="M251" s="189">
        <v>3.9249999999999998</v>
      </c>
      <c r="N251" s="73">
        <v>4</v>
      </c>
      <c r="O251" s="189">
        <v>40</v>
      </c>
      <c r="P251" s="189">
        <v>1</v>
      </c>
      <c r="Q251" s="73">
        <v>9</v>
      </c>
      <c r="R251" s="189">
        <v>197</v>
      </c>
      <c r="S251" s="189">
        <v>4.9249999999999998</v>
      </c>
    </row>
    <row r="252" spans="1:19" ht="15.75" thickBot="1" x14ac:dyDescent="0.3">
      <c r="A252" s="44" t="s">
        <v>1189</v>
      </c>
      <c r="B252" s="48" t="s">
        <v>1190</v>
      </c>
      <c r="C252" s="44" t="s">
        <v>803</v>
      </c>
      <c r="D252" s="73">
        <v>17153</v>
      </c>
      <c r="E252" s="73">
        <v>3</v>
      </c>
      <c r="F252" s="189">
        <v>76</v>
      </c>
      <c r="G252" s="189">
        <v>1.9</v>
      </c>
      <c r="H252" s="73">
        <v>0</v>
      </c>
      <c r="I252" s="189">
        <v>0</v>
      </c>
      <c r="J252" s="189">
        <v>0</v>
      </c>
      <c r="K252" s="73">
        <v>3</v>
      </c>
      <c r="L252" s="189">
        <v>76</v>
      </c>
      <c r="M252" s="189">
        <v>1.9</v>
      </c>
      <c r="N252" s="73">
        <v>10</v>
      </c>
      <c r="O252" s="189">
        <v>165</v>
      </c>
      <c r="P252" s="189">
        <v>4.125</v>
      </c>
      <c r="Q252" s="73">
        <v>13</v>
      </c>
      <c r="R252" s="189">
        <v>241</v>
      </c>
      <c r="S252" s="189">
        <v>6.0250000000000004</v>
      </c>
    </row>
    <row r="253" spans="1:19" ht="15.75" thickBot="1" x14ac:dyDescent="0.3">
      <c r="A253" s="44" t="s">
        <v>1011</v>
      </c>
      <c r="B253" s="48" t="s">
        <v>1012</v>
      </c>
      <c r="C253" s="44" t="s">
        <v>822</v>
      </c>
      <c r="D253" s="73">
        <v>26168</v>
      </c>
      <c r="E253" s="73">
        <v>2</v>
      </c>
      <c r="F253" s="189">
        <v>77.5</v>
      </c>
      <c r="G253" s="189">
        <v>1.9375</v>
      </c>
      <c r="H253" s="73">
        <v>3</v>
      </c>
      <c r="I253" s="189">
        <v>112.5</v>
      </c>
      <c r="J253" s="189">
        <v>2.8125</v>
      </c>
      <c r="K253" s="73">
        <v>5</v>
      </c>
      <c r="L253" s="189">
        <v>190</v>
      </c>
      <c r="M253" s="189">
        <v>4.75</v>
      </c>
      <c r="N253" s="73">
        <v>16</v>
      </c>
      <c r="O253" s="189">
        <v>359.5</v>
      </c>
      <c r="P253" s="189">
        <v>8.9875000000000007</v>
      </c>
      <c r="Q253" s="73">
        <v>21</v>
      </c>
      <c r="R253" s="189">
        <v>549.5</v>
      </c>
      <c r="S253" s="189">
        <v>13.737500000000001</v>
      </c>
    </row>
    <row r="254" spans="1:19" ht="15.75" thickBot="1" x14ac:dyDescent="0.3">
      <c r="A254" s="44" t="s">
        <v>1383</v>
      </c>
      <c r="B254" s="48" t="s">
        <v>1384</v>
      </c>
      <c r="C254" s="44" t="s">
        <v>803</v>
      </c>
      <c r="D254" s="73">
        <v>13912</v>
      </c>
      <c r="E254" s="73">
        <v>2</v>
      </c>
      <c r="F254" s="189">
        <v>78</v>
      </c>
      <c r="G254" s="189">
        <v>1.95</v>
      </c>
      <c r="H254" s="73">
        <v>0</v>
      </c>
      <c r="I254" s="189">
        <v>0</v>
      </c>
      <c r="J254" s="189">
        <v>0</v>
      </c>
      <c r="K254" s="73">
        <v>2</v>
      </c>
      <c r="L254" s="189">
        <v>78</v>
      </c>
      <c r="M254" s="189">
        <v>1.95</v>
      </c>
      <c r="N254" s="73">
        <v>10</v>
      </c>
      <c r="O254" s="189">
        <v>203</v>
      </c>
      <c r="P254" s="189">
        <v>5.0750000000000002</v>
      </c>
      <c r="Q254" s="73">
        <v>12</v>
      </c>
      <c r="R254" s="189">
        <v>281</v>
      </c>
      <c r="S254" s="189">
        <v>7.0250000000000004</v>
      </c>
    </row>
    <row r="255" spans="1:19" ht="15.75" thickBot="1" x14ac:dyDescent="0.3">
      <c r="A255" s="44" t="s">
        <v>1474</v>
      </c>
      <c r="B255" s="48" t="s">
        <v>1475</v>
      </c>
      <c r="C255" s="44" t="s">
        <v>822</v>
      </c>
      <c r="D255" s="73">
        <v>27920</v>
      </c>
      <c r="E255" s="73">
        <v>2</v>
      </c>
      <c r="F255" s="189">
        <v>79</v>
      </c>
      <c r="G255" s="189">
        <v>1.9750000000000001</v>
      </c>
      <c r="H255" s="73">
        <v>4</v>
      </c>
      <c r="I255" s="189">
        <v>150</v>
      </c>
      <c r="J255" s="189">
        <v>3.75</v>
      </c>
      <c r="K255" s="73">
        <v>2</v>
      </c>
      <c r="L255" s="189">
        <v>229</v>
      </c>
      <c r="M255" s="189">
        <v>5.7249999999999996</v>
      </c>
      <c r="N255" s="73">
        <v>17</v>
      </c>
      <c r="O255" s="189">
        <v>456</v>
      </c>
      <c r="P255" s="189">
        <v>11.4</v>
      </c>
      <c r="Q255" s="73">
        <v>23</v>
      </c>
      <c r="R255" s="189">
        <v>685</v>
      </c>
      <c r="S255" s="189">
        <v>17.125</v>
      </c>
    </row>
    <row r="256" spans="1:19" ht="15.75" thickBot="1" x14ac:dyDescent="0.3">
      <c r="A256" s="44" t="s">
        <v>927</v>
      </c>
      <c r="B256" s="48" t="s">
        <v>928</v>
      </c>
      <c r="C256" s="44" t="s">
        <v>808</v>
      </c>
      <c r="D256" s="73">
        <v>11833</v>
      </c>
      <c r="E256" s="73">
        <v>2</v>
      </c>
      <c r="F256" s="189">
        <v>80</v>
      </c>
      <c r="G256" s="189">
        <v>2</v>
      </c>
      <c r="H256" s="73">
        <v>0</v>
      </c>
      <c r="I256" s="189">
        <v>0</v>
      </c>
      <c r="J256" s="189">
        <v>0</v>
      </c>
      <c r="K256" s="73">
        <v>2</v>
      </c>
      <c r="L256" s="189">
        <v>80</v>
      </c>
      <c r="M256" s="189">
        <v>2</v>
      </c>
      <c r="N256" s="73">
        <v>12</v>
      </c>
      <c r="O256" s="189">
        <v>266</v>
      </c>
      <c r="P256" s="189">
        <v>6.65</v>
      </c>
      <c r="Q256" s="73">
        <v>14</v>
      </c>
      <c r="R256" s="189">
        <v>346</v>
      </c>
      <c r="S256" s="189">
        <v>8.65</v>
      </c>
    </row>
    <row r="257" spans="1:19" ht="15.75" thickBot="1" x14ac:dyDescent="0.3">
      <c r="A257" s="44" t="s">
        <v>937</v>
      </c>
      <c r="B257" s="48" t="s">
        <v>938</v>
      </c>
      <c r="C257" s="44" t="s">
        <v>808</v>
      </c>
      <c r="D257" s="73">
        <v>8257</v>
      </c>
      <c r="E257" s="73">
        <v>2</v>
      </c>
      <c r="F257" s="189">
        <v>80</v>
      </c>
      <c r="G257" s="189">
        <v>2</v>
      </c>
      <c r="H257" s="73">
        <v>0</v>
      </c>
      <c r="I257" s="189">
        <v>0</v>
      </c>
      <c r="J257" s="189">
        <v>0</v>
      </c>
      <c r="K257" s="73">
        <v>2</v>
      </c>
      <c r="L257" s="189">
        <v>80</v>
      </c>
      <c r="M257" s="189">
        <v>2</v>
      </c>
      <c r="N257" s="73">
        <v>11</v>
      </c>
      <c r="O257" s="189">
        <v>111</v>
      </c>
      <c r="P257" s="189">
        <v>2.7749999999999999</v>
      </c>
      <c r="Q257" s="73">
        <v>13</v>
      </c>
      <c r="R257" s="189">
        <v>191</v>
      </c>
      <c r="S257" s="189">
        <v>4.7750000000000004</v>
      </c>
    </row>
    <row r="258" spans="1:19" ht="15.75" thickBot="1" x14ac:dyDescent="0.3">
      <c r="A258" s="44" t="s">
        <v>1135</v>
      </c>
      <c r="B258" s="48" t="s">
        <v>1136</v>
      </c>
      <c r="C258" s="44" t="s">
        <v>808</v>
      </c>
      <c r="D258" s="73">
        <v>7135</v>
      </c>
      <c r="E258" s="73">
        <v>2</v>
      </c>
      <c r="F258" s="189">
        <v>80</v>
      </c>
      <c r="G258" s="189">
        <v>2</v>
      </c>
      <c r="H258" s="73">
        <v>1</v>
      </c>
      <c r="I258" s="189">
        <v>40</v>
      </c>
      <c r="J258" s="189">
        <v>1</v>
      </c>
      <c r="K258" s="73">
        <v>3</v>
      </c>
      <c r="L258" s="189">
        <v>120</v>
      </c>
      <c r="M258" s="189">
        <v>3</v>
      </c>
      <c r="N258" s="73">
        <v>3</v>
      </c>
      <c r="O258" s="189">
        <v>76</v>
      </c>
      <c r="P258" s="189">
        <v>1.9</v>
      </c>
      <c r="Q258" s="73">
        <v>6</v>
      </c>
      <c r="R258" s="189">
        <v>196</v>
      </c>
      <c r="S258" s="189">
        <v>4.9000000000000004</v>
      </c>
    </row>
    <row r="259" spans="1:19" ht="15.75" thickBot="1" x14ac:dyDescent="0.3">
      <c r="A259" s="44" t="s">
        <v>887</v>
      </c>
      <c r="B259" s="48" t="s">
        <v>888</v>
      </c>
      <c r="C259" s="44" t="s">
        <v>803</v>
      </c>
      <c r="D259" s="73">
        <v>20025</v>
      </c>
      <c r="E259" s="73">
        <v>2</v>
      </c>
      <c r="F259" s="189">
        <v>80</v>
      </c>
      <c r="G259" s="189">
        <v>2</v>
      </c>
      <c r="H259" s="73">
        <v>0</v>
      </c>
      <c r="I259" s="189">
        <v>0</v>
      </c>
      <c r="J259" s="189">
        <v>0</v>
      </c>
      <c r="K259" s="73">
        <v>2</v>
      </c>
      <c r="L259" s="189">
        <v>80</v>
      </c>
      <c r="M259" s="189">
        <v>2</v>
      </c>
      <c r="N259" s="73">
        <v>16</v>
      </c>
      <c r="O259" s="189">
        <v>86</v>
      </c>
      <c r="P259" s="189">
        <v>2.15</v>
      </c>
      <c r="Q259" s="73">
        <v>18</v>
      </c>
      <c r="R259" s="189">
        <v>166</v>
      </c>
      <c r="S259" s="189">
        <v>4.1500000000000004</v>
      </c>
    </row>
    <row r="260" spans="1:19" ht="15.75" thickBot="1" x14ac:dyDescent="0.3">
      <c r="A260" s="44" t="s">
        <v>905</v>
      </c>
      <c r="B260" s="48" t="s">
        <v>906</v>
      </c>
      <c r="C260" s="44" t="s">
        <v>803</v>
      </c>
      <c r="D260" s="73">
        <v>19336</v>
      </c>
      <c r="E260" s="73">
        <v>2</v>
      </c>
      <c r="F260" s="189">
        <v>80</v>
      </c>
      <c r="G260" s="189">
        <v>2</v>
      </c>
      <c r="H260" s="73">
        <v>1</v>
      </c>
      <c r="I260" s="189">
        <v>40</v>
      </c>
      <c r="J260" s="189">
        <v>1</v>
      </c>
      <c r="K260" s="73">
        <v>3</v>
      </c>
      <c r="L260" s="189">
        <v>120</v>
      </c>
      <c r="M260" s="189">
        <v>3</v>
      </c>
      <c r="N260" s="73">
        <v>8</v>
      </c>
      <c r="O260" s="189">
        <v>160</v>
      </c>
      <c r="P260" s="189">
        <v>4</v>
      </c>
      <c r="Q260" s="73">
        <v>11</v>
      </c>
      <c r="R260" s="189">
        <v>280</v>
      </c>
      <c r="S260" s="189">
        <v>7</v>
      </c>
    </row>
    <row r="261" spans="1:19" ht="15.75" thickBot="1" x14ac:dyDescent="0.3">
      <c r="A261" s="44" t="s">
        <v>941</v>
      </c>
      <c r="B261" s="48" t="s">
        <v>942</v>
      </c>
      <c r="C261" s="44" t="s">
        <v>803</v>
      </c>
      <c r="D261" s="73">
        <v>15068</v>
      </c>
      <c r="E261" s="73">
        <v>2</v>
      </c>
      <c r="F261" s="189">
        <v>80</v>
      </c>
      <c r="G261" s="189">
        <v>2</v>
      </c>
      <c r="H261" s="73">
        <v>1</v>
      </c>
      <c r="I261" s="189">
        <v>40</v>
      </c>
      <c r="J261" s="189">
        <v>1</v>
      </c>
      <c r="K261" s="73">
        <v>3</v>
      </c>
      <c r="L261" s="189">
        <v>120</v>
      </c>
      <c r="M261" s="189">
        <v>3</v>
      </c>
      <c r="N261" s="73">
        <v>6</v>
      </c>
      <c r="O261" s="189">
        <v>164</v>
      </c>
      <c r="P261" s="189">
        <v>4.0999999999999996</v>
      </c>
      <c r="Q261" s="73">
        <v>9</v>
      </c>
      <c r="R261" s="189">
        <v>284</v>
      </c>
      <c r="S261" s="189">
        <v>7.1</v>
      </c>
    </row>
    <row r="262" spans="1:19" ht="15.75" thickBot="1" x14ac:dyDescent="0.3">
      <c r="A262" s="44" t="s">
        <v>1043</v>
      </c>
      <c r="B262" s="48" t="s">
        <v>1044</v>
      </c>
      <c r="C262" s="44" t="s">
        <v>803</v>
      </c>
      <c r="D262" s="73">
        <v>25830</v>
      </c>
      <c r="E262" s="73">
        <v>2</v>
      </c>
      <c r="F262" s="189">
        <v>80</v>
      </c>
      <c r="G262" s="189">
        <v>2</v>
      </c>
      <c r="H262" s="73">
        <v>1</v>
      </c>
      <c r="I262" s="189">
        <v>40</v>
      </c>
      <c r="J262" s="189">
        <v>1</v>
      </c>
      <c r="K262" s="73">
        <v>3</v>
      </c>
      <c r="L262" s="189">
        <v>120</v>
      </c>
      <c r="M262" s="189">
        <v>3</v>
      </c>
      <c r="N262" s="73">
        <v>7</v>
      </c>
      <c r="O262" s="189">
        <v>175</v>
      </c>
      <c r="P262" s="189">
        <v>4.375</v>
      </c>
      <c r="Q262" s="73">
        <v>10</v>
      </c>
      <c r="R262" s="189">
        <v>295</v>
      </c>
      <c r="S262" s="189">
        <v>7.375</v>
      </c>
    </row>
    <row r="263" spans="1:19" ht="15.75" thickBot="1" x14ac:dyDescent="0.3">
      <c r="A263" s="44" t="s">
        <v>1117</v>
      </c>
      <c r="B263" s="48" t="s">
        <v>1118</v>
      </c>
      <c r="C263" s="44" t="s">
        <v>803</v>
      </c>
      <c r="D263" s="73">
        <v>22423</v>
      </c>
      <c r="E263" s="73">
        <v>3</v>
      </c>
      <c r="F263" s="189">
        <v>80</v>
      </c>
      <c r="G263" s="189">
        <v>2</v>
      </c>
      <c r="H263" s="73">
        <v>0</v>
      </c>
      <c r="I263" s="189">
        <v>0</v>
      </c>
      <c r="J263" s="189">
        <v>0</v>
      </c>
      <c r="K263" s="73">
        <v>3</v>
      </c>
      <c r="L263" s="189">
        <v>80</v>
      </c>
      <c r="M263" s="189">
        <v>2</v>
      </c>
      <c r="N263" s="73">
        <v>6</v>
      </c>
      <c r="O263" s="189">
        <v>180</v>
      </c>
      <c r="P263" s="189">
        <v>4.5</v>
      </c>
      <c r="Q263" s="73">
        <v>8</v>
      </c>
      <c r="R263" s="189">
        <v>260</v>
      </c>
      <c r="S263" s="189">
        <v>6.5</v>
      </c>
    </row>
    <row r="264" spans="1:19" ht="15.75" thickBot="1" x14ac:dyDescent="0.3">
      <c r="A264" s="44" t="s">
        <v>1155</v>
      </c>
      <c r="B264" s="48" t="s">
        <v>1156</v>
      </c>
      <c r="C264" s="44" t="s">
        <v>803</v>
      </c>
      <c r="D264" s="73">
        <v>22115</v>
      </c>
      <c r="E264" s="73">
        <v>2</v>
      </c>
      <c r="F264" s="189">
        <v>80</v>
      </c>
      <c r="G264" s="189">
        <v>2</v>
      </c>
      <c r="H264" s="73">
        <v>10</v>
      </c>
      <c r="I264" s="189">
        <v>241</v>
      </c>
      <c r="J264" s="189">
        <v>6.0250000000000004</v>
      </c>
      <c r="K264" s="73">
        <v>12</v>
      </c>
      <c r="L264" s="189">
        <v>321</v>
      </c>
      <c r="M264" s="189">
        <v>8.0250000000000004</v>
      </c>
      <c r="N264" s="73">
        <v>5</v>
      </c>
      <c r="O264" s="189">
        <v>47</v>
      </c>
      <c r="P264" s="189">
        <v>1.175</v>
      </c>
      <c r="Q264" s="73">
        <v>17</v>
      </c>
      <c r="R264" s="189">
        <v>368</v>
      </c>
      <c r="S264" s="189">
        <v>9.1999999999999993</v>
      </c>
    </row>
    <row r="265" spans="1:19" ht="15.75" thickBot="1" x14ac:dyDescent="0.3">
      <c r="A265" s="44" t="s">
        <v>1223</v>
      </c>
      <c r="B265" s="48" t="s">
        <v>1224</v>
      </c>
      <c r="C265" s="44" t="s">
        <v>803</v>
      </c>
      <c r="D265" s="73">
        <v>22258</v>
      </c>
      <c r="E265" s="73">
        <v>2</v>
      </c>
      <c r="F265" s="189">
        <v>80</v>
      </c>
      <c r="G265" s="189">
        <v>2</v>
      </c>
      <c r="H265" s="73">
        <v>3</v>
      </c>
      <c r="I265" s="189">
        <v>120</v>
      </c>
      <c r="J265" s="189">
        <v>3</v>
      </c>
      <c r="K265" s="73">
        <v>5</v>
      </c>
      <c r="L265" s="189">
        <v>200</v>
      </c>
      <c r="M265" s="189">
        <v>5</v>
      </c>
      <c r="N265" s="73">
        <v>16</v>
      </c>
      <c r="O265" s="189">
        <v>397</v>
      </c>
      <c r="P265" s="189">
        <v>9.9250000000000007</v>
      </c>
      <c r="Q265" s="73">
        <v>21</v>
      </c>
      <c r="R265" s="189">
        <v>597</v>
      </c>
      <c r="S265" s="189">
        <v>14.925000000000001</v>
      </c>
    </row>
    <row r="266" spans="1:19" ht="15.75" thickBot="1" x14ac:dyDescent="0.3">
      <c r="A266" s="44" t="s">
        <v>1341</v>
      </c>
      <c r="B266" s="48" t="s">
        <v>1342</v>
      </c>
      <c r="C266" s="44" t="s">
        <v>803</v>
      </c>
      <c r="D266" s="73">
        <v>24164</v>
      </c>
      <c r="E266" s="73">
        <v>2</v>
      </c>
      <c r="F266" s="189">
        <v>80</v>
      </c>
      <c r="G266" s="189">
        <v>2</v>
      </c>
      <c r="H266" s="73">
        <v>1</v>
      </c>
      <c r="I266" s="189">
        <v>39.4</v>
      </c>
      <c r="J266" s="189">
        <v>0.98499999999999999</v>
      </c>
      <c r="K266" s="73">
        <v>3</v>
      </c>
      <c r="L266" s="189">
        <v>119.4</v>
      </c>
      <c r="M266" s="189">
        <v>2.9849999999999999</v>
      </c>
      <c r="N266" s="73">
        <v>18</v>
      </c>
      <c r="O266" s="189">
        <v>310.27</v>
      </c>
      <c r="P266" s="189">
        <v>7.7567500000000003</v>
      </c>
      <c r="Q266" s="73">
        <v>21</v>
      </c>
      <c r="R266" s="189">
        <v>429.67</v>
      </c>
      <c r="S266" s="189">
        <v>10.74175</v>
      </c>
    </row>
    <row r="267" spans="1:19" ht="15.75" thickBot="1" x14ac:dyDescent="0.3">
      <c r="A267" s="44" t="s">
        <v>831</v>
      </c>
      <c r="B267" s="48" t="s">
        <v>832</v>
      </c>
      <c r="C267" s="44" t="s">
        <v>822</v>
      </c>
      <c r="D267" s="73">
        <v>29598</v>
      </c>
      <c r="E267" s="73">
        <v>2</v>
      </c>
      <c r="F267" s="189">
        <v>80</v>
      </c>
      <c r="G267" s="189">
        <v>2</v>
      </c>
      <c r="H267" s="73">
        <v>8</v>
      </c>
      <c r="I267" s="189">
        <v>290.5</v>
      </c>
      <c r="J267" s="189">
        <v>7.2625000000000002</v>
      </c>
      <c r="K267" s="73">
        <v>11</v>
      </c>
      <c r="L267" s="189">
        <v>370.5</v>
      </c>
      <c r="M267" s="189">
        <v>9.2624999999999993</v>
      </c>
      <c r="N267" s="73">
        <v>15</v>
      </c>
      <c r="O267" s="189">
        <v>336</v>
      </c>
      <c r="P267" s="189">
        <v>8.4</v>
      </c>
      <c r="Q267" s="73">
        <v>26</v>
      </c>
      <c r="R267" s="189">
        <v>706.5</v>
      </c>
      <c r="S267" s="189">
        <v>17.662500000000001</v>
      </c>
    </row>
    <row r="268" spans="1:19" ht="15.75" thickBot="1" x14ac:dyDescent="0.3">
      <c r="A268" s="44" t="s">
        <v>1221</v>
      </c>
      <c r="B268" s="48" t="s">
        <v>1222</v>
      </c>
      <c r="C268" s="44" t="s">
        <v>822</v>
      </c>
      <c r="D268" s="73">
        <v>38144</v>
      </c>
      <c r="E268" s="73">
        <v>2</v>
      </c>
      <c r="F268" s="189">
        <v>80</v>
      </c>
      <c r="G268" s="189">
        <v>2</v>
      </c>
      <c r="H268" s="73">
        <v>0</v>
      </c>
      <c r="I268" s="189">
        <v>0</v>
      </c>
      <c r="J268" s="189">
        <v>0</v>
      </c>
      <c r="K268" s="73">
        <v>2</v>
      </c>
      <c r="L268" s="189">
        <v>80</v>
      </c>
      <c r="M268" s="189">
        <v>2</v>
      </c>
      <c r="N268" s="73">
        <v>4</v>
      </c>
      <c r="O268" s="189">
        <v>100</v>
      </c>
      <c r="P268" s="189">
        <v>2.5</v>
      </c>
      <c r="Q268" s="73">
        <v>6</v>
      </c>
      <c r="R268" s="189">
        <v>180</v>
      </c>
      <c r="S268" s="189">
        <v>4.5</v>
      </c>
    </row>
    <row r="269" spans="1:19" ht="15.75" thickBot="1" x14ac:dyDescent="0.3">
      <c r="A269" s="44" t="s">
        <v>1125</v>
      </c>
      <c r="B269" s="48" t="s">
        <v>1126</v>
      </c>
      <c r="C269" s="44" t="s">
        <v>803</v>
      </c>
      <c r="D269" s="73">
        <v>24587</v>
      </c>
      <c r="E269" s="73">
        <v>3</v>
      </c>
      <c r="F269" s="189">
        <v>83</v>
      </c>
      <c r="G269" s="189">
        <v>2.0750000000000002</v>
      </c>
      <c r="H269" s="73">
        <v>0</v>
      </c>
      <c r="I269" s="189">
        <v>0</v>
      </c>
      <c r="J269" s="189">
        <v>0</v>
      </c>
      <c r="K269" s="73">
        <v>3</v>
      </c>
      <c r="L269" s="189">
        <v>83</v>
      </c>
      <c r="M269" s="189">
        <v>2.0750000000000002</v>
      </c>
      <c r="N269" s="73">
        <v>9</v>
      </c>
      <c r="O269" s="189">
        <v>116</v>
      </c>
      <c r="P269" s="189">
        <v>2.9</v>
      </c>
      <c r="Q269" s="73">
        <v>12</v>
      </c>
      <c r="R269" s="189">
        <v>199</v>
      </c>
      <c r="S269" s="189">
        <v>4.9749999999999996</v>
      </c>
    </row>
    <row r="270" spans="1:19" ht="15.75" thickBot="1" x14ac:dyDescent="0.3">
      <c r="A270" s="44" t="s">
        <v>1061</v>
      </c>
      <c r="B270" s="48" t="s">
        <v>1062</v>
      </c>
      <c r="C270" s="44" t="s">
        <v>803</v>
      </c>
      <c r="D270" s="73">
        <v>17823</v>
      </c>
      <c r="E270" s="73">
        <v>4</v>
      </c>
      <c r="F270" s="189">
        <v>84</v>
      </c>
      <c r="G270" s="189">
        <v>2.1</v>
      </c>
      <c r="H270" s="73">
        <v>0</v>
      </c>
      <c r="I270" s="189">
        <v>0</v>
      </c>
      <c r="J270" s="189">
        <v>0</v>
      </c>
      <c r="K270" s="73">
        <v>4</v>
      </c>
      <c r="L270" s="189">
        <v>84</v>
      </c>
      <c r="M270" s="189">
        <v>2.1</v>
      </c>
      <c r="N270" s="73">
        <v>8</v>
      </c>
      <c r="O270" s="189">
        <v>134</v>
      </c>
      <c r="P270" s="189">
        <v>3.35</v>
      </c>
      <c r="Q270" s="73">
        <v>12</v>
      </c>
      <c r="R270" s="189">
        <v>218</v>
      </c>
      <c r="S270" s="189">
        <v>5.45</v>
      </c>
    </row>
    <row r="271" spans="1:19" ht="15.75" thickBot="1" x14ac:dyDescent="0.3">
      <c r="A271" s="44" t="s">
        <v>1105</v>
      </c>
      <c r="B271" s="48" t="s">
        <v>1106</v>
      </c>
      <c r="C271" s="44" t="s">
        <v>803</v>
      </c>
      <c r="D271" s="73">
        <v>15959</v>
      </c>
      <c r="E271" s="73">
        <v>3</v>
      </c>
      <c r="F271" s="189">
        <v>88</v>
      </c>
      <c r="G271" s="189">
        <v>2.2000000000000002</v>
      </c>
      <c r="H271" s="73">
        <v>4</v>
      </c>
      <c r="I271" s="189">
        <v>108</v>
      </c>
      <c r="J271" s="189">
        <v>2.7</v>
      </c>
      <c r="K271" s="73">
        <v>7</v>
      </c>
      <c r="L271" s="189">
        <v>196</v>
      </c>
      <c r="M271" s="189">
        <v>4.9000000000000004</v>
      </c>
      <c r="N271" s="73">
        <v>12</v>
      </c>
      <c r="O271" s="189">
        <v>205</v>
      </c>
      <c r="P271" s="189">
        <v>5.125</v>
      </c>
      <c r="Q271" s="73">
        <v>19</v>
      </c>
      <c r="R271" s="189">
        <v>401</v>
      </c>
      <c r="S271" s="189">
        <v>10.025</v>
      </c>
    </row>
    <row r="272" spans="1:19" ht="15.75" thickBot="1" x14ac:dyDescent="0.3">
      <c r="A272" s="44" t="s">
        <v>1285</v>
      </c>
      <c r="B272" s="48" t="s">
        <v>1286</v>
      </c>
      <c r="C272" s="44" t="s">
        <v>803</v>
      </c>
      <c r="D272" s="73">
        <v>17511</v>
      </c>
      <c r="E272" s="73">
        <v>4</v>
      </c>
      <c r="F272" s="189">
        <v>88</v>
      </c>
      <c r="G272" s="189">
        <v>2.2000000000000002</v>
      </c>
      <c r="H272" s="73">
        <v>2</v>
      </c>
      <c r="I272" s="189">
        <v>56</v>
      </c>
      <c r="J272" s="189">
        <v>1.4</v>
      </c>
      <c r="K272" s="73">
        <v>6</v>
      </c>
      <c r="L272" s="189">
        <v>144</v>
      </c>
      <c r="M272" s="189">
        <v>3.6</v>
      </c>
      <c r="N272" s="73">
        <v>4</v>
      </c>
      <c r="O272" s="189">
        <v>76</v>
      </c>
      <c r="P272" s="189">
        <v>1.9</v>
      </c>
      <c r="Q272" s="73">
        <v>10</v>
      </c>
      <c r="R272" s="189">
        <v>220</v>
      </c>
      <c r="S272" s="189">
        <v>5.5</v>
      </c>
    </row>
    <row r="273" spans="1:19" ht="15.75" thickBot="1" x14ac:dyDescent="0.3">
      <c r="A273" s="44" t="s">
        <v>1355</v>
      </c>
      <c r="B273" s="48" t="s">
        <v>1356</v>
      </c>
      <c r="C273" s="44" t="s">
        <v>803</v>
      </c>
      <c r="D273" s="73">
        <v>13579</v>
      </c>
      <c r="E273" s="73">
        <v>3</v>
      </c>
      <c r="F273" s="189">
        <v>88</v>
      </c>
      <c r="G273" s="189">
        <v>2.2000000000000002</v>
      </c>
      <c r="H273" s="73">
        <v>6</v>
      </c>
      <c r="I273" s="189">
        <v>180</v>
      </c>
      <c r="J273" s="189">
        <v>4.5</v>
      </c>
      <c r="K273" s="73">
        <v>9</v>
      </c>
      <c r="L273" s="189">
        <v>268</v>
      </c>
      <c r="M273" s="189">
        <v>6.7</v>
      </c>
      <c r="N273" s="73">
        <v>8</v>
      </c>
      <c r="O273" s="189">
        <v>124</v>
      </c>
      <c r="P273" s="189">
        <v>3.1</v>
      </c>
      <c r="Q273" s="73">
        <v>17</v>
      </c>
      <c r="R273" s="189">
        <v>392</v>
      </c>
      <c r="S273" s="189">
        <v>9.8000000000000007</v>
      </c>
    </row>
    <row r="274" spans="1:19" ht="15.75" thickBot="1" x14ac:dyDescent="0.3">
      <c r="A274" s="44" t="s">
        <v>1349</v>
      </c>
      <c r="B274" s="48" t="s">
        <v>1350</v>
      </c>
      <c r="C274" s="44" t="s">
        <v>808</v>
      </c>
      <c r="D274" s="73">
        <v>9969</v>
      </c>
      <c r="E274" s="73">
        <v>4</v>
      </c>
      <c r="F274" s="189">
        <v>90</v>
      </c>
      <c r="G274" s="189">
        <v>2.25</v>
      </c>
      <c r="H274" s="73">
        <v>2</v>
      </c>
      <c r="I274" s="189">
        <v>75</v>
      </c>
      <c r="J274" s="189">
        <v>1.875</v>
      </c>
      <c r="K274" s="73">
        <v>6</v>
      </c>
      <c r="L274" s="189">
        <v>165</v>
      </c>
      <c r="M274" s="189">
        <v>4.125</v>
      </c>
      <c r="N274" s="73">
        <v>10</v>
      </c>
      <c r="O274" s="189">
        <v>312</v>
      </c>
      <c r="P274" s="189">
        <v>7.8</v>
      </c>
      <c r="Q274" s="73">
        <v>22</v>
      </c>
      <c r="R274" s="189">
        <v>477</v>
      </c>
      <c r="S274" s="189">
        <v>11.925000000000001</v>
      </c>
    </row>
    <row r="275" spans="1:19" ht="15.75" thickBot="1" x14ac:dyDescent="0.3">
      <c r="A275" s="44" t="s">
        <v>1502</v>
      </c>
      <c r="B275" s="48" t="s">
        <v>1503</v>
      </c>
      <c r="C275" s="44" t="s">
        <v>822</v>
      </c>
      <c r="D275" s="73">
        <v>43031</v>
      </c>
      <c r="E275" s="73">
        <v>3</v>
      </c>
      <c r="F275" s="189">
        <v>95</v>
      </c>
      <c r="G275" s="189">
        <v>2.375</v>
      </c>
      <c r="H275" s="73">
        <v>16</v>
      </c>
      <c r="I275" s="189">
        <v>250</v>
      </c>
      <c r="J275" s="189">
        <v>6.25</v>
      </c>
      <c r="K275" s="73">
        <v>19</v>
      </c>
      <c r="L275" s="189">
        <v>345</v>
      </c>
      <c r="M275" s="189">
        <v>8.625</v>
      </c>
      <c r="N275" s="73">
        <v>20</v>
      </c>
      <c r="O275" s="189">
        <v>230</v>
      </c>
      <c r="P275" s="189">
        <v>5.75</v>
      </c>
      <c r="Q275" s="73">
        <v>39</v>
      </c>
      <c r="R275" s="189">
        <v>575</v>
      </c>
      <c r="S275" s="189">
        <v>14.375</v>
      </c>
    </row>
    <row r="276" spans="1:19" ht="15.75" thickBot="1" x14ac:dyDescent="0.3">
      <c r="A276" s="44" t="s">
        <v>1492</v>
      </c>
      <c r="B276" s="48" t="s">
        <v>1493</v>
      </c>
      <c r="C276" s="44" t="s">
        <v>803</v>
      </c>
      <c r="D276" s="73">
        <v>13940</v>
      </c>
      <c r="E276" s="73">
        <v>3</v>
      </c>
      <c r="F276" s="189">
        <v>100</v>
      </c>
      <c r="G276" s="189">
        <v>2.5</v>
      </c>
      <c r="H276" s="73">
        <v>4</v>
      </c>
      <c r="I276" s="189">
        <v>129</v>
      </c>
      <c r="J276" s="189">
        <v>3.2250000000000001</v>
      </c>
      <c r="K276" s="73">
        <v>7</v>
      </c>
      <c r="L276" s="189">
        <v>229</v>
      </c>
      <c r="M276" s="189">
        <v>5.7249999999999996</v>
      </c>
      <c r="N276" s="73">
        <v>9</v>
      </c>
      <c r="O276" s="189">
        <v>125</v>
      </c>
      <c r="P276" s="189">
        <v>3.125</v>
      </c>
      <c r="Q276" s="73">
        <v>16</v>
      </c>
      <c r="R276" s="189">
        <v>354</v>
      </c>
      <c r="S276" s="189">
        <v>8.85</v>
      </c>
    </row>
    <row r="277" spans="1:19" ht="15.75" thickBot="1" x14ac:dyDescent="0.3">
      <c r="A277" s="44" t="s">
        <v>1560</v>
      </c>
      <c r="B277" s="48" t="s">
        <v>1561</v>
      </c>
      <c r="C277" s="44" t="s">
        <v>798</v>
      </c>
      <c r="D277" s="73">
        <v>6999</v>
      </c>
      <c r="E277" s="73">
        <v>5</v>
      </c>
      <c r="F277" s="189">
        <v>101</v>
      </c>
      <c r="G277" s="189">
        <v>2.5249999999999999</v>
      </c>
      <c r="H277" s="73">
        <v>0</v>
      </c>
      <c r="I277" s="189">
        <v>0</v>
      </c>
      <c r="J277" s="189">
        <v>0</v>
      </c>
      <c r="K277" s="73">
        <v>5</v>
      </c>
      <c r="L277" s="189">
        <v>101</v>
      </c>
      <c r="M277" s="189">
        <v>2.5249999999999999</v>
      </c>
      <c r="N277" s="73">
        <v>4</v>
      </c>
      <c r="O277" s="189">
        <v>63.5</v>
      </c>
      <c r="P277" s="189">
        <v>1.5874999999999999</v>
      </c>
      <c r="Q277" s="73">
        <v>9</v>
      </c>
      <c r="R277" s="189">
        <v>164.5</v>
      </c>
      <c r="S277" s="189">
        <v>4.1124999999999998</v>
      </c>
    </row>
    <row r="278" spans="1:19" ht="15.75" thickBot="1" x14ac:dyDescent="0.3">
      <c r="A278" s="44" t="s">
        <v>1269</v>
      </c>
      <c r="B278" s="48" t="s">
        <v>1270</v>
      </c>
      <c r="C278" s="44" t="s">
        <v>803</v>
      </c>
      <c r="D278" s="73">
        <v>18393</v>
      </c>
      <c r="E278" s="73">
        <v>3</v>
      </c>
      <c r="F278" s="189">
        <v>104</v>
      </c>
      <c r="G278" s="189">
        <v>2.6</v>
      </c>
      <c r="H278" s="73">
        <v>10</v>
      </c>
      <c r="I278" s="189">
        <v>287</v>
      </c>
      <c r="J278" s="189">
        <v>7.1749999999999998</v>
      </c>
      <c r="K278" s="73">
        <v>13</v>
      </c>
      <c r="L278" s="189">
        <v>391</v>
      </c>
      <c r="M278" s="189">
        <v>9.7750000000000004</v>
      </c>
      <c r="N278" s="73">
        <v>8</v>
      </c>
      <c r="O278" s="189">
        <v>92</v>
      </c>
      <c r="P278" s="189">
        <v>2.2999999999999998</v>
      </c>
      <c r="Q278" s="73">
        <v>21</v>
      </c>
      <c r="R278" s="189">
        <v>483</v>
      </c>
      <c r="S278" s="189">
        <v>12.074999999999999</v>
      </c>
    </row>
    <row r="279" spans="1:19" ht="15.75" thickBot="1" x14ac:dyDescent="0.3">
      <c r="A279" s="44" t="s">
        <v>1163</v>
      </c>
      <c r="B279" s="48" t="s">
        <v>1164</v>
      </c>
      <c r="C279" s="44" t="s">
        <v>808</v>
      </c>
      <c r="D279" s="73">
        <v>8764</v>
      </c>
      <c r="E279" s="73">
        <v>6</v>
      </c>
      <c r="F279" s="189">
        <v>108</v>
      </c>
      <c r="G279" s="189">
        <v>2.7</v>
      </c>
      <c r="H279" s="73">
        <v>0</v>
      </c>
      <c r="I279" s="189">
        <v>0</v>
      </c>
      <c r="J279" s="189">
        <v>0</v>
      </c>
      <c r="K279" s="73">
        <v>6</v>
      </c>
      <c r="L279" s="189">
        <v>108</v>
      </c>
      <c r="M279" s="189">
        <v>2.7</v>
      </c>
      <c r="N279" s="73">
        <v>10</v>
      </c>
      <c r="O279" s="189">
        <v>224</v>
      </c>
      <c r="P279" s="189">
        <v>5.6</v>
      </c>
      <c r="Q279" s="73">
        <v>14</v>
      </c>
      <c r="R279" s="189">
        <v>332</v>
      </c>
      <c r="S279" s="189">
        <v>8.3000000000000007</v>
      </c>
    </row>
    <row r="280" spans="1:19" ht="15.75" thickBot="1" x14ac:dyDescent="0.3">
      <c r="A280" s="44" t="s">
        <v>1315</v>
      </c>
      <c r="B280" s="48" t="s">
        <v>1316</v>
      </c>
      <c r="C280" s="44" t="s">
        <v>803</v>
      </c>
      <c r="D280" s="73">
        <v>25686</v>
      </c>
      <c r="E280" s="73">
        <v>3</v>
      </c>
      <c r="F280" s="189">
        <v>112.5</v>
      </c>
      <c r="G280" s="189">
        <v>2.8125</v>
      </c>
      <c r="H280" s="73">
        <v>5</v>
      </c>
      <c r="I280" s="189">
        <v>187.5</v>
      </c>
      <c r="J280" s="189">
        <v>4.6875</v>
      </c>
      <c r="K280" s="73">
        <v>8</v>
      </c>
      <c r="L280" s="189">
        <v>300</v>
      </c>
      <c r="M280" s="189">
        <v>7.5</v>
      </c>
      <c r="N280" s="73">
        <v>20</v>
      </c>
      <c r="O280" s="189">
        <v>420</v>
      </c>
      <c r="P280" s="189">
        <v>10.5</v>
      </c>
      <c r="Q280" s="73">
        <v>28</v>
      </c>
      <c r="R280" s="189">
        <v>720</v>
      </c>
      <c r="S280" s="189">
        <v>18</v>
      </c>
    </row>
    <row r="281" spans="1:19" ht="15.75" thickBot="1" x14ac:dyDescent="0.3">
      <c r="A281" s="44" t="s">
        <v>871</v>
      </c>
      <c r="B281" s="48" t="s">
        <v>872</v>
      </c>
      <c r="C281" s="44" t="s">
        <v>803</v>
      </c>
      <c r="D281" s="73">
        <v>24787</v>
      </c>
      <c r="E281" s="73">
        <v>3</v>
      </c>
      <c r="F281" s="189">
        <v>115</v>
      </c>
      <c r="G281" s="189">
        <v>2.875</v>
      </c>
      <c r="H281" s="73">
        <v>0</v>
      </c>
      <c r="I281" s="189">
        <v>0</v>
      </c>
      <c r="J281" s="189">
        <v>0</v>
      </c>
      <c r="K281" s="73">
        <v>3</v>
      </c>
      <c r="L281" s="189">
        <v>115</v>
      </c>
      <c r="M281" s="189">
        <v>2.875</v>
      </c>
      <c r="N281" s="73">
        <v>13</v>
      </c>
      <c r="O281" s="189">
        <v>269</v>
      </c>
      <c r="P281" s="189">
        <v>6.7249999999999996</v>
      </c>
      <c r="Q281" s="73">
        <v>16</v>
      </c>
      <c r="R281" s="189">
        <v>384</v>
      </c>
      <c r="S281" s="189">
        <v>9.6</v>
      </c>
    </row>
    <row r="282" spans="1:19" ht="15.75" thickBot="1" x14ac:dyDescent="0.3">
      <c r="A282" s="44" t="s">
        <v>1247</v>
      </c>
      <c r="B282" s="48" t="s">
        <v>1248</v>
      </c>
      <c r="C282" s="44" t="s">
        <v>822</v>
      </c>
      <c r="D282" s="73">
        <v>29694</v>
      </c>
      <c r="E282" s="73">
        <v>4</v>
      </c>
      <c r="F282" s="189">
        <v>115</v>
      </c>
      <c r="G282" s="189">
        <v>2.875</v>
      </c>
      <c r="H282" s="73">
        <v>1</v>
      </c>
      <c r="I282" s="189">
        <v>20</v>
      </c>
      <c r="J282" s="189">
        <v>0.5</v>
      </c>
      <c r="K282" s="73">
        <v>5</v>
      </c>
      <c r="L282" s="189">
        <v>135</v>
      </c>
      <c r="M282" s="189">
        <v>3.375</v>
      </c>
      <c r="N282" s="73">
        <v>8</v>
      </c>
      <c r="O282" s="189">
        <v>155.5</v>
      </c>
      <c r="P282" s="189">
        <v>3.8875000000000002</v>
      </c>
      <c r="Q282" s="73">
        <v>13</v>
      </c>
      <c r="R282" s="189">
        <v>290.5</v>
      </c>
      <c r="S282" s="189">
        <v>7.2625000000000002</v>
      </c>
    </row>
    <row r="283" spans="1:19" ht="15.75" thickBot="1" x14ac:dyDescent="0.3">
      <c r="A283" s="44" t="s">
        <v>1217</v>
      </c>
      <c r="B283" s="48" t="s">
        <v>1218</v>
      </c>
      <c r="C283" s="44" t="s">
        <v>808</v>
      </c>
      <c r="D283" s="73">
        <v>10470</v>
      </c>
      <c r="E283" s="73">
        <v>3</v>
      </c>
      <c r="F283" s="189">
        <v>117</v>
      </c>
      <c r="G283" s="189">
        <v>2.9249999999999998</v>
      </c>
      <c r="H283" s="73">
        <v>1</v>
      </c>
      <c r="I283" s="189">
        <v>8</v>
      </c>
      <c r="J283" s="189">
        <v>0.2</v>
      </c>
      <c r="K283" s="73">
        <v>4</v>
      </c>
      <c r="L283" s="189">
        <v>125</v>
      </c>
      <c r="M283" s="189">
        <v>3.125</v>
      </c>
      <c r="N283" s="73">
        <v>5</v>
      </c>
      <c r="O283" s="189">
        <v>106</v>
      </c>
      <c r="P283" s="189">
        <v>2.65</v>
      </c>
      <c r="Q283" s="73">
        <v>10</v>
      </c>
      <c r="R283" s="189">
        <v>231</v>
      </c>
      <c r="S283" s="189">
        <v>5.7750000000000004</v>
      </c>
    </row>
    <row r="284" spans="1:19" ht="15.75" thickBot="1" x14ac:dyDescent="0.3">
      <c r="A284" s="44" t="s">
        <v>1490</v>
      </c>
      <c r="B284" s="48" t="s">
        <v>1491</v>
      </c>
      <c r="C284" s="44" t="s">
        <v>803</v>
      </c>
      <c r="D284" s="73">
        <v>18260</v>
      </c>
      <c r="E284" s="73">
        <v>5</v>
      </c>
      <c r="F284" s="189">
        <v>119.88</v>
      </c>
      <c r="G284" s="189">
        <v>2.9969999999999999</v>
      </c>
      <c r="H284" s="73">
        <v>8</v>
      </c>
      <c r="I284" s="189">
        <v>168.16</v>
      </c>
      <c r="J284" s="189">
        <v>4.2039999999999997</v>
      </c>
      <c r="K284" s="73">
        <v>13</v>
      </c>
      <c r="L284" s="189">
        <v>288.04000000000002</v>
      </c>
      <c r="M284" s="189">
        <v>7.2009999999999996</v>
      </c>
      <c r="N284" s="73">
        <v>27</v>
      </c>
      <c r="O284" s="189">
        <v>416.35</v>
      </c>
      <c r="P284" s="189">
        <v>10.40875</v>
      </c>
      <c r="Q284" s="73">
        <v>41</v>
      </c>
      <c r="R284" s="189">
        <v>704.39</v>
      </c>
      <c r="S284" s="189">
        <v>17.609749999999998</v>
      </c>
    </row>
    <row r="285" spans="1:19" ht="15.75" thickBot="1" x14ac:dyDescent="0.3">
      <c r="A285" s="44" t="s">
        <v>825</v>
      </c>
      <c r="B285" s="48" t="s">
        <v>826</v>
      </c>
      <c r="C285" s="44" t="s">
        <v>808</v>
      </c>
      <c r="D285" s="73">
        <v>11902</v>
      </c>
      <c r="E285" s="73">
        <v>3</v>
      </c>
      <c r="F285" s="189">
        <v>120</v>
      </c>
      <c r="G285" s="189">
        <v>3</v>
      </c>
      <c r="H285" s="73">
        <v>1</v>
      </c>
      <c r="I285" s="189">
        <v>40</v>
      </c>
      <c r="J285" s="189">
        <v>1</v>
      </c>
      <c r="K285" s="73">
        <v>4</v>
      </c>
      <c r="L285" s="189">
        <v>160</v>
      </c>
      <c r="M285" s="189">
        <v>4</v>
      </c>
      <c r="N285" s="73">
        <v>4</v>
      </c>
      <c r="O285" s="189">
        <v>45</v>
      </c>
      <c r="P285" s="189">
        <v>1.125</v>
      </c>
      <c r="Q285" s="73">
        <v>7</v>
      </c>
      <c r="R285" s="189">
        <v>205</v>
      </c>
      <c r="S285" s="189">
        <v>5.125</v>
      </c>
    </row>
    <row r="286" spans="1:19" ht="15.75" thickBot="1" x14ac:dyDescent="0.3">
      <c r="A286" s="44" t="s">
        <v>801</v>
      </c>
      <c r="B286" s="48" t="s">
        <v>802</v>
      </c>
      <c r="C286" s="44" t="s">
        <v>803</v>
      </c>
      <c r="D286" s="73">
        <v>21133</v>
      </c>
      <c r="E286" s="73">
        <v>3</v>
      </c>
      <c r="F286" s="189">
        <v>120</v>
      </c>
      <c r="G286" s="189">
        <v>3</v>
      </c>
      <c r="H286" s="73">
        <v>0</v>
      </c>
      <c r="I286" s="189">
        <v>0</v>
      </c>
      <c r="J286" s="189">
        <v>0</v>
      </c>
      <c r="K286" s="73">
        <v>3</v>
      </c>
      <c r="L286" s="189">
        <v>120</v>
      </c>
      <c r="M286" s="189">
        <v>3</v>
      </c>
      <c r="N286" s="73">
        <v>10</v>
      </c>
      <c r="O286" s="189">
        <v>256</v>
      </c>
      <c r="P286" s="189">
        <v>6.4</v>
      </c>
      <c r="Q286" s="73">
        <v>13</v>
      </c>
      <c r="R286" s="189">
        <v>376</v>
      </c>
      <c r="S286" s="189">
        <v>9.4</v>
      </c>
    </row>
    <row r="287" spans="1:19" ht="15.75" thickBot="1" x14ac:dyDescent="0.3">
      <c r="A287" s="44" t="s">
        <v>818</v>
      </c>
      <c r="B287" s="48" t="s">
        <v>819</v>
      </c>
      <c r="C287" s="44" t="s">
        <v>803</v>
      </c>
      <c r="D287" s="73">
        <v>17401</v>
      </c>
      <c r="E287" s="73">
        <v>3</v>
      </c>
      <c r="F287" s="189">
        <v>120</v>
      </c>
      <c r="G287" s="189">
        <v>3</v>
      </c>
      <c r="H287" s="73">
        <v>2</v>
      </c>
      <c r="I287" s="189">
        <v>80</v>
      </c>
      <c r="J287" s="189">
        <v>2</v>
      </c>
      <c r="K287" s="73">
        <v>5</v>
      </c>
      <c r="L287" s="189">
        <v>200</v>
      </c>
      <c r="M287" s="189">
        <v>5</v>
      </c>
      <c r="N287" s="73">
        <v>10</v>
      </c>
      <c r="O287" s="189">
        <v>163</v>
      </c>
      <c r="P287" s="189">
        <v>4.0750000000000002</v>
      </c>
      <c r="Q287" s="73">
        <v>15</v>
      </c>
      <c r="R287" s="189">
        <v>363</v>
      </c>
      <c r="S287" s="189">
        <v>9.0749999999999993</v>
      </c>
    </row>
    <row r="288" spans="1:19" ht="15.75" thickBot="1" x14ac:dyDescent="0.3">
      <c r="A288" s="44" t="s">
        <v>949</v>
      </c>
      <c r="B288" s="48" t="s">
        <v>950</v>
      </c>
      <c r="C288" s="44" t="s">
        <v>803</v>
      </c>
      <c r="D288" s="73">
        <v>13894</v>
      </c>
      <c r="E288" s="73">
        <v>3</v>
      </c>
      <c r="F288" s="189">
        <v>120</v>
      </c>
      <c r="G288" s="189">
        <v>3</v>
      </c>
      <c r="H288" s="73">
        <v>0</v>
      </c>
      <c r="I288" s="190">
        <v>0</v>
      </c>
      <c r="J288" s="190">
        <v>0</v>
      </c>
      <c r="K288" s="73">
        <v>3</v>
      </c>
      <c r="L288" s="189">
        <v>120</v>
      </c>
      <c r="M288" s="189">
        <v>3</v>
      </c>
      <c r="N288" s="73">
        <v>12</v>
      </c>
      <c r="O288" s="189">
        <v>244</v>
      </c>
      <c r="P288" s="189">
        <v>6.1</v>
      </c>
      <c r="Q288" s="73">
        <v>15</v>
      </c>
      <c r="R288" s="189">
        <v>364</v>
      </c>
      <c r="S288" s="189">
        <v>9.1</v>
      </c>
    </row>
    <row r="289" spans="1:19" ht="15.75" thickBot="1" x14ac:dyDescent="0.3">
      <c r="A289" s="44" t="s">
        <v>1059</v>
      </c>
      <c r="B289" s="48" t="s">
        <v>1060</v>
      </c>
      <c r="C289" s="44" t="s">
        <v>803</v>
      </c>
      <c r="D289" s="73">
        <v>17626</v>
      </c>
      <c r="E289" s="73">
        <v>3</v>
      </c>
      <c r="F289" s="189">
        <v>120</v>
      </c>
      <c r="G289" s="189">
        <v>3</v>
      </c>
      <c r="H289" s="73">
        <v>0</v>
      </c>
      <c r="I289" s="189">
        <v>0</v>
      </c>
      <c r="J289" s="189">
        <v>0</v>
      </c>
      <c r="K289" s="73">
        <v>3</v>
      </c>
      <c r="L289" s="189">
        <v>120</v>
      </c>
      <c r="M289" s="189">
        <v>3</v>
      </c>
      <c r="N289" s="73">
        <v>15</v>
      </c>
      <c r="O289" s="189">
        <v>200</v>
      </c>
      <c r="P289" s="189">
        <v>5</v>
      </c>
      <c r="Q289" s="73">
        <v>18</v>
      </c>
      <c r="R289" s="189">
        <v>320</v>
      </c>
      <c r="S289" s="189">
        <v>8</v>
      </c>
    </row>
    <row r="290" spans="1:19" ht="15.75" thickBot="1" x14ac:dyDescent="0.3">
      <c r="A290" s="44" t="s">
        <v>1235</v>
      </c>
      <c r="B290" s="48" t="s">
        <v>1236</v>
      </c>
      <c r="C290" s="44" t="s">
        <v>803</v>
      </c>
      <c r="D290" s="73">
        <v>14545</v>
      </c>
      <c r="E290" s="73">
        <v>3</v>
      </c>
      <c r="F290" s="189">
        <v>120</v>
      </c>
      <c r="G290" s="189">
        <v>3</v>
      </c>
      <c r="H290" s="73">
        <v>0</v>
      </c>
      <c r="I290" s="189">
        <v>0</v>
      </c>
      <c r="J290" s="189">
        <v>0</v>
      </c>
      <c r="K290" s="73">
        <v>3</v>
      </c>
      <c r="L290" s="189">
        <v>120</v>
      </c>
      <c r="M290" s="189">
        <v>3</v>
      </c>
      <c r="N290" s="73">
        <v>11</v>
      </c>
      <c r="O290" s="189">
        <v>220</v>
      </c>
      <c r="P290" s="189">
        <v>5.5</v>
      </c>
      <c r="Q290" s="73">
        <v>14</v>
      </c>
      <c r="R290" s="189">
        <v>340</v>
      </c>
      <c r="S290" s="189">
        <v>8.5</v>
      </c>
    </row>
    <row r="291" spans="1:19" ht="15.75" thickBot="1" x14ac:dyDescent="0.3">
      <c r="A291" s="44" t="s">
        <v>1516</v>
      </c>
      <c r="B291" s="48" t="s">
        <v>1517</v>
      </c>
      <c r="C291" s="44" t="s">
        <v>803</v>
      </c>
      <c r="D291" s="73">
        <v>18134</v>
      </c>
      <c r="E291" s="73">
        <v>3</v>
      </c>
      <c r="F291" s="189">
        <v>120</v>
      </c>
      <c r="G291" s="189">
        <v>3</v>
      </c>
      <c r="H291" s="73">
        <v>3</v>
      </c>
      <c r="I291" s="189">
        <v>120</v>
      </c>
      <c r="J291" s="189">
        <v>3</v>
      </c>
      <c r="K291" s="73">
        <v>3</v>
      </c>
      <c r="L291" s="189">
        <v>240</v>
      </c>
      <c r="M291" s="189">
        <v>6</v>
      </c>
      <c r="N291" s="73">
        <v>7</v>
      </c>
      <c r="O291" s="189">
        <v>195</v>
      </c>
      <c r="P291" s="189">
        <v>4.875</v>
      </c>
      <c r="Q291" s="73">
        <v>13</v>
      </c>
      <c r="R291" s="189">
        <v>435</v>
      </c>
      <c r="S291" s="189">
        <v>10.875</v>
      </c>
    </row>
    <row r="292" spans="1:19" ht="15.75" thickBot="1" x14ac:dyDescent="0.3">
      <c r="A292" s="44" t="s">
        <v>1093</v>
      </c>
      <c r="B292" s="48" t="s">
        <v>1094</v>
      </c>
      <c r="C292" s="44" t="s">
        <v>822</v>
      </c>
      <c r="D292" s="73">
        <v>46985</v>
      </c>
      <c r="E292" s="73">
        <v>3</v>
      </c>
      <c r="F292" s="189">
        <v>120</v>
      </c>
      <c r="G292" s="189">
        <v>3</v>
      </c>
      <c r="H292" s="73">
        <v>0</v>
      </c>
      <c r="I292" s="189">
        <v>0</v>
      </c>
      <c r="J292" s="189">
        <v>0</v>
      </c>
      <c r="K292" s="73">
        <v>3</v>
      </c>
      <c r="L292" s="189">
        <v>120</v>
      </c>
      <c r="M292" s="189">
        <v>3</v>
      </c>
      <c r="N292" s="73">
        <v>17</v>
      </c>
      <c r="O292" s="189">
        <v>505</v>
      </c>
      <c r="P292" s="189">
        <v>12.625</v>
      </c>
      <c r="Q292" s="73">
        <v>20</v>
      </c>
      <c r="R292" s="189">
        <v>625</v>
      </c>
      <c r="S292" s="189">
        <v>15.625</v>
      </c>
    </row>
    <row r="293" spans="1:19" ht="15.75" thickBot="1" x14ac:dyDescent="0.3">
      <c r="A293" s="44" t="s">
        <v>1171</v>
      </c>
      <c r="B293" s="48" t="s">
        <v>1172</v>
      </c>
      <c r="C293" s="44" t="s">
        <v>822</v>
      </c>
      <c r="D293" s="73">
        <v>41786</v>
      </c>
      <c r="E293" s="73">
        <v>3</v>
      </c>
      <c r="F293" s="189">
        <v>120</v>
      </c>
      <c r="G293" s="189">
        <v>3</v>
      </c>
      <c r="H293" s="73">
        <v>1</v>
      </c>
      <c r="I293" s="189">
        <v>40</v>
      </c>
      <c r="J293" s="189">
        <v>1</v>
      </c>
      <c r="K293" s="73">
        <v>4</v>
      </c>
      <c r="L293" s="189">
        <v>160</v>
      </c>
      <c r="M293" s="189">
        <v>4</v>
      </c>
      <c r="N293" s="73">
        <v>5</v>
      </c>
      <c r="O293" s="189">
        <v>160</v>
      </c>
      <c r="P293" s="189">
        <v>4</v>
      </c>
      <c r="Q293" s="73">
        <v>9</v>
      </c>
      <c r="R293" s="189">
        <v>320</v>
      </c>
      <c r="S293" s="189">
        <v>8</v>
      </c>
    </row>
    <row r="294" spans="1:19" ht="15.75" thickBot="1" x14ac:dyDescent="0.3">
      <c r="A294" s="44" t="s">
        <v>1427</v>
      </c>
      <c r="B294" s="48" t="s">
        <v>1428</v>
      </c>
      <c r="C294" s="44" t="s">
        <v>822</v>
      </c>
      <c r="D294" s="73">
        <v>39868</v>
      </c>
      <c r="E294" s="73">
        <v>3</v>
      </c>
      <c r="F294" s="189">
        <v>120</v>
      </c>
      <c r="G294" s="189">
        <v>3</v>
      </c>
      <c r="H294" s="73">
        <v>0</v>
      </c>
      <c r="I294" s="189">
        <v>0</v>
      </c>
      <c r="J294" s="189">
        <v>0</v>
      </c>
      <c r="K294" s="73">
        <v>3</v>
      </c>
      <c r="L294" s="189">
        <v>120</v>
      </c>
      <c r="M294" s="189">
        <v>3</v>
      </c>
      <c r="N294" s="73">
        <v>7</v>
      </c>
      <c r="O294" s="189">
        <v>166</v>
      </c>
      <c r="P294" s="189">
        <v>4.1500000000000004</v>
      </c>
      <c r="Q294" s="73">
        <v>10</v>
      </c>
      <c r="R294" s="189">
        <v>286</v>
      </c>
      <c r="S294" s="189">
        <v>7.15</v>
      </c>
    </row>
    <row r="295" spans="1:19" ht="15.75" thickBot="1" x14ac:dyDescent="0.3">
      <c r="A295" s="44" t="s">
        <v>1484</v>
      </c>
      <c r="B295" s="48" t="s">
        <v>1485</v>
      </c>
      <c r="C295" s="44" t="s">
        <v>822</v>
      </c>
      <c r="D295" s="73">
        <v>30047</v>
      </c>
      <c r="E295" s="73">
        <v>3</v>
      </c>
      <c r="F295" s="189">
        <v>120</v>
      </c>
      <c r="G295" s="189">
        <v>3</v>
      </c>
      <c r="H295" s="73">
        <v>0</v>
      </c>
      <c r="I295" s="189">
        <v>0</v>
      </c>
      <c r="J295" s="189">
        <v>0</v>
      </c>
      <c r="K295" s="73">
        <v>3</v>
      </c>
      <c r="L295" s="189">
        <v>120</v>
      </c>
      <c r="M295" s="189">
        <v>3</v>
      </c>
      <c r="N295" s="73">
        <v>6</v>
      </c>
      <c r="O295" s="189">
        <v>149</v>
      </c>
      <c r="P295" s="189">
        <v>3.7250000000000001</v>
      </c>
      <c r="Q295" s="73">
        <v>9</v>
      </c>
      <c r="R295" s="189">
        <v>269</v>
      </c>
      <c r="S295" s="189">
        <v>6.7249999999999996</v>
      </c>
    </row>
    <row r="296" spans="1:19" ht="15.75" thickBot="1" x14ac:dyDescent="0.3">
      <c r="A296" s="44" t="s">
        <v>1215</v>
      </c>
      <c r="B296" s="48" t="s">
        <v>1216</v>
      </c>
      <c r="C296" s="44" t="s">
        <v>822</v>
      </c>
      <c r="D296" s="73">
        <v>40771</v>
      </c>
      <c r="E296" s="73">
        <v>4</v>
      </c>
      <c r="F296" s="189">
        <v>121</v>
      </c>
      <c r="G296" s="189">
        <v>3.0249999999999999</v>
      </c>
      <c r="H296" s="73">
        <v>14</v>
      </c>
      <c r="I296" s="189">
        <v>290</v>
      </c>
      <c r="J296" s="189">
        <v>7.25</v>
      </c>
      <c r="K296" s="73">
        <v>18</v>
      </c>
      <c r="L296" s="189">
        <v>450</v>
      </c>
      <c r="M296" s="189">
        <v>11.25</v>
      </c>
      <c r="N296" s="73">
        <v>3</v>
      </c>
      <c r="O296" s="189">
        <v>36</v>
      </c>
      <c r="P296" s="189">
        <v>0.9</v>
      </c>
      <c r="Q296" s="73">
        <v>21</v>
      </c>
      <c r="R296" s="189">
        <v>486</v>
      </c>
      <c r="S296" s="189">
        <v>12.15</v>
      </c>
    </row>
    <row r="297" spans="1:19" ht="15.75" thickBot="1" x14ac:dyDescent="0.3">
      <c r="A297" s="44" t="s">
        <v>1073</v>
      </c>
      <c r="B297" s="48" t="s">
        <v>1074</v>
      </c>
      <c r="C297" s="44" t="s">
        <v>803</v>
      </c>
      <c r="D297" s="73">
        <v>14480</v>
      </c>
      <c r="E297" s="73">
        <v>9</v>
      </c>
      <c r="F297" s="189">
        <v>125</v>
      </c>
      <c r="G297" s="189">
        <v>3.125</v>
      </c>
      <c r="H297" s="73">
        <v>0</v>
      </c>
      <c r="I297" s="189">
        <v>0</v>
      </c>
      <c r="J297" s="189">
        <v>0</v>
      </c>
      <c r="K297" s="73">
        <v>9</v>
      </c>
      <c r="L297" s="189">
        <v>125</v>
      </c>
      <c r="M297" s="189">
        <v>3.125</v>
      </c>
      <c r="N297" s="73">
        <v>21</v>
      </c>
      <c r="O297" s="189">
        <v>170</v>
      </c>
      <c r="P297" s="189">
        <v>4.25</v>
      </c>
      <c r="Q297" s="73">
        <v>30</v>
      </c>
      <c r="R297" s="189">
        <v>295</v>
      </c>
      <c r="S297" s="189">
        <v>7.375</v>
      </c>
    </row>
    <row r="298" spans="1:19" ht="15.75" thickBot="1" x14ac:dyDescent="0.3">
      <c r="A298" s="44" t="s">
        <v>1133</v>
      </c>
      <c r="B298" s="48" t="s">
        <v>1134</v>
      </c>
      <c r="C298" s="44" t="s">
        <v>803</v>
      </c>
      <c r="D298" s="73">
        <v>16422</v>
      </c>
      <c r="E298" s="73">
        <v>4</v>
      </c>
      <c r="F298" s="189">
        <v>126</v>
      </c>
      <c r="G298" s="189">
        <v>3.15</v>
      </c>
      <c r="H298" s="73">
        <v>0</v>
      </c>
      <c r="I298" s="189">
        <v>0</v>
      </c>
      <c r="J298" s="189">
        <v>0</v>
      </c>
      <c r="K298" s="73">
        <v>4</v>
      </c>
      <c r="L298" s="189">
        <v>126</v>
      </c>
      <c r="M298" s="189">
        <v>3.15</v>
      </c>
      <c r="N298" s="73">
        <v>11</v>
      </c>
      <c r="O298" s="189">
        <v>174</v>
      </c>
      <c r="P298" s="189">
        <v>4.3499999999999996</v>
      </c>
      <c r="Q298" s="73">
        <v>15</v>
      </c>
      <c r="R298" s="189">
        <v>300</v>
      </c>
      <c r="S298" s="189">
        <v>7.5</v>
      </c>
    </row>
    <row r="299" spans="1:19" ht="15.75" thickBot="1" x14ac:dyDescent="0.3">
      <c r="A299" s="44" t="s">
        <v>1572</v>
      </c>
      <c r="B299" s="48" t="s">
        <v>1573</v>
      </c>
      <c r="C299" s="44" t="s">
        <v>803</v>
      </c>
      <c r="D299" s="73">
        <v>17593</v>
      </c>
      <c r="E299" s="73">
        <v>8</v>
      </c>
      <c r="F299" s="189">
        <v>129.5</v>
      </c>
      <c r="G299" s="189">
        <v>3.2374999999999998</v>
      </c>
      <c r="H299" s="73">
        <v>0</v>
      </c>
      <c r="I299" s="189">
        <v>0</v>
      </c>
      <c r="J299" s="189">
        <v>0</v>
      </c>
      <c r="K299" s="73">
        <v>8</v>
      </c>
      <c r="L299" s="189">
        <v>129.5</v>
      </c>
      <c r="M299" s="189">
        <v>3.2374999999999998</v>
      </c>
      <c r="N299" s="73">
        <v>12</v>
      </c>
      <c r="O299" s="189">
        <v>176</v>
      </c>
      <c r="P299" s="189">
        <v>4.4000000000000004</v>
      </c>
      <c r="Q299" s="73">
        <v>20</v>
      </c>
      <c r="R299" s="189">
        <v>305.5</v>
      </c>
      <c r="S299" s="189">
        <v>7.6375000000000002</v>
      </c>
    </row>
    <row r="300" spans="1:19" ht="15.75" thickBot="1" x14ac:dyDescent="0.3">
      <c r="A300" s="44" t="s">
        <v>877</v>
      </c>
      <c r="B300" s="48" t="s">
        <v>878</v>
      </c>
      <c r="C300" s="44" t="s">
        <v>803</v>
      </c>
      <c r="D300" s="73">
        <v>14970</v>
      </c>
      <c r="E300" s="73">
        <v>5</v>
      </c>
      <c r="F300" s="189">
        <v>136</v>
      </c>
      <c r="G300" s="189">
        <v>3.4</v>
      </c>
      <c r="H300" s="73">
        <v>0</v>
      </c>
      <c r="I300" s="189">
        <v>0</v>
      </c>
      <c r="J300" s="189">
        <v>0</v>
      </c>
      <c r="K300" s="73">
        <v>5</v>
      </c>
      <c r="L300" s="189">
        <v>136</v>
      </c>
      <c r="M300" s="189">
        <v>3.4</v>
      </c>
      <c r="N300" s="73">
        <v>12</v>
      </c>
      <c r="O300" s="189">
        <v>238</v>
      </c>
      <c r="P300" s="189">
        <v>5.95</v>
      </c>
      <c r="Q300" s="73">
        <v>17</v>
      </c>
      <c r="R300" s="189">
        <v>374</v>
      </c>
      <c r="S300" s="189">
        <v>9.35</v>
      </c>
    </row>
    <row r="301" spans="1:19" ht="15.75" thickBot="1" x14ac:dyDescent="0.3">
      <c r="A301" s="44" t="s">
        <v>1077</v>
      </c>
      <c r="B301" s="48" t="s">
        <v>1078</v>
      </c>
      <c r="C301" s="44" t="s">
        <v>803</v>
      </c>
      <c r="D301" s="73">
        <v>13326</v>
      </c>
      <c r="E301" s="73">
        <v>4</v>
      </c>
      <c r="F301" s="189">
        <v>148</v>
      </c>
      <c r="G301" s="189">
        <v>3.7</v>
      </c>
      <c r="H301" s="73">
        <v>0</v>
      </c>
      <c r="I301" s="189">
        <v>0</v>
      </c>
      <c r="J301" s="189">
        <v>0</v>
      </c>
      <c r="K301" s="73">
        <v>4</v>
      </c>
      <c r="L301" s="189">
        <v>148</v>
      </c>
      <c r="M301" s="189">
        <v>3.7</v>
      </c>
      <c r="N301" s="73">
        <v>10</v>
      </c>
      <c r="O301" s="189">
        <v>230</v>
      </c>
      <c r="P301" s="189">
        <v>5.75</v>
      </c>
      <c r="Q301" s="73">
        <v>14</v>
      </c>
      <c r="R301" s="189">
        <v>378</v>
      </c>
      <c r="S301" s="189">
        <v>9.4499999999999993</v>
      </c>
    </row>
    <row r="302" spans="1:19" ht="15.75" thickBot="1" x14ac:dyDescent="0.3">
      <c r="A302" s="44" t="s">
        <v>1121</v>
      </c>
      <c r="B302" s="48" t="s">
        <v>1122</v>
      </c>
      <c r="C302" s="44" t="s">
        <v>803</v>
      </c>
      <c r="D302" s="73">
        <v>14236</v>
      </c>
      <c r="E302" s="73">
        <v>7</v>
      </c>
      <c r="F302" s="189">
        <v>152</v>
      </c>
      <c r="G302" s="189">
        <v>3.8</v>
      </c>
      <c r="H302" s="73">
        <v>0</v>
      </c>
      <c r="I302" s="189">
        <v>0</v>
      </c>
      <c r="J302" s="189">
        <v>0</v>
      </c>
      <c r="K302" s="73">
        <v>7</v>
      </c>
      <c r="L302" s="189">
        <v>152</v>
      </c>
      <c r="M302" s="189">
        <v>3.8</v>
      </c>
      <c r="N302" s="73">
        <v>8</v>
      </c>
      <c r="O302" s="189">
        <v>131</v>
      </c>
      <c r="P302" s="189">
        <v>3.2749999999999999</v>
      </c>
      <c r="Q302" s="73">
        <v>15</v>
      </c>
      <c r="R302" s="189">
        <v>283</v>
      </c>
      <c r="S302" s="189">
        <v>7.0750000000000002</v>
      </c>
    </row>
    <row r="303" spans="1:19" ht="15.75" thickBot="1" x14ac:dyDescent="0.3">
      <c r="A303" s="44" t="s">
        <v>965</v>
      </c>
      <c r="B303" s="48" t="s">
        <v>966</v>
      </c>
      <c r="C303" s="44" t="s">
        <v>803</v>
      </c>
      <c r="D303" s="73">
        <v>12982</v>
      </c>
      <c r="E303" s="73">
        <v>4</v>
      </c>
      <c r="F303" s="189">
        <v>160</v>
      </c>
      <c r="G303" s="189">
        <v>4</v>
      </c>
      <c r="H303" s="73">
        <v>0</v>
      </c>
      <c r="I303" s="189">
        <v>0</v>
      </c>
      <c r="J303" s="189">
        <v>0</v>
      </c>
      <c r="K303" s="73">
        <v>4</v>
      </c>
      <c r="L303" s="189">
        <v>160</v>
      </c>
      <c r="M303" s="189">
        <v>4</v>
      </c>
      <c r="N303" s="73">
        <v>4</v>
      </c>
      <c r="O303" s="189">
        <v>132</v>
      </c>
      <c r="P303" s="189">
        <v>3.3</v>
      </c>
      <c r="Q303" s="73">
        <v>8</v>
      </c>
      <c r="R303" s="189">
        <v>292</v>
      </c>
      <c r="S303" s="189">
        <v>7.3</v>
      </c>
    </row>
    <row r="304" spans="1:19" ht="15.75" thickBot="1" x14ac:dyDescent="0.3">
      <c r="A304" s="44" t="s">
        <v>1007</v>
      </c>
      <c r="B304" s="48" t="s">
        <v>1008</v>
      </c>
      <c r="C304" s="44" t="s">
        <v>803</v>
      </c>
      <c r="D304" s="73">
        <v>20542</v>
      </c>
      <c r="E304" s="73">
        <v>4</v>
      </c>
      <c r="F304" s="189">
        <v>160</v>
      </c>
      <c r="G304" s="189">
        <v>4</v>
      </c>
      <c r="H304" s="73">
        <v>0</v>
      </c>
      <c r="I304" s="189">
        <v>0</v>
      </c>
      <c r="J304" s="189">
        <v>0</v>
      </c>
      <c r="K304" s="73">
        <v>4</v>
      </c>
      <c r="L304" s="189">
        <v>160</v>
      </c>
      <c r="M304" s="189">
        <v>4</v>
      </c>
      <c r="N304" s="73">
        <v>12</v>
      </c>
      <c r="O304" s="189">
        <v>259</v>
      </c>
      <c r="P304" s="189">
        <v>6.4749999999999996</v>
      </c>
      <c r="Q304" s="73">
        <v>16</v>
      </c>
      <c r="R304" s="189">
        <v>419</v>
      </c>
      <c r="S304" s="189">
        <v>10.475</v>
      </c>
    </row>
    <row r="305" spans="1:19" ht="15.75" thickBot="1" x14ac:dyDescent="0.3">
      <c r="A305" s="44" t="s">
        <v>1115</v>
      </c>
      <c r="B305" s="48" t="s">
        <v>1116</v>
      </c>
      <c r="C305" s="44" t="s">
        <v>803</v>
      </c>
      <c r="D305" s="73">
        <v>21165</v>
      </c>
      <c r="E305" s="73">
        <v>4</v>
      </c>
      <c r="F305" s="189">
        <v>160</v>
      </c>
      <c r="G305" s="189">
        <v>4</v>
      </c>
      <c r="H305" s="73">
        <v>0</v>
      </c>
      <c r="I305" s="189">
        <v>0</v>
      </c>
      <c r="J305" s="189">
        <v>0</v>
      </c>
      <c r="K305" s="73">
        <v>4</v>
      </c>
      <c r="L305" s="189">
        <v>160</v>
      </c>
      <c r="M305" s="189">
        <v>4</v>
      </c>
      <c r="N305" s="73">
        <v>14</v>
      </c>
      <c r="O305" s="189">
        <v>254</v>
      </c>
      <c r="P305" s="189">
        <v>6.35</v>
      </c>
      <c r="Q305" s="73">
        <v>14</v>
      </c>
      <c r="R305" s="189">
        <v>414</v>
      </c>
      <c r="S305" s="189">
        <v>10.35</v>
      </c>
    </row>
    <row r="306" spans="1:19" ht="15.75" thickBot="1" x14ac:dyDescent="0.3">
      <c r="A306" s="44" t="s">
        <v>1241</v>
      </c>
      <c r="B306" s="48" t="s">
        <v>1242</v>
      </c>
      <c r="C306" s="44" t="s">
        <v>803</v>
      </c>
      <c r="D306" s="73">
        <v>13452</v>
      </c>
      <c r="E306" s="73">
        <v>4</v>
      </c>
      <c r="F306" s="189">
        <v>160</v>
      </c>
      <c r="G306" s="189">
        <v>4</v>
      </c>
      <c r="H306" s="73">
        <v>0</v>
      </c>
      <c r="I306" s="189">
        <v>0</v>
      </c>
      <c r="J306" s="189">
        <v>0</v>
      </c>
      <c r="K306" s="73">
        <v>4</v>
      </c>
      <c r="L306" s="189">
        <v>160</v>
      </c>
      <c r="M306" s="189">
        <v>4</v>
      </c>
      <c r="N306" s="73">
        <v>7</v>
      </c>
      <c r="O306" s="189">
        <v>113</v>
      </c>
      <c r="P306" s="189">
        <v>2.8250000000000002</v>
      </c>
      <c r="Q306" s="73">
        <v>11</v>
      </c>
      <c r="R306" s="189">
        <v>273</v>
      </c>
      <c r="S306" s="189">
        <v>6.8250000000000002</v>
      </c>
    </row>
    <row r="307" spans="1:19" ht="15.75" thickBot="1" x14ac:dyDescent="0.3">
      <c r="A307" s="44" t="s">
        <v>1265</v>
      </c>
      <c r="B307" s="48" t="s">
        <v>1266</v>
      </c>
      <c r="C307" s="44" t="s">
        <v>803</v>
      </c>
      <c r="D307" s="73">
        <v>14948</v>
      </c>
      <c r="E307" s="73">
        <v>4</v>
      </c>
      <c r="F307" s="189">
        <v>160</v>
      </c>
      <c r="G307" s="189">
        <v>4</v>
      </c>
      <c r="H307" s="73">
        <v>1</v>
      </c>
      <c r="I307" s="189">
        <v>40</v>
      </c>
      <c r="J307" s="189">
        <v>1</v>
      </c>
      <c r="K307" s="73">
        <v>5</v>
      </c>
      <c r="L307" s="189">
        <v>200</v>
      </c>
      <c r="M307" s="189">
        <v>5</v>
      </c>
      <c r="N307" s="73">
        <v>14</v>
      </c>
      <c r="O307" s="189">
        <v>380</v>
      </c>
      <c r="P307" s="189">
        <v>9.5</v>
      </c>
      <c r="Q307" s="73">
        <v>19</v>
      </c>
      <c r="R307" s="189">
        <v>580</v>
      </c>
      <c r="S307" s="189">
        <v>14.5</v>
      </c>
    </row>
    <row r="308" spans="1:19" ht="15.75" thickBot="1" x14ac:dyDescent="0.3">
      <c r="A308" s="44" t="s">
        <v>917</v>
      </c>
      <c r="B308" s="48" t="s">
        <v>918</v>
      </c>
      <c r="C308" s="44" t="s">
        <v>822</v>
      </c>
      <c r="D308" s="73">
        <v>35087</v>
      </c>
      <c r="E308" s="73">
        <v>4</v>
      </c>
      <c r="F308" s="189">
        <v>160</v>
      </c>
      <c r="G308" s="189">
        <v>4</v>
      </c>
      <c r="H308" s="73">
        <v>2</v>
      </c>
      <c r="I308" s="189">
        <v>40</v>
      </c>
      <c r="J308" s="189">
        <v>1</v>
      </c>
      <c r="K308" s="73">
        <v>5</v>
      </c>
      <c r="L308" s="189">
        <v>200</v>
      </c>
      <c r="M308" s="189">
        <v>5</v>
      </c>
      <c r="N308" s="73">
        <v>20</v>
      </c>
      <c r="O308" s="189">
        <v>478.35</v>
      </c>
      <c r="P308" s="189">
        <v>11.95875</v>
      </c>
      <c r="Q308" s="73">
        <v>25</v>
      </c>
      <c r="R308" s="189">
        <v>678.35</v>
      </c>
      <c r="S308" s="189">
        <v>16.958749999999998</v>
      </c>
    </row>
    <row r="309" spans="1:19" ht="15.75" thickBot="1" x14ac:dyDescent="0.3">
      <c r="A309" s="44" t="s">
        <v>1001</v>
      </c>
      <c r="B309" s="48" t="s">
        <v>1002</v>
      </c>
      <c r="C309" s="44" t="s">
        <v>822</v>
      </c>
      <c r="D309" s="73">
        <v>32799</v>
      </c>
      <c r="E309" s="73">
        <v>4</v>
      </c>
      <c r="F309" s="189">
        <v>160</v>
      </c>
      <c r="G309" s="189">
        <v>4</v>
      </c>
      <c r="H309" s="73">
        <v>10</v>
      </c>
      <c r="I309" s="189">
        <v>236</v>
      </c>
      <c r="J309" s="189">
        <v>5.9</v>
      </c>
      <c r="K309" s="73">
        <v>14</v>
      </c>
      <c r="L309" s="189">
        <v>396</v>
      </c>
      <c r="M309" s="189">
        <v>9.9</v>
      </c>
      <c r="N309" s="73">
        <v>14</v>
      </c>
      <c r="O309" s="189">
        <v>234</v>
      </c>
      <c r="P309" s="189">
        <v>5.85</v>
      </c>
      <c r="Q309" s="73">
        <v>28</v>
      </c>
      <c r="R309" s="189">
        <v>630</v>
      </c>
      <c r="S309" s="189">
        <v>15.75</v>
      </c>
    </row>
    <row r="310" spans="1:19" ht="15.75" thickBot="1" x14ac:dyDescent="0.3">
      <c r="A310" s="44" t="s">
        <v>1512</v>
      </c>
      <c r="B310" s="48" t="s">
        <v>1513</v>
      </c>
      <c r="C310" s="44" t="s">
        <v>837</v>
      </c>
      <c r="D310" s="73">
        <v>63131</v>
      </c>
      <c r="E310" s="73">
        <v>4</v>
      </c>
      <c r="F310" s="189">
        <v>160</v>
      </c>
      <c r="G310" s="189">
        <v>4</v>
      </c>
      <c r="H310" s="73">
        <v>0</v>
      </c>
      <c r="I310" s="189">
        <v>0</v>
      </c>
      <c r="J310" s="189">
        <v>0</v>
      </c>
      <c r="K310" s="73">
        <v>4</v>
      </c>
      <c r="L310" s="189">
        <v>160</v>
      </c>
      <c r="M310" s="189">
        <v>4</v>
      </c>
      <c r="N310" s="73">
        <v>16</v>
      </c>
      <c r="O310" s="189">
        <v>367</v>
      </c>
      <c r="P310" s="189">
        <v>9.1750000000000007</v>
      </c>
      <c r="Q310" s="73">
        <v>20</v>
      </c>
      <c r="R310" s="189">
        <v>527</v>
      </c>
      <c r="S310" s="189">
        <v>13.175000000000001</v>
      </c>
    </row>
    <row r="311" spans="1:19" ht="15.75" thickBot="1" x14ac:dyDescent="0.3">
      <c r="A311" s="44" t="s">
        <v>1540</v>
      </c>
      <c r="B311" s="48" t="s">
        <v>1541</v>
      </c>
      <c r="C311" s="44" t="s">
        <v>837</v>
      </c>
      <c r="D311" s="73">
        <v>72726</v>
      </c>
      <c r="E311" s="73">
        <v>4</v>
      </c>
      <c r="F311" s="189">
        <v>160</v>
      </c>
      <c r="G311" s="189">
        <v>4</v>
      </c>
      <c r="H311" s="73">
        <v>1</v>
      </c>
      <c r="I311" s="189">
        <v>40</v>
      </c>
      <c r="J311" s="189">
        <v>1</v>
      </c>
      <c r="K311" s="73">
        <v>5</v>
      </c>
      <c r="L311" s="189">
        <v>200</v>
      </c>
      <c r="M311" s="189">
        <v>5</v>
      </c>
      <c r="N311" s="73">
        <v>9</v>
      </c>
      <c r="O311" s="189">
        <v>186</v>
      </c>
      <c r="P311" s="189">
        <v>4.6500000000000004</v>
      </c>
      <c r="Q311" s="73">
        <v>14</v>
      </c>
      <c r="R311" s="189">
        <v>386</v>
      </c>
      <c r="S311" s="189">
        <v>9.65</v>
      </c>
    </row>
    <row r="312" spans="1:19" ht="15.75" thickBot="1" x14ac:dyDescent="0.3">
      <c r="A312" s="44" t="s">
        <v>851</v>
      </c>
      <c r="B312" s="48" t="s">
        <v>852</v>
      </c>
      <c r="C312" s="44" t="s">
        <v>803</v>
      </c>
      <c r="D312" s="73">
        <v>25883</v>
      </c>
      <c r="E312" s="73">
        <v>5</v>
      </c>
      <c r="F312" s="189">
        <v>164</v>
      </c>
      <c r="G312" s="189">
        <v>4.0999999999999996</v>
      </c>
      <c r="H312" s="73">
        <v>0</v>
      </c>
      <c r="I312" s="189">
        <v>0</v>
      </c>
      <c r="J312" s="189">
        <v>0</v>
      </c>
      <c r="K312" s="73">
        <v>5</v>
      </c>
      <c r="L312" s="189">
        <v>164</v>
      </c>
      <c r="M312" s="189">
        <v>4.0999999999999996</v>
      </c>
      <c r="N312" s="73">
        <v>16</v>
      </c>
      <c r="O312" s="189">
        <v>242</v>
      </c>
      <c r="P312" s="189">
        <v>6.05</v>
      </c>
      <c r="Q312" s="73">
        <v>21</v>
      </c>
      <c r="R312" s="189">
        <v>406</v>
      </c>
      <c r="S312" s="189">
        <v>10.15</v>
      </c>
    </row>
    <row r="313" spans="1:19" ht="15.75" thickBot="1" x14ac:dyDescent="0.3">
      <c r="A313" s="44" t="s">
        <v>943</v>
      </c>
      <c r="B313" s="48" t="s">
        <v>944</v>
      </c>
      <c r="C313" s="44" t="s">
        <v>808</v>
      </c>
      <c r="D313" s="73">
        <v>9810</v>
      </c>
      <c r="E313" s="73">
        <v>6</v>
      </c>
      <c r="F313" s="189">
        <v>164.5</v>
      </c>
      <c r="G313" s="189">
        <v>4.1124999999999998</v>
      </c>
      <c r="H313" s="73">
        <v>2</v>
      </c>
      <c r="I313" s="189">
        <v>75</v>
      </c>
      <c r="J313" s="189">
        <v>1.875</v>
      </c>
      <c r="K313" s="73">
        <v>8</v>
      </c>
      <c r="L313" s="189">
        <v>239.5</v>
      </c>
      <c r="M313" s="189">
        <v>5.9874999999999998</v>
      </c>
      <c r="N313" s="73">
        <v>11</v>
      </c>
      <c r="O313" s="189">
        <v>242</v>
      </c>
      <c r="P313" s="189">
        <v>6.05</v>
      </c>
      <c r="Q313" s="73">
        <v>19</v>
      </c>
      <c r="R313" s="189">
        <v>481.5</v>
      </c>
      <c r="S313" s="189">
        <v>12.0375</v>
      </c>
    </row>
    <row r="314" spans="1:19" ht="15.75" thickBot="1" x14ac:dyDescent="0.3">
      <c r="A314" s="44" t="s">
        <v>846</v>
      </c>
      <c r="B314" s="48" t="s">
        <v>847</v>
      </c>
      <c r="C314" s="44" t="s">
        <v>803</v>
      </c>
      <c r="D314" s="73">
        <v>21412</v>
      </c>
      <c r="E314" s="73">
        <v>5</v>
      </c>
      <c r="F314" s="189">
        <v>166</v>
      </c>
      <c r="G314" s="189">
        <v>4.1500000000000004</v>
      </c>
      <c r="H314" s="73">
        <v>0</v>
      </c>
      <c r="I314" s="189">
        <v>0</v>
      </c>
      <c r="J314" s="189">
        <v>0</v>
      </c>
      <c r="K314" s="73">
        <v>5</v>
      </c>
      <c r="L314" s="189">
        <v>166</v>
      </c>
      <c r="M314" s="189">
        <v>4.1500000000000004</v>
      </c>
      <c r="N314" s="73">
        <v>21</v>
      </c>
      <c r="O314" s="189">
        <v>425</v>
      </c>
      <c r="P314" s="189">
        <v>10.625</v>
      </c>
      <c r="Q314" s="73">
        <v>26</v>
      </c>
      <c r="R314" s="189">
        <v>591</v>
      </c>
      <c r="S314" s="189">
        <v>14.775</v>
      </c>
    </row>
    <row r="315" spans="1:19" ht="15.75" thickBot="1" x14ac:dyDescent="0.3">
      <c r="A315" s="44" t="s">
        <v>1159</v>
      </c>
      <c r="B315" s="48" t="s">
        <v>1160</v>
      </c>
      <c r="C315" s="44" t="s">
        <v>837</v>
      </c>
      <c r="D315" s="73">
        <v>52529</v>
      </c>
      <c r="E315" s="73">
        <v>5</v>
      </c>
      <c r="F315" s="189">
        <v>170</v>
      </c>
      <c r="G315" s="189">
        <v>4.25</v>
      </c>
      <c r="H315" s="73">
        <v>0</v>
      </c>
      <c r="I315" s="189">
        <v>0</v>
      </c>
      <c r="J315" s="189">
        <v>0</v>
      </c>
      <c r="K315" s="73">
        <v>5</v>
      </c>
      <c r="L315" s="189">
        <v>170</v>
      </c>
      <c r="M315" s="189">
        <v>4.25</v>
      </c>
      <c r="N315" s="73">
        <v>36</v>
      </c>
      <c r="O315" s="189">
        <v>788.5</v>
      </c>
      <c r="P315" s="189">
        <v>19.712499999999999</v>
      </c>
      <c r="Q315" s="73">
        <v>41</v>
      </c>
      <c r="R315" s="189">
        <v>958.5</v>
      </c>
      <c r="S315" s="189">
        <v>23.962499999999999</v>
      </c>
    </row>
    <row r="316" spans="1:19" ht="15.75" thickBot="1" x14ac:dyDescent="0.3">
      <c r="A316" s="44" t="s">
        <v>899</v>
      </c>
      <c r="B316" s="48" t="s">
        <v>900</v>
      </c>
      <c r="C316" s="44" t="s">
        <v>803</v>
      </c>
      <c r="D316" s="73">
        <v>15175</v>
      </c>
      <c r="E316" s="73">
        <v>5</v>
      </c>
      <c r="F316" s="189">
        <v>172</v>
      </c>
      <c r="G316" s="189">
        <v>4.3</v>
      </c>
      <c r="H316" s="73">
        <v>5</v>
      </c>
      <c r="I316" s="189">
        <v>171</v>
      </c>
      <c r="J316" s="189">
        <v>4.2750000000000004</v>
      </c>
      <c r="K316" s="73">
        <v>10</v>
      </c>
      <c r="L316" s="189">
        <v>343</v>
      </c>
      <c r="M316" s="189">
        <v>8.5749999999999993</v>
      </c>
      <c r="N316" s="73">
        <v>8</v>
      </c>
      <c r="O316" s="189">
        <v>214</v>
      </c>
      <c r="P316" s="189">
        <v>5.35</v>
      </c>
      <c r="Q316" s="73">
        <v>18</v>
      </c>
      <c r="R316" s="189">
        <v>557</v>
      </c>
      <c r="S316" s="189">
        <v>13.925000000000001</v>
      </c>
    </row>
    <row r="317" spans="1:19" ht="15.75" thickBot="1" x14ac:dyDescent="0.3">
      <c r="A317" s="44" t="s">
        <v>1329</v>
      </c>
      <c r="B317" s="48" t="s">
        <v>1330</v>
      </c>
      <c r="C317" s="44" t="s">
        <v>822</v>
      </c>
      <c r="D317" s="73">
        <v>29319</v>
      </c>
      <c r="E317" s="73">
        <v>7</v>
      </c>
      <c r="F317" s="189">
        <v>174</v>
      </c>
      <c r="G317" s="189">
        <v>4.3499999999999996</v>
      </c>
      <c r="H317" s="73">
        <v>1</v>
      </c>
      <c r="I317" s="189">
        <v>4</v>
      </c>
      <c r="J317" s="189">
        <v>0.1</v>
      </c>
      <c r="K317" s="73">
        <v>8</v>
      </c>
      <c r="L317" s="189">
        <v>178</v>
      </c>
      <c r="M317" s="189">
        <v>4.45</v>
      </c>
      <c r="N317" s="73">
        <v>11</v>
      </c>
      <c r="O317" s="189">
        <v>165</v>
      </c>
      <c r="P317" s="189">
        <v>4.125</v>
      </c>
      <c r="Q317" s="73">
        <v>19</v>
      </c>
      <c r="R317" s="189">
        <v>343</v>
      </c>
      <c r="S317" s="189">
        <v>8.5749999999999993</v>
      </c>
    </row>
    <row r="318" spans="1:19" ht="15.75" thickBot="1" x14ac:dyDescent="0.3">
      <c r="A318" s="44" t="s">
        <v>1546</v>
      </c>
      <c r="B318" s="48" t="s">
        <v>1547</v>
      </c>
      <c r="C318" s="44" t="s">
        <v>822</v>
      </c>
      <c r="D318" s="73">
        <v>44265</v>
      </c>
      <c r="E318" s="73">
        <v>5</v>
      </c>
      <c r="F318" s="189">
        <v>177</v>
      </c>
      <c r="G318" s="189">
        <v>4.4249999999999998</v>
      </c>
      <c r="H318" s="73">
        <v>11</v>
      </c>
      <c r="I318" s="189">
        <v>317</v>
      </c>
      <c r="J318" s="189">
        <v>7.9249999999999998</v>
      </c>
      <c r="K318" s="73">
        <v>14</v>
      </c>
      <c r="L318" s="189">
        <v>494</v>
      </c>
      <c r="M318" s="189">
        <v>12.35</v>
      </c>
      <c r="N318" s="73">
        <v>35</v>
      </c>
      <c r="O318" s="189">
        <v>691</v>
      </c>
      <c r="P318" s="189">
        <v>17.274999999999999</v>
      </c>
      <c r="Q318" s="73">
        <v>54</v>
      </c>
      <c r="R318" s="189">
        <v>1185</v>
      </c>
      <c r="S318" s="189">
        <v>29.625</v>
      </c>
    </row>
    <row r="319" spans="1:19" ht="15.75" thickBot="1" x14ac:dyDescent="0.3">
      <c r="A319" s="44" t="s">
        <v>1025</v>
      </c>
      <c r="B319" s="48" t="s">
        <v>1026</v>
      </c>
      <c r="C319" s="44" t="s">
        <v>822</v>
      </c>
      <c r="D319" s="73">
        <v>32442</v>
      </c>
      <c r="E319" s="73">
        <v>6</v>
      </c>
      <c r="F319" s="189">
        <v>180.75</v>
      </c>
      <c r="G319" s="189">
        <v>4.5187499999999998</v>
      </c>
      <c r="H319" s="73">
        <v>0</v>
      </c>
      <c r="I319" s="189">
        <v>0</v>
      </c>
      <c r="J319" s="189">
        <v>0</v>
      </c>
      <c r="K319" s="73">
        <v>6</v>
      </c>
      <c r="L319" s="189">
        <v>180.75</v>
      </c>
      <c r="M319" s="189">
        <v>4.5187499999999998</v>
      </c>
      <c r="N319" s="73">
        <v>8</v>
      </c>
      <c r="O319" s="189">
        <v>180</v>
      </c>
      <c r="P319" s="189">
        <v>4.5</v>
      </c>
      <c r="Q319" s="73">
        <v>14</v>
      </c>
      <c r="R319" s="189">
        <v>360.75</v>
      </c>
      <c r="S319" s="189">
        <v>9.0187500000000007</v>
      </c>
    </row>
    <row r="320" spans="1:19" ht="15.75" thickBot="1" x14ac:dyDescent="0.3">
      <c r="A320" s="44" t="s">
        <v>1365</v>
      </c>
      <c r="B320" s="48" t="s">
        <v>1366</v>
      </c>
      <c r="C320" s="44" t="s">
        <v>803</v>
      </c>
      <c r="D320" s="73">
        <v>16709</v>
      </c>
      <c r="E320" s="73">
        <v>5</v>
      </c>
      <c r="F320" s="189">
        <v>186</v>
      </c>
      <c r="G320" s="189">
        <v>4.6500000000000004</v>
      </c>
      <c r="H320" s="73">
        <v>3</v>
      </c>
      <c r="I320" s="189">
        <v>110</v>
      </c>
      <c r="J320" s="189">
        <v>2.75</v>
      </c>
      <c r="K320" s="73">
        <v>8</v>
      </c>
      <c r="L320" s="189">
        <v>296</v>
      </c>
      <c r="M320" s="189">
        <v>7.4</v>
      </c>
      <c r="N320" s="73">
        <v>16</v>
      </c>
      <c r="O320" s="189">
        <v>308</v>
      </c>
      <c r="P320" s="189">
        <v>7.7</v>
      </c>
      <c r="Q320" s="73">
        <v>24</v>
      </c>
      <c r="R320" s="189">
        <v>604</v>
      </c>
      <c r="S320" s="189">
        <v>15.1</v>
      </c>
    </row>
    <row r="321" spans="1:19" ht="15.75" thickBot="1" x14ac:dyDescent="0.3">
      <c r="A321" s="44" t="s">
        <v>1470</v>
      </c>
      <c r="B321" s="48" t="s">
        <v>1471</v>
      </c>
      <c r="C321" s="44" t="s">
        <v>837</v>
      </c>
      <c r="D321" s="73">
        <v>73804</v>
      </c>
      <c r="E321" s="73">
        <v>5</v>
      </c>
      <c r="F321" s="189">
        <v>187.5</v>
      </c>
      <c r="G321" s="189">
        <v>4.6875</v>
      </c>
      <c r="H321" s="73">
        <v>6</v>
      </c>
      <c r="I321" s="189">
        <v>10</v>
      </c>
      <c r="J321" s="189">
        <v>0.25</v>
      </c>
      <c r="K321" s="73">
        <v>11</v>
      </c>
      <c r="L321" s="189">
        <v>197.5</v>
      </c>
      <c r="M321" s="189">
        <v>4.9375</v>
      </c>
      <c r="N321" s="73">
        <v>13</v>
      </c>
      <c r="O321" s="189">
        <v>292</v>
      </c>
      <c r="P321" s="189">
        <v>7.3</v>
      </c>
      <c r="Q321" s="73">
        <v>24</v>
      </c>
      <c r="R321" s="189">
        <v>489.5</v>
      </c>
      <c r="S321" s="189">
        <v>12.237500000000001</v>
      </c>
    </row>
    <row r="322" spans="1:19" ht="15.75" thickBot="1" x14ac:dyDescent="0.3">
      <c r="A322" s="44" t="s">
        <v>1363</v>
      </c>
      <c r="B322" s="48" t="s">
        <v>1364</v>
      </c>
      <c r="C322" s="44" t="s">
        <v>822</v>
      </c>
      <c r="D322" s="73">
        <v>36441</v>
      </c>
      <c r="E322" s="73">
        <v>5</v>
      </c>
      <c r="F322" s="189">
        <v>197</v>
      </c>
      <c r="G322" s="189">
        <v>4.9249999999999998</v>
      </c>
      <c r="H322" s="73">
        <v>20</v>
      </c>
      <c r="I322" s="189">
        <v>527</v>
      </c>
      <c r="J322" s="189">
        <v>13.175000000000001</v>
      </c>
      <c r="K322" s="73">
        <v>25</v>
      </c>
      <c r="L322" s="189">
        <v>724</v>
      </c>
      <c r="M322" s="189">
        <v>18.100000000000001</v>
      </c>
      <c r="N322" s="73">
        <v>13</v>
      </c>
      <c r="O322" s="189">
        <v>311</v>
      </c>
      <c r="P322" s="189">
        <v>7.7750000000000004</v>
      </c>
      <c r="Q322" s="73">
        <v>38</v>
      </c>
      <c r="R322" s="189">
        <v>1035</v>
      </c>
      <c r="S322" s="189">
        <v>25.875</v>
      </c>
    </row>
    <row r="323" spans="1:19" ht="15.75" thickBot="1" x14ac:dyDescent="0.3">
      <c r="A323" s="44" t="s">
        <v>1113</v>
      </c>
      <c r="B323" s="48" t="s">
        <v>1114</v>
      </c>
      <c r="C323" s="44" t="s">
        <v>822</v>
      </c>
      <c r="D323" s="73">
        <v>40898</v>
      </c>
      <c r="E323" s="73">
        <v>5</v>
      </c>
      <c r="F323" s="189">
        <v>200</v>
      </c>
      <c r="G323" s="189">
        <v>5</v>
      </c>
      <c r="H323" s="73">
        <v>1</v>
      </c>
      <c r="I323" s="189">
        <v>5.5</v>
      </c>
      <c r="J323" s="189">
        <v>0.13750000000000001</v>
      </c>
      <c r="K323" s="73">
        <v>6</v>
      </c>
      <c r="L323" s="189">
        <v>205.5</v>
      </c>
      <c r="M323" s="189">
        <v>5.1375000000000002</v>
      </c>
      <c r="N323" s="73">
        <v>24</v>
      </c>
      <c r="O323" s="189">
        <v>572.5</v>
      </c>
      <c r="P323" s="189">
        <v>14.3125</v>
      </c>
      <c r="Q323" s="73">
        <v>30</v>
      </c>
      <c r="R323" s="189">
        <v>778</v>
      </c>
      <c r="S323" s="189">
        <v>19.45</v>
      </c>
    </row>
    <row r="324" spans="1:19" ht="15.75" thickBot="1" x14ac:dyDescent="0.3">
      <c r="A324" s="44" t="s">
        <v>1201</v>
      </c>
      <c r="B324" s="48" t="s">
        <v>1202</v>
      </c>
      <c r="C324" s="44" t="s">
        <v>837</v>
      </c>
      <c r="D324" s="73">
        <v>60006</v>
      </c>
      <c r="E324" s="73">
        <v>5</v>
      </c>
      <c r="F324" s="189">
        <v>200</v>
      </c>
      <c r="G324" s="189">
        <v>5</v>
      </c>
      <c r="H324" s="73">
        <v>14</v>
      </c>
      <c r="I324" s="189">
        <v>303.3</v>
      </c>
      <c r="J324" s="189">
        <v>7.5824999999999996</v>
      </c>
      <c r="K324" s="73">
        <v>19</v>
      </c>
      <c r="L324" s="189">
        <v>503.3</v>
      </c>
      <c r="M324" s="189">
        <v>12.5825</v>
      </c>
      <c r="N324" s="73">
        <v>26</v>
      </c>
      <c r="O324" s="189">
        <v>315</v>
      </c>
      <c r="P324" s="189">
        <v>7.875</v>
      </c>
      <c r="Q324" s="73">
        <v>45</v>
      </c>
      <c r="R324" s="189">
        <v>818.3</v>
      </c>
      <c r="S324" s="189">
        <v>20.4575</v>
      </c>
    </row>
    <row r="325" spans="1:19" ht="15.75" thickBot="1" x14ac:dyDescent="0.3">
      <c r="A325" s="44" t="s">
        <v>1375</v>
      </c>
      <c r="B325" s="48" t="s">
        <v>1376</v>
      </c>
      <c r="C325" s="44" t="s">
        <v>837</v>
      </c>
      <c r="D325" s="73">
        <v>59515</v>
      </c>
      <c r="E325" s="73">
        <v>5</v>
      </c>
      <c r="F325" s="189">
        <v>200</v>
      </c>
      <c r="G325" s="189">
        <v>5</v>
      </c>
      <c r="H325" s="73">
        <v>1</v>
      </c>
      <c r="I325" s="189">
        <v>40</v>
      </c>
      <c r="J325" s="189">
        <v>1</v>
      </c>
      <c r="K325" s="73">
        <v>6</v>
      </c>
      <c r="L325" s="189">
        <v>240</v>
      </c>
      <c r="M325" s="189">
        <v>6</v>
      </c>
      <c r="N325" s="73">
        <v>19</v>
      </c>
      <c r="O325" s="189">
        <v>236</v>
      </c>
      <c r="P325" s="189">
        <v>5.9</v>
      </c>
      <c r="Q325" s="73">
        <v>19</v>
      </c>
      <c r="R325" s="189">
        <v>476</v>
      </c>
      <c r="S325" s="189">
        <v>11.9</v>
      </c>
    </row>
    <row r="326" spans="1:19" ht="15.75" thickBot="1" x14ac:dyDescent="0.3">
      <c r="A326" s="44" t="s">
        <v>1598</v>
      </c>
      <c r="B326" s="48" t="s">
        <v>1599</v>
      </c>
      <c r="C326" s="44" t="s">
        <v>803</v>
      </c>
      <c r="D326" s="73">
        <v>13498</v>
      </c>
      <c r="E326" s="73">
        <v>5</v>
      </c>
      <c r="F326" s="189">
        <v>204</v>
      </c>
      <c r="G326" s="189">
        <v>5.0999999999999996</v>
      </c>
      <c r="H326" s="73">
        <v>1</v>
      </c>
      <c r="I326" s="189">
        <v>4</v>
      </c>
      <c r="J326" s="189">
        <v>0.1</v>
      </c>
      <c r="K326" s="73">
        <v>6</v>
      </c>
      <c r="L326" s="189">
        <v>204</v>
      </c>
      <c r="M326" s="189">
        <v>5.0999999999999996</v>
      </c>
      <c r="N326" s="73">
        <v>14</v>
      </c>
      <c r="O326" s="189">
        <v>203</v>
      </c>
      <c r="P326" s="189">
        <v>5.0750000000000002</v>
      </c>
      <c r="Q326" s="73">
        <v>20</v>
      </c>
      <c r="R326" s="189">
        <v>407</v>
      </c>
      <c r="S326" s="189">
        <v>10.175000000000001</v>
      </c>
    </row>
    <row r="327" spans="1:19" ht="15.75" thickBot="1" x14ac:dyDescent="0.3">
      <c r="A327" s="44" t="s">
        <v>1301</v>
      </c>
      <c r="B327" s="48" t="s">
        <v>1302</v>
      </c>
      <c r="C327" s="44" t="s">
        <v>803</v>
      </c>
      <c r="D327" s="73">
        <v>22857</v>
      </c>
      <c r="E327" s="73">
        <v>7</v>
      </c>
      <c r="F327" s="189">
        <v>210</v>
      </c>
      <c r="G327" s="189">
        <v>5.25</v>
      </c>
      <c r="H327" s="73">
        <v>0</v>
      </c>
      <c r="I327" s="189">
        <v>0</v>
      </c>
      <c r="J327" s="189">
        <v>0</v>
      </c>
      <c r="K327" s="73">
        <v>7</v>
      </c>
      <c r="L327" s="189">
        <v>210</v>
      </c>
      <c r="M327" s="189">
        <v>5.25</v>
      </c>
      <c r="N327" s="73">
        <v>11</v>
      </c>
      <c r="O327" s="189">
        <v>418</v>
      </c>
      <c r="P327" s="189">
        <v>10.45</v>
      </c>
      <c r="Q327" s="73">
        <v>17</v>
      </c>
      <c r="R327" s="189">
        <v>628</v>
      </c>
      <c r="S327" s="189">
        <v>15.7</v>
      </c>
    </row>
    <row r="328" spans="1:19" ht="15.75" thickBot="1" x14ac:dyDescent="0.3">
      <c r="A328" s="44" t="s">
        <v>953</v>
      </c>
      <c r="B328" s="48" t="s">
        <v>954</v>
      </c>
      <c r="C328" s="44" t="s">
        <v>822</v>
      </c>
      <c r="D328" s="73">
        <v>43381</v>
      </c>
      <c r="E328" s="73">
        <v>9</v>
      </c>
      <c r="F328" s="189">
        <v>210.71</v>
      </c>
      <c r="G328" s="189">
        <v>5.2677500000000004</v>
      </c>
      <c r="H328" s="73">
        <v>1</v>
      </c>
      <c r="I328" s="189">
        <v>2.11</v>
      </c>
      <c r="J328" s="189">
        <v>5.2749999999999998E-2</v>
      </c>
      <c r="K328" s="73">
        <v>10</v>
      </c>
      <c r="L328" s="189">
        <v>212.82</v>
      </c>
      <c r="M328" s="189">
        <v>5.3205</v>
      </c>
      <c r="N328" s="73">
        <v>26</v>
      </c>
      <c r="O328" s="189">
        <v>313.56</v>
      </c>
      <c r="P328" s="189">
        <v>7.8390000000000004</v>
      </c>
      <c r="Q328" s="73">
        <v>36</v>
      </c>
      <c r="R328" s="189">
        <v>526.38</v>
      </c>
      <c r="S328" s="189">
        <v>13.1595</v>
      </c>
    </row>
    <row r="329" spans="1:19" ht="15.75" thickBot="1" x14ac:dyDescent="0.3">
      <c r="A329" s="44" t="s">
        <v>1141</v>
      </c>
      <c r="B329" s="48" t="s">
        <v>1142</v>
      </c>
      <c r="C329" s="44" t="s">
        <v>803</v>
      </c>
      <c r="D329" s="73">
        <v>19202</v>
      </c>
      <c r="E329" s="73">
        <v>6</v>
      </c>
      <c r="F329" s="189">
        <v>212.5</v>
      </c>
      <c r="G329" s="189">
        <v>5.3125</v>
      </c>
      <c r="H329" s="73">
        <v>1</v>
      </c>
      <c r="I329" s="189">
        <v>37.5</v>
      </c>
      <c r="J329" s="189">
        <v>0.9375</v>
      </c>
      <c r="K329" s="73">
        <v>7</v>
      </c>
      <c r="L329" s="189">
        <v>250</v>
      </c>
      <c r="M329" s="189">
        <v>6.25</v>
      </c>
      <c r="N329" s="73">
        <v>16</v>
      </c>
      <c r="O329" s="189">
        <v>288</v>
      </c>
      <c r="P329" s="189">
        <v>7.2</v>
      </c>
      <c r="Q329" s="73">
        <v>23</v>
      </c>
      <c r="R329" s="189">
        <v>538</v>
      </c>
      <c r="S329" s="189">
        <v>13.45</v>
      </c>
    </row>
    <row r="330" spans="1:19" ht="15.75" thickBot="1" x14ac:dyDescent="0.3">
      <c r="A330" s="44" t="s">
        <v>975</v>
      </c>
      <c r="B330" s="48" t="s">
        <v>976</v>
      </c>
      <c r="C330" s="44" t="s">
        <v>803</v>
      </c>
      <c r="D330" s="73">
        <v>14854</v>
      </c>
      <c r="E330" s="73">
        <v>7</v>
      </c>
      <c r="F330" s="189">
        <v>220</v>
      </c>
      <c r="G330" s="189">
        <v>5.5</v>
      </c>
      <c r="H330" s="73">
        <v>0</v>
      </c>
      <c r="I330" s="189">
        <v>0</v>
      </c>
      <c r="J330" s="189">
        <v>0</v>
      </c>
      <c r="K330" s="73">
        <v>7</v>
      </c>
      <c r="L330" s="189">
        <v>220</v>
      </c>
      <c r="M330" s="189">
        <v>5.5</v>
      </c>
      <c r="N330" s="73">
        <v>11</v>
      </c>
      <c r="O330" s="189">
        <v>185</v>
      </c>
      <c r="P330" s="189">
        <v>4.625</v>
      </c>
      <c r="Q330" s="73">
        <v>18</v>
      </c>
      <c r="R330" s="189">
        <v>405</v>
      </c>
      <c r="S330" s="189">
        <v>10.125</v>
      </c>
    </row>
    <row r="331" spans="1:19" ht="15.75" thickBot="1" x14ac:dyDescent="0.3">
      <c r="A331" s="44" t="s">
        <v>1231</v>
      </c>
      <c r="B331" s="48" t="s">
        <v>1232</v>
      </c>
      <c r="C331" s="44" t="s">
        <v>822</v>
      </c>
      <c r="D331" s="73">
        <v>35540</v>
      </c>
      <c r="E331" s="73">
        <v>6</v>
      </c>
      <c r="F331" s="189">
        <v>232</v>
      </c>
      <c r="G331" s="189">
        <v>5.8</v>
      </c>
      <c r="H331" s="73">
        <v>5</v>
      </c>
      <c r="I331" s="189">
        <v>160</v>
      </c>
      <c r="J331" s="189">
        <v>4</v>
      </c>
      <c r="K331" s="73">
        <v>11</v>
      </c>
      <c r="L331" s="189">
        <v>392</v>
      </c>
      <c r="M331" s="189">
        <v>9.8000000000000007</v>
      </c>
      <c r="N331" s="73">
        <v>17</v>
      </c>
      <c r="O331" s="189">
        <v>510</v>
      </c>
      <c r="P331" s="189">
        <v>12.75</v>
      </c>
      <c r="Q331" s="73">
        <v>28</v>
      </c>
      <c r="R331" s="189">
        <v>902</v>
      </c>
      <c r="S331" s="189">
        <v>22.55</v>
      </c>
    </row>
    <row r="332" spans="1:19" ht="15.75" thickBot="1" x14ac:dyDescent="0.3">
      <c r="A332" s="44" t="s">
        <v>897</v>
      </c>
      <c r="B332" s="48" t="s">
        <v>898</v>
      </c>
      <c r="C332" s="44" t="s">
        <v>822</v>
      </c>
      <c r="D332" s="73">
        <v>46905</v>
      </c>
      <c r="E332" s="73">
        <v>6</v>
      </c>
      <c r="F332" s="189">
        <v>240</v>
      </c>
      <c r="G332" s="189">
        <v>6</v>
      </c>
      <c r="H332" s="73">
        <v>8</v>
      </c>
      <c r="I332" s="189">
        <v>277</v>
      </c>
      <c r="J332" s="189">
        <v>6.9249999999999998</v>
      </c>
      <c r="K332" s="73">
        <v>14</v>
      </c>
      <c r="L332" s="189">
        <v>517</v>
      </c>
      <c r="M332" s="189">
        <v>12.925000000000001</v>
      </c>
      <c r="N332" s="73">
        <v>26</v>
      </c>
      <c r="O332" s="189">
        <v>550</v>
      </c>
      <c r="P332" s="189">
        <v>13.75</v>
      </c>
      <c r="Q332" s="73">
        <v>40</v>
      </c>
      <c r="R332" s="189">
        <v>1067</v>
      </c>
      <c r="S332" s="189">
        <v>26.675000000000001</v>
      </c>
    </row>
    <row r="333" spans="1:19" ht="15.75" thickBot="1" x14ac:dyDescent="0.3">
      <c r="A333" s="44" t="s">
        <v>955</v>
      </c>
      <c r="B333" s="48" t="s">
        <v>956</v>
      </c>
      <c r="C333" s="44" t="s">
        <v>837</v>
      </c>
      <c r="D333" s="73">
        <v>51640</v>
      </c>
      <c r="E333" s="73">
        <v>6</v>
      </c>
      <c r="F333" s="189">
        <v>240</v>
      </c>
      <c r="G333" s="189">
        <v>6</v>
      </c>
      <c r="H333" s="73">
        <v>3</v>
      </c>
      <c r="I333" s="189">
        <v>120</v>
      </c>
      <c r="J333" s="189">
        <v>3</v>
      </c>
      <c r="K333" s="73">
        <v>9</v>
      </c>
      <c r="L333" s="189">
        <v>360</v>
      </c>
      <c r="M333" s="189">
        <v>9</v>
      </c>
      <c r="N333" s="73">
        <v>31</v>
      </c>
      <c r="O333" s="189">
        <v>752</v>
      </c>
      <c r="P333" s="189">
        <v>18.8</v>
      </c>
      <c r="Q333" s="73">
        <v>40</v>
      </c>
      <c r="R333" s="189">
        <v>1112</v>
      </c>
      <c r="S333" s="189">
        <v>27.8</v>
      </c>
    </row>
    <row r="334" spans="1:19" ht="15.75" thickBot="1" x14ac:dyDescent="0.3">
      <c r="A334" s="44" t="s">
        <v>1023</v>
      </c>
      <c r="B334" s="48" t="s">
        <v>1024</v>
      </c>
      <c r="C334" s="44" t="s">
        <v>822</v>
      </c>
      <c r="D334" s="73">
        <v>48579</v>
      </c>
      <c r="E334" s="73">
        <v>7</v>
      </c>
      <c r="F334" s="189">
        <v>244</v>
      </c>
      <c r="G334" s="189">
        <v>6.1</v>
      </c>
      <c r="H334" s="73">
        <v>4</v>
      </c>
      <c r="I334" s="189">
        <v>105</v>
      </c>
      <c r="J334" s="189">
        <v>2.625</v>
      </c>
      <c r="K334" s="73">
        <v>11</v>
      </c>
      <c r="L334" s="189">
        <v>349</v>
      </c>
      <c r="M334" s="189">
        <v>8.7249999999999996</v>
      </c>
      <c r="N334" s="73">
        <v>18</v>
      </c>
      <c r="O334" s="189">
        <v>301</v>
      </c>
      <c r="P334" s="189">
        <v>7.5250000000000004</v>
      </c>
      <c r="Q334" s="73">
        <v>29</v>
      </c>
      <c r="R334" s="189">
        <v>650</v>
      </c>
      <c r="S334" s="189">
        <v>16.25</v>
      </c>
    </row>
    <row r="335" spans="1:19" ht="15.75" thickBot="1" x14ac:dyDescent="0.3">
      <c r="A335" s="44" t="s">
        <v>1447</v>
      </c>
      <c r="B335" s="48" t="s">
        <v>1448</v>
      </c>
      <c r="C335" s="44" t="s">
        <v>803</v>
      </c>
      <c r="D335" s="73">
        <v>16753</v>
      </c>
      <c r="E335" s="73">
        <v>13</v>
      </c>
      <c r="F335" s="189">
        <v>246</v>
      </c>
      <c r="G335" s="189">
        <v>6.15</v>
      </c>
      <c r="H335" s="73">
        <v>7</v>
      </c>
      <c r="I335" s="189">
        <v>60</v>
      </c>
      <c r="J335" s="189">
        <v>1.5</v>
      </c>
      <c r="K335" s="73">
        <v>20</v>
      </c>
      <c r="L335" s="189">
        <v>306</v>
      </c>
      <c r="M335" s="189">
        <v>7.65</v>
      </c>
      <c r="N335" s="73">
        <v>45</v>
      </c>
      <c r="O335" s="189">
        <v>512.65</v>
      </c>
      <c r="P335" s="189">
        <v>12.81625</v>
      </c>
      <c r="Q335" s="73">
        <v>65</v>
      </c>
      <c r="R335" s="189">
        <v>818.65</v>
      </c>
      <c r="S335" s="189">
        <v>20.466249999999999</v>
      </c>
    </row>
    <row r="336" spans="1:19" ht="15.75" thickBot="1" x14ac:dyDescent="0.3">
      <c r="A336" s="44" t="s">
        <v>1441</v>
      </c>
      <c r="B336" s="48" t="s">
        <v>1442</v>
      </c>
      <c r="C336" s="44" t="s">
        <v>837</v>
      </c>
      <c r="D336" s="73">
        <v>59715</v>
      </c>
      <c r="E336" s="73">
        <v>7</v>
      </c>
      <c r="F336" s="189">
        <v>260</v>
      </c>
      <c r="G336" s="189">
        <v>6.5</v>
      </c>
      <c r="H336" s="73">
        <v>0</v>
      </c>
      <c r="I336" s="189">
        <v>0</v>
      </c>
      <c r="J336" s="189">
        <v>0</v>
      </c>
      <c r="K336" s="73">
        <v>7</v>
      </c>
      <c r="L336" s="189">
        <v>260</v>
      </c>
      <c r="M336" s="189">
        <v>6.5</v>
      </c>
      <c r="N336" s="73">
        <v>14</v>
      </c>
      <c r="O336" s="189">
        <v>380</v>
      </c>
      <c r="P336" s="189">
        <v>9.5</v>
      </c>
      <c r="Q336" s="73">
        <v>21</v>
      </c>
      <c r="R336" s="189">
        <v>640</v>
      </c>
      <c r="S336" s="189">
        <v>16</v>
      </c>
    </row>
    <row r="337" spans="1:19" ht="15.75" thickBot="1" x14ac:dyDescent="0.3">
      <c r="A337" s="44" t="s">
        <v>1347</v>
      </c>
      <c r="B337" s="48" t="s">
        <v>1348</v>
      </c>
      <c r="C337" s="44" t="s">
        <v>803</v>
      </c>
      <c r="D337" s="73">
        <v>20526</v>
      </c>
      <c r="E337" s="73">
        <v>8</v>
      </c>
      <c r="F337" s="189">
        <v>264</v>
      </c>
      <c r="G337" s="189">
        <v>6.6</v>
      </c>
      <c r="H337" s="73">
        <v>8</v>
      </c>
      <c r="I337" s="189">
        <v>181</v>
      </c>
      <c r="J337" s="189">
        <v>4.5250000000000004</v>
      </c>
      <c r="K337" s="73">
        <v>16</v>
      </c>
      <c r="L337" s="189">
        <v>445</v>
      </c>
      <c r="M337" s="189">
        <v>11.125</v>
      </c>
      <c r="N337" s="73">
        <v>15</v>
      </c>
      <c r="O337" s="189">
        <v>133</v>
      </c>
      <c r="P337" s="189">
        <v>3.3250000000000002</v>
      </c>
      <c r="Q337" s="73">
        <v>32</v>
      </c>
      <c r="R337" s="189">
        <v>578</v>
      </c>
      <c r="S337" s="189">
        <v>14.45</v>
      </c>
    </row>
    <row r="338" spans="1:19" ht="15.75" thickBot="1" x14ac:dyDescent="0.3">
      <c r="A338" s="44" t="s">
        <v>1586</v>
      </c>
      <c r="B338" s="48" t="s">
        <v>1587</v>
      </c>
      <c r="C338" s="44" t="s">
        <v>822</v>
      </c>
      <c r="D338" s="73">
        <v>30019</v>
      </c>
      <c r="E338" s="73">
        <v>9</v>
      </c>
      <c r="F338" s="189">
        <v>264</v>
      </c>
      <c r="G338" s="189">
        <v>6.6</v>
      </c>
      <c r="H338" s="73">
        <v>2</v>
      </c>
      <c r="I338" s="189">
        <v>80</v>
      </c>
      <c r="J338" s="189">
        <v>2</v>
      </c>
      <c r="K338" s="73">
        <v>11</v>
      </c>
      <c r="L338" s="189">
        <v>344</v>
      </c>
      <c r="M338" s="189">
        <v>8.6</v>
      </c>
      <c r="N338" s="73">
        <v>25</v>
      </c>
      <c r="O338" s="189">
        <v>230</v>
      </c>
      <c r="P338" s="189">
        <v>5.75</v>
      </c>
      <c r="Q338" s="73">
        <v>33</v>
      </c>
      <c r="R338" s="189">
        <v>574</v>
      </c>
      <c r="S338" s="189">
        <v>14.35</v>
      </c>
    </row>
    <row r="339" spans="1:19" ht="15.75" thickBot="1" x14ac:dyDescent="0.3">
      <c r="A339" s="44" t="s">
        <v>1287</v>
      </c>
      <c r="B339" s="48" t="s">
        <v>1288</v>
      </c>
      <c r="C339" s="44" t="s">
        <v>803</v>
      </c>
      <c r="D339" s="73">
        <v>15736</v>
      </c>
      <c r="E339" s="73">
        <v>9</v>
      </c>
      <c r="F339" s="189">
        <v>267.5</v>
      </c>
      <c r="G339" s="189">
        <v>6.6875</v>
      </c>
      <c r="H339" s="73">
        <v>2</v>
      </c>
      <c r="I339" s="189">
        <v>19.75</v>
      </c>
      <c r="J339" s="189">
        <v>0.49375000000000002</v>
      </c>
      <c r="K339" s="73">
        <v>11</v>
      </c>
      <c r="L339" s="189">
        <v>287.25</v>
      </c>
      <c r="M339" s="189">
        <v>7.1812500000000004</v>
      </c>
      <c r="N339" s="73">
        <v>14</v>
      </c>
      <c r="O339" s="189">
        <v>265.20999999999998</v>
      </c>
      <c r="P339" s="189">
        <v>6.6302500000000002</v>
      </c>
      <c r="Q339" s="73">
        <v>25</v>
      </c>
      <c r="R339" s="189">
        <v>552.46</v>
      </c>
      <c r="S339" s="189">
        <v>13.811500000000001</v>
      </c>
    </row>
    <row r="340" spans="1:19" ht="15.75" thickBot="1" x14ac:dyDescent="0.3">
      <c r="A340" s="44" t="s">
        <v>867</v>
      </c>
      <c r="B340" s="48" t="s">
        <v>868</v>
      </c>
      <c r="C340" s="44" t="s">
        <v>822</v>
      </c>
      <c r="D340" s="73">
        <v>42361</v>
      </c>
      <c r="E340" s="73">
        <v>12</v>
      </c>
      <c r="F340" s="189">
        <v>268</v>
      </c>
      <c r="G340" s="189">
        <v>6.7</v>
      </c>
      <c r="H340" s="73">
        <v>0</v>
      </c>
      <c r="I340" s="190">
        <v>0</v>
      </c>
      <c r="J340" s="190">
        <v>0</v>
      </c>
      <c r="K340" s="73">
        <v>12</v>
      </c>
      <c r="L340" s="189">
        <v>268</v>
      </c>
      <c r="M340" s="189">
        <v>6.7</v>
      </c>
      <c r="N340" s="73">
        <v>19</v>
      </c>
      <c r="O340" s="189">
        <v>351</v>
      </c>
      <c r="P340" s="189">
        <v>8.7750000000000004</v>
      </c>
      <c r="Q340" s="73">
        <v>31</v>
      </c>
      <c r="R340" s="189">
        <v>619</v>
      </c>
      <c r="S340" s="189">
        <v>15.475</v>
      </c>
    </row>
    <row r="341" spans="1:19" ht="15.75" thickBot="1" x14ac:dyDescent="0.3">
      <c r="A341" s="44" t="s">
        <v>1449</v>
      </c>
      <c r="B341" s="48" t="s">
        <v>1450</v>
      </c>
      <c r="C341" s="44" t="s">
        <v>822</v>
      </c>
      <c r="D341" s="73">
        <v>26376</v>
      </c>
      <c r="E341" s="73">
        <v>10</v>
      </c>
      <c r="F341" s="189">
        <v>295</v>
      </c>
      <c r="G341" s="189">
        <v>7.375</v>
      </c>
      <c r="H341" s="73">
        <v>0</v>
      </c>
      <c r="I341" s="189">
        <v>0</v>
      </c>
      <c r="J341" s="189">
        <v>0</v>
      </c>
      <c r="K341" s="73">
        <v>10</v>
      </c>
      <c r="L341" s="189">
        <v>295</v>
      </c>
      <c r="M341" s="189">
        <v>7.375</v>
      </c>
      <c r="N341" s="73">
        <v>33</v>
      </c>
      <c r="O341" s="189">
        <v>585</v>
      </c>
      <c r="P341" s="189">
        <v>14.625</v>
      </c>
      <c r="Q341" s="73">
        <v>43</v>
      </c>
      <c r="R341" s="189">
        <v>880</v>
      </c>
      <c r="S341" s="189">
        <v>22</v>
      </c>
    </row>
    <row r="342" spans="1:19" ht="15.75" thickBot="1" x14ac:dyDescent="0.3">
      <c r="A342" s="44" t="s">
        <v>1538</v>
      </c>
      <c r="B342" s="48" t="s">
        <v>1539</v>
      </c>
      <c r="C342" s="44" t="s">
        <v>837</v>
      </c>
      <c r="D342" s="73">
        <v>97396</v>
      </c>
      <c r="E342" s="73">
        <v>8</v>
      </c>
      <c r="F342" s="189">
        <v>320</v>
      </c>
      <c r="G342" s="189">
        <v>8</v>
      </c>
      <c r="H342" s="73">
        <v>1</v>
      </c>
      <c r="I342" s="189">
        <v>40</v>
      </c>
      <c r="J342" s="189">
        <v>1</v>
      </c>
      <c r="K342" s="73">
        <v>9</v>
      </c>
      <c r="L342" s="189">
        <v>360</v>
      </c>
      <c r="M342" s="189">
        <v>9</v>
      </c>
      <c r="N342" s="73">
        <v>69</v>
      </c>
      <c r="O342" s="189">
        <v>1677</v>
      </c>
      <c r="P342" s="189">
        <v>41.924999999999997</v>
      </c>
      <c r="Q342" s="73">
        <v>78</v>
      </c>
      <c r="R342" s="189">
        <v>2037</v>
      </c>
      <c r="S342" s="189">
        <v>50.924999999999997</v>
      </c>
    </row>
    <row r="343" spans="1:19" ht="15.75" thickBot="1" x14ac:dyDescent="0.3">
      <c r="A343" s="44" t="s">
        <v>1594</v>
      </c>
      <c r="B343" s="48" t="s">
        <v>1595</v>
      </c>
      <c r="C343" s="44" t="s">
        <v>837</v>
      </c>
      <c r="D343" s="73">
        <v>89779</v>
      </c>
      <c r="E343" s="73">
        <v>8</v>
      </c>
      <c r="F343" s="189">
        <v>320</v>
      </c>
      <c r="G343" s="189">
        <v>8</v>
      </c>
      <c r="H343" s="73">
        <v>12</v>
      </c>
      <c r="I343" s="189">
        <v>480</v>
      </c>
      <c r="J343" s="189">
        <v>12</v>
      </c>
      <c r="K343" s="73">
        <v>20</v>
      </c>
      <c r="L343" s="189">
        <v>800</v>
      </c>
      <c r="M343" s="189">
        <v>20</v>
      </c>
      <c r="N343" s="73">
        <v>53</v>
      </c>
      <c r="O343" s="189">
        <v>1083</v>
      </c>
      <c r="P343" s="189">
        <v>27.074999999999999</v>
      </c>
      <c r="Q343" s="73">
        <v>73</v>
      </c>
      <c r="R343" s="189">
        <v>1883</v>
      </c>
      <c r="S343" s="189">
        <v>47.075000000000003</v>
      </c>
    </row>
    <row r="344" spans="1:19" ht="15.75" thickBot="1" x14ac:dyDescent="0.3">
      <c r="A344" s="44" t="s">
        <v>1431</v>
      </c>
      <c r="B344" s="48" t="s">
        <v>1432</v>
      </c>
      <c r="C344" s="44" t="s">
        <v>822</v>
      </c>
      <c r="D344" s="73">
        <v>47299</v>
      </c>
      <c r="E344" s="73">
        <v>12</v>
      </c>
      <c r="F344" s="189">
        <v>321</v>
      </c>
      <c r="G344" s="189">
        <v>8.0250000000000004</v>
      </c>
      <c r="H344" s="73">
        <v>0</v>
      </c>
      <c r="I344" s="189">
        <v>0</v>
      </c>
      <c r="J344" s="189">
        <v>0</v>
      </c>
      <c r="K344" s="73">
        <v>12</v>
      </c>
      <c r="L344" s="189">
        <v>321</v>
      </c>
      <c r="M344" s="189">
        <v>8.0250000000000004</v>
      </c>
      <c r="N344" s="73">
        <v>12</v>
      </c>
      <c r="O344" s="189">
        <v>263</v>
      </c>
      <c r="P344" s="189">
        <v>6.5750000000000002</v>
      </c>
      <c r="Q344" s="73">
        <v>23</v>
      </c>
      <c r="R344" s="189">
        <v>584</v>
      </c>
      <c r="S344" s="189">
        <v>14.6</v>
      </c>
    </row>
    <row r="345" spans="1:19" ht="15.75" thickBot="1" x14ac:dyDescent="0.3">
      <c r="A345" s="44" t="s">
        <v>1055</v>
      </c>
      <c r="B345" s="48" t="s">
        <v>1056</v>
      </c>
      <c r="C345" s="44" t="s">
        <v>803</v>
      </c>
      <c r="D345" s="73">
        <v>19900</v>
      </c>
      <c r="E345" s="73">
        <v>14</v>
      </c>
      <c r="F345" s="189">
        <v>322</v>
      </c>
      <c r="G345" s="189">
        <v>8.0500000000000007</v>
      </c>
      <c r="H345" s="73">
        <v>0</v>
      </c>
      <c r="I345" s="189">
        <v>0</v>
      </c>
      <c r="J345" s="189">
        <v>0</v>
      </c>
      <c r="K345" s="73">
        <v>14</v>
      </c>
      <c r="L345" s="189">
        <v>322</v>
      </c>
      <c r="M345" s="189">
        <v>8.0500000000000007</v>
      </c>
      <c r="N345" s="73">
        <v>15</v>
      </c>
      <c r="O345" s="189">
        <v>292</v>
      </c>
      <c r="P345" s="189">
        <v>7.3</v>
      </c>
      <c r="Q345" s="73">
        <v>29</v>
      </c>
      <c r="R345" s="189">
        <v>614</v>
      </c>
      <c r="S345" s="189">
        <v>15.35</v>
      </c>
    </row>
    <row r="346" spans="1:19" ht="15.75" thickBot="1" x14ac:dyDescent="0.3">
      <c r="A346" s="44" t="s">
        <v>1401</v>
      </c>
      <c r="B346" s="48" t="s">
        <v>1402</v>
      </c>
      <c r="C346" s="44" t="s">
        <v>822</v>
      </c>
      <c r="D346" s="73">
        <v>48362</v>
      </c>
      <c r="E346" s="73">
        <v>12</v>
      </c>
      <c r="F346" s="189">
        <v>357.5</v>
      </c>
      <c r="G346" s="189">
        <v>8.9375</v>
      </c>
      <c r="H346" s="73">
        <v>4</v>
      </c>
      <c r="I346" s="189">
        <v>64.5</v>
      </c>
      <c r="J346" s="189">
        <v>1.6125</v>
      </c>
      <c r="K346" s="73">
        <v>16</v>
      </c>
      <c r="L346" s="189">
        <v>422</v>
      </c>
      <c r="M346" s="189">
        <v>10.55</v>
      </c>
      <c r="N346" s="73">
        <v>25</v>
      </c>
      <c r="O346" s="189">
        <v>422</v>
      </c>
      <c r="P346" s="189">
        <v>10.55</v>
      </c>
      <c r="Q346" s="73">
        <v>44</v>
      </c>
      <c r="R346" s="189">
        <v>844</v>
      </c>
      <c r="S346" s="189">
        <v>21.1</v>
      </c>
    </row>
    <row r="347" spans="1:19" ht="15.75" thickBot="1" x14ac:dyDescent="0.3">
      <c r="A347" s="44" t="s">
        <v>951</v>
      </c>
      <c r="B347" s="48" t="s">
        <v>952</v>
      </c>
      <c r="C347" s="44" t="s">
        <v>803</v>
      </c>
      <c r="D347" s="73">
        <v>15010</v>
      </c>
      <c r="E347" s="73">
        <v>9</v>
      </c>
      <c r="F347" s="189">
        <v>360</v>
      </c>
      <c r="G347" s="189">
        <v>9</v>
      </c>
      <c r="H347" s="73">
        <v>0</v>
      </c>
      <c r="I347" s="189">
        <v>0</v>
      </c>
      <c r="J347" s="189">
        <v>0</v>
      </c>
      <c r="K347" s="73">
        <v>9</v>
      </c>
      <c r="L347" s="189">
        <v>360</v>
      </c>
      <c r="M347" s="189">
        <v>9</v>
      </c>
      <c r="N347" s="73">
        <v>19</v>
      </c>
      <c r="O347" s="189">
        <v>455</v>
      </c>
      <c r="P347" s="189">
        <v>11.375</v>
      </c>
      <c r="Q347" s="73">
        <v>28</v>
      </c>
      <c r="R347" s="189">
        <v>815</v>
      </c>
      <c r="S347" s="189">
        <v>20.375</v>
      </c>
    </row>
    <row r="348" spans="1:19" ht="15.75" thickBot="1" x14ac:dyDescent="0.3">
      <c r="A348" s="44" t="s">
        <v>1389</v>
      </c>
      <c r="B348" s="48" t="s">
        <v>1390</v>
      </c>
      <c r="C348" s="44" t="s">
        <v>837</v>
      </c>
      <c r="D348" s="73">
        <v>124690</v>
      </c>
      <c r="E348" s="73">
        <v>10</v>
      </c>
      <c r="F348" s="189">
        <v>385</v>
      </c>
      <c r="G348" s="189">
        <v>9.625</v>
      </c>
      <c r="H348" s="73">
        <v>0</v>
      </c>
      <c r="I348" s="189">
        <v>0</v>
      </c>
      <c r="J348" s="189">
        <v>0</v>
      </c>
      <c r="K348" s="73">
        <v>10</v>
      </c>
      <c r="L348" s="189">
        <v>385</v>
      </c>
      <c r="M348" s="189">
        <v>9.625</v>
      </c>
      <c r="N348" s="73">
        <v>70</v>
      </c>
      <c r="O348" s="189">
        <v>1300</v>
      </c>
      <c r="P348" s="189">
        <v>32.5</v>
      </c>
      <c r="Q348" s="73">
        <v>80</v>
      </c>
      <c r="R348" s="189">
        <v>1685</v>
      </c>
      <c r="S348" s="189">
        <v>42.125</v>
      </c>
    </row>
    <row r="349" spans="1:19" ht="15.75" thickBot="1" x14ac:dyDescent="0.3">
      <c r="A349" s="44" t="s">
        <v>1009</v>
      </c>
      <c r="B349" s="48" t="s">
        <v>1010</v>
      </c>
      <c r="C349" s="44" t="s">
        <v>803</v>
      </c>
      <c r="D349" s="73">
        <v>19591</v>
      </c>
      <c r="E349" s="73">
        <v>14</v>
      </c>
      <c r="F349" s="189">
        <v>390</v>
      </c>
      <c r="G349" s="189">
        <v>9.75</v>
      </c>
      <c r="H349" s="73">
        <v>0</v>
      </c>
      <c r="I349" s="189">
        <v>0</v>
      </c>
      <c r="J349" s="189">
        <v>0</v>
      </c>
      <c r="K349" s="73">
        <v>14</v>
      </c>
      <c r="L349" s="189">
        <v>390</v>
      </c>
      <c r="M349" s="189">
        <v>9.75</v>
      </c>
      <c r="N349" s="73">
        <v>23</v>
      </c>
      <c r="O349" s="189">
        <v>295</v>
      </c>
      <c r="P349" s="189">
        <v>7.375</v>
      </c>
      <c r="Q349" s="73">
        <v>37</v>
      </c>
      <c r="R349" s="189">
        <v>685</v>
      </c>
      <c r="S349" s="189">
        <v>17.125</v>
      </c>
    </row>
    <row r="350" spans="1:19" ht="15.75" thickBot="1" x14ac:dyDescent="0.3">
      <c r="A350" s="44" t="s">
        <v>861</v>
      </c>
      <c r="B350" s="48" t="s">
        <v>862</v>
      </c>
      <c r="C350" s="44" t="s">
        <v>837</v>
      </c>
      <c r="D350" s="73">
        <v>107681</v>
      </c>
      <c r="E350" s="73">
        <v>10</v>
      </c>
      <c r="F350" s="189">
        <v>400</v>
      </c>
      <c r="G350" s="189">
        <v>10</v>
      </c>
      <c r="H350" s="73">
        <v>4</v>
      </c>
      <c r="I350" s="189">
        <v>22</v>
      </c>
      <c r="J350" s="189">
        <v>0.55000000000000004</v>
      </c>
      <c r="K350" s="73">
        <v>14</v>
      </c>
      <c r="L350" s="189">
        <v>422</v>
      </c>
      <c r="M350" s="189">
        <v>10.55</v>
      </c>
      <c r="N350" s="73">
        <v>104</v>
      </c>
      <c r="O350" s="189">
        <v>1854</v>
      </c>
      <c r="P350" s="189">
        <v>46.35</v>
      </c>
      <c r="Q350" s="73">
        <v>118</v>
      </c>
      <c r="R350" s="189">
        <v>2276</v>
      </c>
      <c r="S350" s="189">
        <v>56.9</v>
      </c>
    </row>
    <row r="351" spans="1:19" ht="15.75" thickBot="1" x14ac:dyDescent="0.3">
      <c r="A351" s="44" t="s">
        <v>1566</v>
      </c>
      <c r="B351" s="48" t="s">
        <v>1567</v>
      </c>
      <c r="C351" s="44" t="s">
        <v>837</v>
      </c>
      <c r="D351" s="73">
        <v>71997</v>
      </c>
      <c r="E351" s="73">
        <v>10</v>
      </c>
      <c r="F351" s="189">
        <v>400</v>
      </c>
      <c r="G351" s="189">
        <v>10</v>
      </c>
      <c r="H351" s="73">
        <v>0</v>
      </c>
      <c r="I351" s="189">
        <v>0</v>
      </c>
      <c r="J351" s="189">
        <v>0</v>
      </c>
      <c r="K351" s="73">
        <v>10</v>
      </c>
      <c r="L351" s="189">
        <v>400</v>
      </c>
      <c r="M351" s="189">
        <v>10</v>
      </c>
      <c r="N351" s="73">
        <v>21</v>
      </c>
      <c r="O351" s="189">
        <v>484</v>
      </c>
      <c r="P351" s="189">
        <v>12.1</v>
      </c>
      <c r="Q351" s="73">
        <v>31</v>
      </c>
      <c r="R351" s="189">
        <v>884</v>
      </c>
      <c r="S351" s="189">
        <v>22.1</v>
      </c>
    </row>
    <row r="352" spans="1:19" ht="15.75" thickBot="1" x14ac:dyDescent="0.3">
      <c r="A352" s="44" t="s">
        <v>957</v>
      </c>
      <c r="B352" s="48" t="s">
        <v>958</v>
      </c>
      <c r="C352" s="44" t="s">
        <v>822</v>
      </c>
      <c r="D352" s="73">
        <v>35563</v>
      </c>
      <c r="E352" s="73">
        <v>15</v>
      </c>
      <c r="F352" s="189">
        <v>404.41</v>
      </c>
      <c r="G352" s="189">
        <v>10.110250000000001</v>
      </c>
      <c r="H352" s="73">
        <v>0</v>
      </c>
      <c r="I352" s="189">
        <v>0</v>
      </c>
      <c r="J352" s="189">
        <v>0</v>
      </c>
      <c r="K352" s="73">
        <v>15</v>
      </c>
      <c r="L352" s="189">
        <v>404.41</v>
      </c>
      <c r="M352" s="189">
        <v>10.110250000000001</v>
      </c>
      <c r="N352" s="73">
        <v>30</v>
      </c>
      <c r="O352" s="189">
        <v>491.22</v>
      </c>
      <c r="P352" s="189">
        <v>12.2805</v>
      </c>
      <c r="Q352" s="73">
        <v>45</v>
      </c>
      <c r="R352" s="189">
        <v>895.63</v>
      </c>
      <c r="S352" s="189">
        <v>22.390750000000001</v>
      </c>
    </row>
    <row r="353" spans="1:19" ht="15.75" thickBot="1" x14ac:dyDescent="0.3">
      <c r="A353" s="44" t="s">
        <v>995</v>
      </c>
      <c r="B353" s="48" t="s">
        <v>996</v>
      </c>
      <c r="C353" s="44" t="s">
        <v>837</v>
      </c>
      <c r="D353" s="73">
        <v>57774</v>
      </c>
      <c r="E353" s="73">
        <v>13</v>
      </c>
      <c r="F353" s="189">
        <v>410</v>
      </c>
      <c r="G353" s="189">
        <v>10.25</v>
      </c>
      <c r="H353" s="73">
        <v>0</v>
      </c>
      <c r="I353" s="189">
        <v>0</v>
      </c>
      <c r="J353" s="189">
        <v>0</v>
      </c>
      <c r="K353" s="73">
        <v>13</v>
      </c>
      <c r="L353" s="189">
        <v>410</v>
      </c>
      <c r="M353" s="189">
        <v>10.25</v>
      </c>
      <c r="N353" s="73">
        <v>35</v>
      </c>
      <c r="O353" s="189">
        <v>475</v>
      </c>
      <c r="P353" s="189">
        <v>11.875</v>
      </c>
      <c r="Q353" s="73">
        <v>48</v>
      </c>
      <c r="R353" s="189">
        <v>885</v>
      </c>
      <c r="S353" s="189">
        <v>22.125</v>
      </c>
    </row>
    <row r="354" spans="1:19" ht="15.75" thickBot="1" x14ac:dyDescent="0.3">
      <c r="A354" s="44" t="s">
        <v>1335</v>
      </c>
      <c r="B354" s="48" t="s">
        <v>1336</v>
      </c>
      <c r="C354" s="44" t="s">
        <v>822</v>
      </c>
      <c r="D354" s="73">
        <v>35394</v>
      </c>
      <c r="E354" s="73">
        <v>16</v>
      </c>
      <c r="F354" s="189">
        <v>420</v>
      </c>
      <c r="G354" s="189">
        <v>10.5</v>
      </c>
      <c r="H354" s="73">
        <v>1</v>
      </c>
      <c r="I354" s="189">
        <v>37.5</v>
      </c>
      <c r="J354" s="189">
        <v>0.9375</v>
      </c>
      <c r="K354" s="73">
        <v>17</v>
      </c>
      <c r="L354" s="189">
        <v>457.5</v>
      </c>
      <c r="M354" s="189">
        <v>11.4375</v>
      </c>
      <c r="N354" s="73">
        <v>30</v>
      </c>
      <c r="O354" s="189">
        <v>701</v>
      </c>
      <c r="P354" s="189">
        <v>17.524999999999999</v>
      </c>
      <c r="Q354" s="73">
        <v>47</v>
      </c>
      <c r="R354" s="189">
        <v>1158.5</v>
      </c>
      <c r="S354" s="189">
        <v>28.962499999999999</v>
      </c>
    </row>
    <row r="355" spans="1:19" ht="15.75" thickBot="1" x14ac:dyDescent="0.3">
      <c r="A355" s="44" t="s">
        <v>907</v>
      </c>
      <c r="B355" s="48" t="s">
        <v>908</v>
      </c>
      <c r="C355" s="44" t="s">
        <v>822</v>
      </c>
      <c r="D355" s="73">
        <v>43254</v>
      </c>
      <c r="E355" s="73">
        <v>16</v>
      </c>
      <c r="F355" s="189">
        <v>423.01</v>
      </c>
      <c r="G355" s="189">
        <v>10.57525</v>
      </c>
      <c r="H355" s="73">
        <v>0</v>
      </c>
      <c r="I355" s="189">
        <v>0</v>
      </c>
      <c r="J355" s="189">
        <v>0</v>
      </c>
      <c r="K355" s="73">
        <v>16</v>
      </c>
      <c r="L355" s="189">
        <v>423.01</v>
      </c>
      <c r="M355" s="189">
        <v>10.57525</v>
      </c>
      <c r="N355" s="73">
        <v>39</v>
      </c>
      <c r="O355" s="189">
        <v>688.46</v>
      </c>
      <c r="P355" s="189">
        <v>17.211500000000001</v>
      </c>
      <c r="Q355" s="73">
        <v>55</v>
      </c>
      <c r="R355" s="189">
        <v>1111.47</v>
      </c>
      <c r="S355" s="189">
        <v>27.786750000000001</v>
      </c>
    </row>
    <row r="356" spans="1:19" ht="15.75" thickBot="1" x14ac:dyDescent="0.3">
      <c r="A356" s="44" t="s">
        <v>971</v>
      </c>
      <c r="B356" s="48" t="s">
        <v>972</v>
      </c>
      <c r="C356" s="44" t="s">
        <v>822</v>
      </c>
      <c r="D356" s="73">
        <v>40186</v>
      </c>
      <c r="E356" s="73">
        <v>12</v>
      </c>
      <c r="F356" s="189">
        <v>431</v>
      </c>
      <c r="G356" s="189">
        <v>10.775</v>
      </c>
      <c r="H356" s="73">
        <v>0</v>
      </c>
      <c r="I356" s="189">
        <v>0</v>
      </c>
      <c r="J356" s="189">
        <v>0</v>
      </c>
      <c r="K356" s="73">
        <v>12</v>
      </c>
      <c r="L356" s="189">
        <v>431</v>
      </c>
      <c r="M356" s="189">
        <v>10.775</v>
      </c>
      <c r="N356" s="73">
        <v>16</v>
      </c>
      <c r="O356" s="189">
        <v>343</v>
      </c>
      <c r="P356" s="189">
        <v>8.5749999999999993</v>
      </c>
      <c r="Q356" s="73">
        <v>29</v>
      </c>
      <c r="R356" s="189">
        <v>774</v>
      </c>
      <c r="S356" s="189">
        <v>19.350000000000001</v>
      </c>
    </row>
    <row r="357" spans="1:19" ht="15.75" thickBot="1" x14ac:dyDescent="0.3">
      <c r="A357" s="44" t="s">
        <v>1425</v>
      </c>
      <c r="B357" s="48" t="s">
        <v>1426</v>
      </c>
      <c r="C357" s="44" t="s">
        <v>822</v>
      </c>
      <c r="D357" s="73">
        <v>33839</v>
      </c>
      <c r="E357" s="73">
        <v>11</v>
      </c>
      <c r="F357" s="189">
        <v>440</v>
      </c>
      <c r="G357" s="189">
        <v>11</v>
      </c>
      <c r="H357" s="74">
        <v>0</v>
      </c>
      <c r="I357" s="189">
        <v>0</v>
      </c>
      <c r="J357" s="189">
        <v>0</v>
      </c>
      <c r="K357" s="73">
        <v>11</v>
      </c>
      <c r="L357" s="189">
        <v>440</v>
      </c>
      <c r="M357" s="189">
        <v>11</v>
      </c>
      <c r="N357" s="73">
        <v>19</v>
      </c>
      <c r="O357" s="189">
        <v>362</v>
      </c>
      <c r="P357" s="189">
        <v>9.0500000000000007</v>
      </c>
      <c r="Q357" s="73">
        <v>30</v>
      </c>
      <c r="R357" s="189">
        <v>802</v>
      </c>
      <c r="S357" s="189">
        <v>20.05</v>
      </c>
    </row>
    <row r="358" spans="1:19" ht="15.75" thickBot="1" x14ac:dyDescent="0.3">
      <c r="A358" s="44" t="s">
        <v>1564</v>
      </c>
      <c r="B358" s="48" t="s">
        <v>1565</v>
      </c>
      <c r="C358" s="44" t="s">
        <v>837</v>
      </c>
      <c r="D358" s="73">
        <v>134056</v>
      </c>
      <c r="E358" s="73">
        <v>12</v>
      </c>
      <c r="F358" s="189">
        <v>450</v>
      </c>
      <c r="G358" s="189">
        <v>11.25</v>
      </c>
      <c r="H358" s="73">
        <v>7</v>
      </c>
      <c r="I358" s="189">
        <v>125</v>
      </c>
      <c r="J358" s="189">
        <v>3.125</v>
      </c>
      <c r="K358" s="73">
        <v>19</v>
      </c>
      <c r="L358" s="189">
        <v>575</v>
      </c>
      <c r="M358" s="189">
        <v>14.375</v>
      </c>
      <c r="N358" s="73">
        <v>25</v>
      </c>
      <c r="O358" s="189">
        <v>445</v>
      </c>
      <c r="P358" s="189">
        <v>11.125</v>
      </c>
      <c r="Q358" s="73">
        <v>44</v>
      </c>
      <c r="R358" s="189">
        <v>1020</v>
      </c>
      <c r="S358" s="189">
        <v>25.5</v>
      </c>
    </row>
    <row r="359" spans="1:19" ht="15.75" thickBot="1" x14ac:dyDescent="0.3">
      <c r="A359" s="44" t="s">
        <v>983</v>
      </c>
      <c r="B359" s="48" t="s">
        <v>984</v>
      </c>
      <c r="C359" s="44" t="s">
        <v>822</v>
      </c>
      <c r="D359" s="73">
        <v>26391</v>
      </c>
      <c r="E359" s="73">
        <v>13</v>
      </c>
      <c r="F359" s="189">
        <v>455</v>
      </c>
      <c r="G359" s="189">
        <v>11.375</v>
      </c>
      <c r="H359" s="73">
        <v>0</v>
      </c>
      <c r="I359" s="189">
        <v>0</v>
      </c>
      <c r="J359" s="189">
        <v>0</v>
      </c>
      <c r="K359" s="73">
        <v>13</v>
      </c>
      <c r="L359" s="189">
        <v>455</v>
      </c>
      <c r="M359" s="189">
        <v>11.375</v>
      </c>
      <c r="N359" s="73">
        <v>19</v>
      </c>
      <c r="O359" s="189">
        <v>455</v>
      </c>
      <c r="P359" s="189">
        <v>11.375</v>
      </c>
      <c r="Q359" s="73">
        <v>32</v>
      </c>
      <c r="R359" s="189">
        <v>910</v>
      </c>
      <c r="S359" s="189">
        <v>22.75</v>
      </c>
    </row>
    <row r="360" spans="1:19" ht="15.75" thickBot="1" x14ac:dyDescent="0.3">
      <c r="A360" s="44" t="s">
        <v>1433</v>
      </c>
      <c r="B360" s="48" t="s">
        <v>1434</v>
      </c>
      <c r="C360" s="44" t="s">
        <v>837</v>
      </c>
      <c r="D360" s="73">
        <v>57236</v>
      </c>
      <c r="E360" s="73">
        <v>16</v>
      </c>
      <c r="F360" s="189">
        <v>455</v>
      </c>
      <c r="G360" s="189">
        <v>11.375</v>
      </c>
      <c r="H360" s="73">
        <v>0</v>
      </c>
      <c r="I360" s="189">
        <v>0</v>
      </c>
      <c r="J360" s="189">
        <v>0</v>
      </c>
      <c r="K360" s="73">
        <v>16</v>
      </c>
      <c r="L360" s="189">
        <v>455</v>
      </c>
      <c r="M360" s="189">
        <v>11.375</v>
      </c>
      <c r="N360" s="73">
        <v>23</v>
      </c>
      <c r="O360" s="189">
        <v>443</v>
      </c>
      <c r="P360" s="189">
        <v>11.074999999999999</v>
      </c>
      <c r="Q360" s="73">
        <v>39</v>
      </c>
      <c r="R360" s="189">
        <v>898</v>
      </c>
      <c r="S360" s="189">
        <v>22.45</v>
      </c>
    </row>
    <row r="361" spans="1:19" ht="15.75" thickBot="1" x14ac:dyDescent="0.3">
      <c r="A361" s="44" t="s">
        <v>1379</v>
      </c>
      <c r="B361" s="48" t="s">
        <v>1380</v>
      </c>
      <c r="C361" s="44" t="s">
        <v>837</v>
      </c>
      <c r="D361" s="73">
        <v>52170</v>
      </c>
      <c r="E361" s="73">
        <v>15</v>
      </c>
      <c r="F361" s="189">
        <v>477</v>
      </c>
      <c r="G361" s="189">
        <v>11.925000000000001</v>
      </c>
      <c r="H361" s="73">
        <v>5</v>
      </c>
      <c r="I361" s="189">
        <v>119.25</v>
      </c>
      <c r="J361" s="189">
        <v>2.9812500000000002</v>
      </c>
      <c r="K361" s="73">
        <v>20</v>
      </c>
      <c r="L361" s="189">
        <v>596.25</v>
      </c>
      <c r="M361" s="189">
        <v>14.90625</v>
      </c>
      <c r="N361" s="73">
        <v>28</v>
      </c>
      <c r="O361" s="189">
        <v>694.38</v>
      </c>
      <c r="P361" s="189">
        <v>17.359500000000001</v>
      </c>
      <c r="Q361" s="73">
        <v>48</v>
      </c>
      <c r="R361" s="189">
        <v>1290.6300000000001</v>
      </c>
      <c r="S361" s="189">
        <v>32.265749999999997</v>
      </c>
    </row>
    <row r="362" spans="1:19" ht="15.75" thickBot="1" x14ac:dyDescent="0.3">
      <c r="A362" s="44" t="s">
        <v>1496</v>
      </c>
      <c r="B362" s="48" t="s">
        <v>1497</v>
      </c>
      <c r="C362" s="44" t="s">
        <v>837</v>
      </c>
      <c r="D362" s="73">
        <v>129699</v>
      </c>
      <c r="E362" s="73">
        <v>16</v>
      </c>
      <c r="F362" s="189">
        <v>480</v>
      </c>
      <c r="G362" s="189">
        <v>12</v>
      </c>
      <c r="H362" s="73">
        <v>0</v>
      </c>
      <c r="I362" s="189">
        <v>0</v>
      </c>
      <c r="J362" s="189">
        <v>0</v>
      </c>
      <c r="K362" s="73">
        <v>16</v>
      </c>
      <c r="L362" s="189">
        <v>480</v>
      </c>
      <c r="M362" s="189">
        <v>12</v>
      </c>
      <c r="N362" s="73">
        <v>23</v>
      </c>
      <c r="O362" s="189">
        <v>620</v>
      </c>
      <c r="P362" s="189">
        <v>15.5</v>
      </c>
      <c r="Q362" s="73">
        <v>39</v>
      </c>
      <c r="R362" s="189">
        <v>1100</v>
      </c>
      <c r="S362" s="189">
        <v>27.5</v>
      </c>
    </row>
    <row r="363" spans="1:19" ht="15.75" thickBot="1" x14ac:dyDescent="0.3">
      <c r="A363" s="44" t="s">
        <v>1439</v>
      </c>
      <c r="B363" s="48" t="s">
        <v>1440</v>
      </c>
      <c r="C363" s="44" t="s">
        <v>837</v>
      </c>
      <c r="D363" s="73">
        <v>160312</v>
      </c>
      <c r="E363" s="73">
        <v>14</v>
      </c>
      <c r="F363" s="189">
        <v>492</v>
      </c>
      <c r="G363" s="189">
        <v>12.3</v>
      </c>
      <c r="H363" s="73">
        <v>9</v>
      </c>
      <c r="I363" s="189">
        <v>337.5</v>
      </c>
      <c r="J363" s="189">
        <v>8.4375</v>
      </c>
      <c r="K363" s="73">
        <v>23</v>
      </c>
      <c r="L363" s="189">
        <v>829.5</v>
      </c>
      <c r="M363" s="189">
        <v>20.737500000000001</v>
      </c>
      <c r="N363" s="73">
        <v>91</v>
      </c>
      <c r="O363" s="189">
        <v>1932.5</v>
      </c>
      <c r="P363" s="189">
        <v>48.3125</v>
      </c>
      <c r="Q363" s="73">
        <v>114</v>
      </c>
      <c r="R363" s="189">
        <v>2762</v>
      </c>
      <c r="S363" s="189">
        <v>69.05</v>
      </c>
    </row>
    <row r="364" spans="1:19" ht="15.75" thickBot="1" x14ac:dyDescent="0.3">
      <c r="A364" s="44" t="s">
        <v>1323</v>
      </c>
      <c r="B364" s="48" t="s">
        <v>1324</v>
      </c>
      <c r="C364" s="44" t="s">
        <v>822</v>
      </c>
      <c r="D364" s="73">
        <v>34467</v>
      </c>
      <c r="E364" s="73">
        <v>19</v>
      </c>
      <c r="F364" s="189">
        <v>496</v>
      </c>
      <c r="G364" s="189">
        <v>12.4</v>
      </c>
      <c r="H364" s="73">
        <v>0</v>
      </c>
      <c r="I364" s="189">
        <v>0</v>
      </c>
      <c r="J364" s="189">
        <v>0</v>
      </c>
      <c r="K364" s="73">
        <v>19</v>
      </c>
      <c r="L364" s="189">
        <v>496</v>
      </c>
      <c r="M364" s="189">
        <v>12.4</v>
      </c>
      <c r="N364" s="73">
        <v>35</v>
      </c>
      <c r="O364" s="189">
        <v>483</v>
      </c>
      <c r="P364" s="189">
        <v>12.074999999999999</v>
      </c>
      <c r="Q364" s="73">
        <v>55</v>
      </c>
      <c r="R364" s="189">
        <v>979</v>
      </c>
      <c r="S364" s="189">
        <v>24.475000000000001</v>
      </c>
    </row>
    <row r="365" spans="1:19" ht="15.75" thickBot="1" x14ac:dyDescent="0.3">
      <c r="A365" s="44" t="s">
        <v>1103</v>
      </c>
      <c r="B365" s="48" t="s">
        <v>1104</v>
      </c>
      <c r="C365" s="44" t="s">
        <v>837</v>
      </c>
      <c r="D365" s="73">
        <v>76707</v>
      </c>
      <c r="E365" s="73">
        <v>14</v>
      </c>
      <c r="F365" s="189">
        <v>500</v>
      </c>
      <c r="G365" s="189">
        <v>12.5</v>
      </c>
      <c r="H365" s="73">
        <v>5</v>
      </c>
      <c r="I365" s="189">
        <v>100</v>
      </c>
      <c r="J365" s="189">
        <v>2.5</v>
      </c>
      <c r="K365" s="73">
        <v>19</v>
      </c>
      <c r="L365" s="189">
        <v>600</v>
      </c>
      <c r="M365" s="189">
        <v>15</v>
      </c>
      <c r="N365" s="73">
        <v>31</v>
      </c>
      <c r="O365" s="189">
        <v>800</v>
      </c>
      <c r="P365" s="189">
        <v>20</v>
      </c>
      <c r="Q365" s="73">
        <v>50</v>
      </c>
      <c r="R365" s="189">
        <v>1400</v>
      </c>
      <c r="S365" s="189">
        <v>35</v>
      </c>
    </row>
    <row r="366" spans="1:19" ht="15.75" thickBot="1" x14ac:dyDescent="0.3">
      <c r="A366" s="44" t="s">
        <v>1307</v>
      </c>
      <c r="B366" s="48" t="s">
        <v>1308</v>
      </c>
      <c r="C366" s="44" t="s">
        <v>837</v>
      </c>
      <c r="D366" s="73">
        <v>105852</v>
      </c>
      <c r="E366" s="73">
        <v>13</v>
      </c>
      <c r="F366" s="189">
        <v>520</v>
      </c>
      <c r="G366" s="189">
        <v>13</v>
      </c>
      <c r="H366" s="73">
        <v>3</v>
      </c>
      <c r="I366" s="189">
        <v>120</v>
      </c>
      <c r="J366" s="189">
        <v>3</v>
      </c>
      <c r="K366" s="73">
        <v>16</v>
      </c>
      <c r="L366" s="189">
        <v>640</v>
      </c>
      <c r="M366" s="189">
        <v>16</v>
      </c>
      <c r="N366" s="73">
        <v>60</v>
      </c>
      <c r="O366" s="189">
        <v>1152</v>
      </c>
      <c r="P366" s="189">
        <v>28.8</v>
      </c>
      <c r="Q366" s="73">
        <v>63</v>
      </c>
      <c r="R366" s="189">
        <v>1792</v>
      </c>
      <c r="S366" s="189">
        <v>44.8</v>
      </c>
    </row>
    <row r="367" spans="1:19" ht="15.75" thickBot="1" x14ac:dyDescent="0.3">
      <c r="A367" s="44" t="s">
        <v>1137</v>
      </c>
      <c r="B367" s="48" t="s">
        <v>1138</v>
      </c>
      <c r="C367" s="44" t="s">
        <v>837</v>
      </c>
      <c r="D367" s="73">
        <v>102423</v>
      </c>
      <c r="E367" s="73">
        <v>13</v>
      </c>
      <c r="F367" s="189">
        <v>520.53</v>
      </c>
      <c r="G367" s="189">
        <v>13.013249999999999</v>
      </c>
      <c r="H367" s="73">
        <v>1</v>
      </c>
      <c r="I367" s="189">
        <v>40</v>
      </c>
      <c r="J367" s="189">
        <v>1</v>
      </c>
      <c r="K367" s="73">
        <v>14</v>
      </c>
      <c r="L367" s="189">
        <v>560.53</v>
      </c>
      <c r="M367" s="189">
        <v>14.013249999999999</v>
      </c>
      <c r="N367" s="73">
        <v>58</v>
      </c>
      <c r="O367" s="189">
        <v>1504.7</v>
      </c>
      <c r="P367" s="189">
        <v>37.6175</v>
      </c>
      <c r="Q367" s="73">
        <v>72</v>
      </c>
      <c r="R367" s="189">
        <v>2065.23</v>
      </c>
      <c r="S367" s="189">
        <v>51.630749999999999</v>
      </c>
    </row>
    <row r="368" spans="1:19" ht="15.75" thickBot="1" x14ac:dyDescent="0.3">
      <c r="A368" s="44" t="s">
        <v>1327</v>
      </c>
      <c r="B368" s="48" t="s">
        <v>1328</v>
      </c>
      <c r="C368" s="44" t="s">
        <v>837</v>
      </c>
      <c r="D368" s="73">
        <v>55374</v>
      </c>
      <c r="E368" s="73">
        <v>18</v>
      </c>
      <c r="F368" s="189">
        <v>524</v>
      </c>
      <c r="G368" s="189">
        <v>13.1</v>
      </c>
      <c r="H368" s="73">
        <v>0</v>
      </c>
      <c r="I368" s="189">
        <v>0</v>
      </c>
      <c r="J368" s="189">
        <v>0</v>
      </c>
      <c r="K368" s="73">
        <v>18</v>
      </c>
      <c r="L368" s="189">
        <v>524</v>
      </c>
      <c r="M368" s="189">
        <v>13.1</v>
      </c>
      <c r="N368" s="73">
        <v>46</v>
      </c>
      <c r="O368" s="189">
        <v>1066</v>
      </c>
      <c r="P368" s="189">
        <v>26.65</v>
      </c>
      <c r="Q368" s="73">
        <v>64</v>
      </c>
      <c r="R368" s="189">
        <v>1590</v>
      </c>
      <c r="S368" s="189">
        <v>39.75</v>
      </c>
    </row>
    <row r="369" spans="1:19" ht="15.75" thickBot="1" x14ac:dyDescent="0.3">
      <c r="A369" s="44" t="s">
        <v>1373</v>
      </c>
      <c r="B369" s="48" t="s">
        <v>1374</v>
      </c>
      <c r="C369" s="44" t="s">
        <v>822</v>
      </c>
      <c r="D369" s="73">
        <v>36656</v>
      </c>
      <c r="E369" s="73">
        <v>16</v>
      </c>
      <c r="F369" s="189">
        <v>530</v>
      </c>
      <c r="G369" s="189">
        <v>13.25</v>
      </c>
      <c r="H369" s="73">
        <v>0</v>
      </c>
      <c r="I369" s="189">
        <v>0</v>
      </c>
      <c r="J369" s="189">
        <v>0</v>
      </c>
      <c r="K369" s="73">
        <v>16</v>
      </c>
      <c r="L369" s="189">
        <v>530</v>
      </c>
      <c r="M369" s="189">
        <v>13.25</v>
      </c>
      <c r="N369" s="73">
        <v>46</v>
      </c>
      <c r="O369" s="189">
        <v>1210</v>
      </c>
      <c r="P369" s="189">
        <v>30.25</v>
      </c>
      <c r="Q369" s="73">
        <v>62</v>
      </c>
      <c r="R369" s="189">
        <v>1740</v>
      </c>
      <c r="S369" s="189">
        <v>43.5</v>
      </c>
    </row>
    <row r="370" spans="1:19" ht="15.75" thickBot="1" x14ac:dyDescent="0.3">
      <c r="A370" s="44" t="s">
        <v>1596</v>
      </c>
      <c r="B370" s="48" t="s">
        <v>1597</v>
      </c>
      <c r="C370" s="44" t="s">
        <v>837</v>
      </c>
      <c r="D370" s="73">
        <v>84094</v>
      </c>
      <c r="E370" s="73">
        <v>14</v>
      </c>
      <c r="F370" s="189">
        <v>532</v>
      </c>
      <c r="G370" s="189">
        <v>13.3</v>
      </c>
      <c r="H370" s="73">
        <v>0</v>
      </c>
      <c r="I370" s="189">
        <v>0</v>
      </c>
      <c r="J370" s="189">
        <v>0</v>
      </c>
      <c r="K370" s="73">
        <v>14</v>
      </c>
      <c r="L370" s="189">
        <v>532</v>
      </c>
      <c r="M370" s="189">
        <v>13.3</v>
      </c>
      <c r="N370" s="73">
        <v>31</v>
      </c>
      <c r="O370" s="189">
        <v>908</v>
      </c>
      <c r="P370" s="189">
        <v>22.7</v>
      </c>
      <c r="Q370" s="73">
        <v>45</v>
      </c>
      <c r="R370" s="189">
        <v>1440</v>
      </c>
      <c r="S370" s="189">
        <v>36</v>
      </c>
    </row>
    <row r="371" spans="1:19" ht="15.75" thickBot="1" x14ac:dyDescent="0.3">
      <c r="A371" s="44" t="s">
        <v>1063</v>
      </c>
      <c r="B371" s="48" t="s">
        <v>1064</v>
      </c>
      <c r="C371" s="44" t="s">
        <v>837</v>
      </c>
      <c r="D371" s="73">
        <v>102434</v>
      </c>
      <c r="E371" s="73">
        <v>14</v>
      </c>
      <c r="F371" s="189">
        <v>544</v>
      </c>
      <c r="G371" s="189">
        <v>13.6</v>
      </c>
      <c r="H371" s="73">
        <v>2</v>
      </c>
      <c r="I371" s="189">
        <v>80</v>
      </c>
      <c r="J371" s="189">
        <v>2</v>
      </c>
      <c r="K371" s="73">
        <v>16</v>
      </c>
      <c r="L371" s="189">
        <v>624</v>
      </c>
      <c r="M371" s="189">
        <v>15.6</v>
      </c>
      <c r="N371" s="73">
        <v>23</v>
      </c>
      <c r="O371" s="189">
        <v>611.5</v>
      </c>
      <c r="P371" s="189">
        <v>15.2875</v>
      </c>
      <c r="Q371" s="73">
        <v>39</v>
      </c>
      <c r="R371" s="189">
        <v>1235.5</v>
      </c>
      <c r="S371" s="189">
        <v>30.887499999999999</v>
      </c>
    </row>
    <row r="372" spans="1:19" ht="15.75" thickBot="1" x14ac:dyDescent="0.3">
      <c r="A372" s="44" t="s">
        <v>1574</v>
      </c>
      <c r="B372" s="48" t="s">
        <v>1575</v>
      </c>
      <c r="C372" s="44" t="s">
        <v>837</v>
      </c>
      <c r="D372" s="73">
        <v>71755</v>
      </c>
      <c r="E372" s="73">
        <v>18</v>
      </c>
      <c r="F372" s="189">
        <v>585</v>
      </c>
      <c r="G372" s="189">
        <v>14.625</v>
      </c>
      <c r="H372" s="73">
        <v>2</v>
      </c>
      <c r="I372" s="189">
        <v>63</v>
      </c>
      <c r="J372" s="189">
        <v>1.575</v>
      </c>
      <c r="K372" s="73">
        <v>20</v>
      </c>
      <c r="L372" s="189">
        <v>648</v>
      </c>
      <c r="M372" s="189">
        <v>16.2</v>
      </c>
      <c r="N372" s="73">
        <v>49</v>
      </c>
      <c r="O372" s="189">
        <v>844</v>
      </c>
      <c r="P372" s="189">
        <v>21.1</v>
      </c>
      <c r="Q372" s="73">
        <v>69</v>
      </c>
      <c r="R372" s="189">
        <v>1492</v>
      </c>
      <c r="S372" s="189">
        <v>37.299999999999997</v>
      </c>
    </row>
    <row r="373" spans="1:19" ht="15.75" thickBot="1" x14ac:dyDescent="0.3">
      <c r="A373" s="44" t="s">
        <v>1227</v>
      </c>
      <c r="B373" s="48" t="s">
        <v>1228</v>
      </c>
      <c r="C373" s="44" t="s">
        <v>837</v>
      </c>
      <c r="D373" s="73">
        <v>96942</v>
      </c>
      <c r="E373" s="73">
        <v>16</v>
      </c>
      <c r="F373" s="189">
        <v>600</v>
      </c>
      <c r="G373" s="189">
        <v>15</v>
      </c>
      <c r="H373" s="73">
        <v>2</v>
      </c>
      <c r="I373" s="189">
        <v>40</v>
      </c>
      <c r="J373" s="189">
        <v>1</v>
      </c>
      <c r="K373" s="73">
        <v>16</v>
      </c>
      <c r="L373" s="189">
        <v>600</v>
      </c>
      <c r="M373" s="189">
        <v>15</v>
      </c>
      <c r="N373" s="73">
        <v>33</v>
      </c>
      <c r="O373" s="189">
        <v>702</v>
      </c>
      <c r="P373" s="189">
        <v>17.55</v>
      </c>
      <c r="Q373" s="73">
        <v>49</v>
      </c>
      <c r="R373" s="189">
        <v>1302</v>
      </c>
      <c r="S373" s="189">
        <v>32.549999999999997</v>
      </c>
    </row>
    <row r="374" spans="1:19" ht="15.75" thickBot="1" x14ac:dyDescent="0.3">
      <c r="A374" s="44" t="s">
        <v>1542</v>
      </c>
      <c r="B374" s="48" t="s">
        <v>1543</v>
      </c>
      <c r="C374" s="44" t="s">
        <v>837</v>
      </c>
      <c r="D374" s="73">
        <v>80980</v>
      </c>
      <c r="E374" s="73">
        <v>24</v>
      </c>
      <c r="F374" s="189">
        <v>620</v>
      </c>
      <c r="G374" s="189">
        <v>15.5</v>
      </c>
      <c r="H374" s="73">
        <v>1</v>
      </c>
      <c r="I374" s="189">
        <v>40</v>
      </c>
      <c r="J374" s="189">
        <v>1</v>
      </c>
      <c r="K374" s="73">
        <v>25</v>
      </c>
      <c r="L374" s="189">
        <v>660</v>
      </c>
      <c r="M374" s="189">
        <v>16.5</v>
      </c>
      <c r="N374" s="73">
        <v>53</v>
      </c>
      <c r="O374" s="189">
        <v>1325</v>
      </c>
      <c r="P374" s="189">
        <v>33.125</v>
      </c>
      <c r="Q374" s="73">
        <v>78</v>
      </c>
      <c r="R374" s="189">
        <v>1985</v>
      </c>
      <c r="S374" s="189">
        <v>49.625</v>
      </c>
    </row>
    <row r="375" spans="1:19" ht="15.75" thickBot="1" x14ac:dyDescent="0.3">
      <c r="A375" s="44" t="s">
        <v>855</v>
      </c>
      <c r="B375" s="48" t="s">
        <v>856</v>
      </c>
      <c r="C375" s="44" t="s">
        <v>822</v>
      </c>
      <c r="D375" s="73">
        <v>35350</v>
      </c>
      <c r="E375" s="73">
        <v>42</v>
      </c>
      <c r="F375" s="189">
        <v>620.96</v>
      </c>
      <c r="G375" s="189">
        <v>15.523999999999999</v>
      </c>
      <c r="H375" s="73">
        <v>0</v>
      </c>
      <c r="I375" s="189">
        <v>0</v>
      </c>
      <c r="J375" s="189">
        <v>0</v>
      </c>
      <c r="K375" s="73">
        <v>42</v>
      </c>
      <c r="L375" s="189">
        <v>620.96</v>
      </c>
      <c r="M375" s="189">
        <v>15.523999999999999</v>
      </c>
      <c r="N375" s="73">
        <v>45</v>
      </c>
      <c r="O375" s="189">
        <v>767</v>
      </c>
      <c r="P375" s="189">
        <v>19.175000000000001</v>
      </c>
      <c r="Q375" s="73">
        <v>87</v>
      </c>
      <c r="R375" s="189">
        <v>1387.96</v>
      </c>
      <c r="S375" s="189">
        <v>34.698999999999998</v>
      </c>
    </row>
    <row r="376" spans="1:19" ht="15.75" thickBot="1" x14ac:dyDescent="0.3">
      <c r="A376" s="44" t="s">
        <v>1111</v>
      </c>
      <c r="B376" s="48" t="s">
        <v>1112</v>
      </c>
      <c r="C376" s="44" t="s">
        <v>837</v>
      </c>
      <c r="D376" s="73">
        <v>51133</v>
      </c>
      <c r="E376" s="73">
        <v>18</v>
      </c>
      <c r="F376" s="189">
        <v>636</v>
      </c>
      <c r="G376" s="189">
        <v>15.9</v>
      </c>
      <c r="H376" s="73">
        <v>0</v>
      </c>
      <c r="I376" s="189">
        <v>0</v>
      </c>
      <c r="J376" s="189">
        <v>0</v>
      </c>
      <c r="K376" s="73">
        <v>18</v>
      </c>
      <c r="L376" s="189">
        <v>636</v>
      </c>
      <c r="M376" s="189">
        <v>15.9</v>
      </c>
      <c r="N376" s="73">
        <v>90</v>
      </c>
      <c r="O376" s="189">
        <v>1152.3800000000001</v>
      </c>
      <c r="P376" s="189">
        <v>28.8095</v>
      </c>
      <c r="Q376" s="73">
        <v>108</v>
      </c>
      <c r="R376" s="189">
        <v>1788.38</v>
      </c>
      <c r="S376" s="189">
        <v>44.709499999999998</v>
      </c>
    </row>
    <row r="377" spans="1:19" ht="15.75" thickBot="1" x14ac:dyDescent="0.3">
      <c r="A377" s="44" t="s">
        <v>997</v>
      </c>
      <c r="B377" s="48" t="s">
        <v>998</v>
      </c>
      <c r="C377" s="44" t="s">
        <v>837</v>
      </c>
      <c r="D377" s="73">
        <v>98153</v>
      </c>
      <c r="E377" s="73">
        <v>17</v>
      </c>
      <c r="F377" s="189">
        <v>652</v>
      </c>
      <c r="G377" s="189">
        <v>16.3</v>
      </c>
      <c r="H377" s="73">
        <v>0</v>
      </c>
      <c r="I377" s="189">
        <v>0</v>
      </c>
      <c r="J377" s="189">
        <v>0</v>
      </c>
      <c r="K377" s="73">
        <v>17</v>
      </c>
      <c r="L377" s="189">
        <v>652</v>
      </c>
      <c r="M377" s="189">
        <v>16.3</v>
      </c>
      <c r="N377" s="73">
        <v>66</v>
      </c>
      <c r="O377" s="189">
        <v>1606</v>
      </c>
      <c r="P377" s="189">
        <v>40.15</v>
      </c>
      <c r="Q377" s="73">
        <v>83</v>
      </c>
      <c r="R377" s="189">
        <v>2258</v>
      </c>
      <c r="S377" s="189">
        <v>56.45</v>
      </c>
    </row>
    <row r="378" spans="1:19" ht="15.75" thickBot="1" x14ac:dyDescent="0.3">
      <c r="A378" s="44" t="s">
        <v>1293</v>
      </c>
      <c r="B378" s="48" t="s">
        <v>1294</v>
      </c>
      <c r="C378" s="44" t="s">
        <v>837</v>
      </c>
      <c r="D378" s="73">
        <v>149955</v>
      </c>
      <c r="E378" s="73">
        <v>17</v>
      </c>
      <c r="F378" s="189">
        <v>680</v>
      </c>
      <c r="G378" s="189">
        <v>17</v>
      </c>
      <c r="H378" s="73">
        <v>1</v>
      </c>
      <c r="I378" s="189">
        <v>40</v>
      </c>
      <c r="J378" s="189">
        <v>1</v>
      </c>
      <c r="K378" s="73">
        <v>23</v>
      </c>
      <c r="L378" s="189">
        <v>839</v>
      </c>
      <c r="M378" s="189">
        <v>20.975000000000001</v>
      </c>
      <c r="N378" s="73">
        <v>124</v>
      </c>
      <c r="O378" s="189">
        <v>3068.5</v>
      </c>
      <c r="P378" s="189">
        <v>76.712500000000006</v>
      </c>
      <c r="Q378" s="73">
        <v>147</v>
      </c>
      <c r="R378" s="189">
        <v>3907.5</v>
      </c>
      <c r="S378" s="189">
        <v>97.6875</v>
      </c>
    </row>
    <row r="379" spans="1:19" ht="15.75" thickBot="1" x14ac:dyDescent="0.3">
      <c r="A379" s="44" t="s">
        <v>1482</v>
      </c>
      <c r="B379" s="48" t="s">
        <v>1483</v>
      </c>
      <c r="C379" s="44" t="s">
        <v>837</v>
      </c>
      <c r="D379" s="73">
        <v>75814</v>
      </c>
      <c r="E379" s="73">
        <v>17</v>
      </c>
      <c r="F379" s="189">
        <v>680</v>
      </c>
      <c r="G379" s="189">
        <v>17</v>
      </c>
      <c r="H379" s="73">
        <v>0</v>
      </c>
      <c r="I379" s="189">
        <v>0</v>
      </c>
      <c r="J379" s="189">
        <v>0</v>
      </c>
      <c r="K379" s="73">
        <v>17</v>
      </c>
      <c r="L379" s="189">
        <v>680</v>
      </c>
      <c r="M379" s="189">
        <v>17</v>
      </c>
      <c r="N379" s="73">
        <v>95</v>
      </c>
      <c r="O379" s="189">
        <v>1880</v>
      </c>
      <c r="P379" s="189">
        <v>47</v>
      </c>
      <c r="Q379" s="73">
        <v>112</v>
      </c>
      <c r="R379" s="189">
        <v>2560</v>
      </c>
      <c r="S379" s="189">
        <v>64</v>
      </c>
    </row>
    <row r="380" spans="1:19" ht="15.75" thickBot="1" x14ac:dyDescent="0.3">
      <c r="A380" s="44" t="s">
        <v>835</v>
      </c>
      <c r="B380" s="48" t="s">
        <v>836</v>
      </c>
      <c r="C380" s="44" t="s">
        <v>837</v>
      </c>
      <c r="D380" s="73">
        <v>163590</v>
      </c>
      <c r="E380" s="73">
        <v>18</v>
      </c>
      <c r="F380" s="189">
        <v>720</v>
      </c>
      <c r="G380" s="189">
        <v>18</v>
      </c>
      <c r="H380" s="73">
        <v>0</v>
      </c>
      <c r="I380" s="189">
        <v>0</v>
      </c>
      <c r="J380" s="189">
        <v>0</v>
      </c>
      <c r="K380" s="73">
        <v>18</v>
      </c>
      <c r="L380" s="189">
        <v>720</v>
      </c>
      <c r="M380" s="189">
        <v>18</v>
      </c>
      <c r="N380" s="73">
        <v>170</v>
      </c>
      <c r="O380" s="189">
        <v>6045</v>
      </c>
      <c r="P380" s="189">
        <v>151.125</v>
      </c>
      <c r="Q380" s="73">
        <v>188</v>
      </c>
      <c r="R380" s="189">
        <v>6765</v>
      </c>
      <c r="S380" s="189">
        <v>169.125</v>
      </c>
    </row>
    <row r="381" spans="1:19" ht="15.75" thickBot="1" x14ac:dyDescent="0.3">
      <c r="A381" s="44" t="s">
        <v>1051</v>
      </c>
      <c r="B381" s="48" t="s">
        <v>1052</v>
      </c>
      <c r="C381" s="44" t="s">
        <v>837</v>
      </c>
      <c r="D381" s="73">
        <v>90112</v>
      </c>
      <c r="E381" s="73">
        <v>27</v>
      </c>
      <c r="F381" s="189">
        <v>720</v>
      </c>
      <c r="G381" s="189">
        <v>18</v>
      </c>
      <c r="H381" s="73">
        <v>11</v>
      </c>
      <c r="I381" s="189">
        <v>224</v>
      </c>
      <c r="J381" s="189">
        <v>5.6</v>
      </c>
      <c r="K381" s="73">
        <v>36</v>
      </c>
      <c r="L381" s="189">
        <v>936</v>
      </c>
      <c r="M381" s="189">
        <v>23.4</v>
      </c>
      <c r="N381" s="73">
        <v>106</v>
      </c>
      <c r="O381" s="189">
        <v>1975.13</v>
      </c>
      <c r="P381" s="189">
        <v>49.378250000000001</v>
      </c>
      <c r="Q381" s="73">
        <v>133</v>
      </c>
      <c r="R381" s="189">
        <v>2911.13</v>
      </c>
      <c r="S381" s="189">
        <v>72.77825</v>
      </c>
    </row>
    <row r="382" spans="1:19" ht="15.75" thickBot="1" x14ac:dyDescent="0.3">
      <c r="A382" s="44" t="s">
        <v>891</v>
      </c>
      <c r="B382" s="48" t="s">
        <v>892</v>
      </c>
      <c r="C382" s="44" t="s">
        <v>822</v>
      </c>
      <c r="D382" s="73">
        <v>41070</v>
      </c>
      <c r="E382" s="73">
        <v>22</v>
      </c>
      <c r="F382" s="189">
        <v>732.5</v>
      </c>
      <c r="G382" s="189">
        <v>18.3125</v>
      </c>
      <c r="H382" s="73">
        <v>0</v>
      </c>
      <c r="I382" s="189">
        <v>0</v>
      </c>
      <c r="J382" s="189">
        <v>0</v>
      </c>
      <c r="K382" s="73">
        <v>22</v>
      </c>
      <c r="L382" s="189">
        <v>732.5</v>
      </c>
      <c r="M382" s="189">
        <v>18.3125</v>
      </c>
      <c r="N382" s="73">
        <v>64</v>
      </c>
      <c r="O382" s="189">
        <v>1378</v>
      </c>
      <c r="P382" s="189">
        <v>34.450000000000003</v>
      </c>
      <c r="Q382" s="73">
        <v>86</v>
      </c>
      <c r="R382" s="189">
        <v>2110.5</v>
      </c>
      <c r="S382" s="189">
        <v>52.762500000000003</v>
      </c>
    </row>
    <row r="383" spans="1:19" ht="15.75" thickBot="1" x14ac:dyDescent="0.3">
      <c r="A383" s="44" t="s">
        <v>1602</v>
      </c>
      <c r="B383" s="48" t="s">
        <v>1603</v>
      </c>
      <c r="C383" s="44" t="s">
        <v>837</v>
      </c>
      <c r="D383" s="73">
        <v>82974</v>
      </c>
      <c r="E383" s="73">
        <v>19</v>
      </c>
      <c r="F383" s="189">
        <v>740</v>
      </c>
      <c r="G383" s="189">
        <v>18.5</v>
      </c>
      <c r="H383" s="73">
        <v>0</v>
      </c>
      <c r="I383" s="189">
        <v>0</v>
      </c>
      <c r="J383" s="189">
        <v>0</v>
      </c>
      <c r="K383" s="73">
        <v>19</v>
      </c>
      <c r="L383" s="189">
        <v>740</v>
      </c>
      <c r="M383" s="189">
        <v>18.5</v>
      </c>
      <c r="N383" s="73">
        <v>41</v>
      </c>
      <c r="O383" s="189">
        <v>1052</v>
      </c>
      <c r="P383" s="189">
        <v>26.3</v>
      </c>
      <c r="Q383" s="73">
        <v>60</v>
      </c>
      <c r="R383" s="189">
        <v>1792</v>
      </c>
      <c r="S383" s="189">
        <v>44.8</v>
      </c>
    </row>
    <row r="384" spans="1:19" ht="15.75" thickBot="1" x14ac:dyDescent="0.3">
      <c r="A384" s="44" t="s">
        <v>1187</v>
      </c>
      <c r="B384" s="48" t="s">
        <v>1188</v>
      </c>
      <c r="C384" s="44" t="s">
        <v>837</v>
      </c>
      <c r="D384" s="73">
        <v>116445</v>
      </c>
      <c r="E384" s="73">
        <v>20</v>
      </c>
      <c r="F384" s="189">
        <v>780</v>
      </c>
      <c r="G384" s="189">
        <v>19.5</v>
      </c>
      <c r="H384" s="73">
        <v>0</v>
      </c>
      <c r="I384" s="189">
        <v>0</v>
      </c>
      <c r="J384" s="189">
        <v>0</v>
      </c>
      <c r="K384" s="73">
        <v>20</v>
      </c>
      <c r="L384" s="189">
        <v>780</v>
      </c>
      <c r="M384" s="189">
        <v>19.5</v>
      </c>
      <c r="N384" s="73">
        <v>146</v>
      </c>
      <c r="O384" s="189">
        <v>4140</v>
      </c>
      <c r="P384" s="189">
        <v>103.5</v>
      </c>
      <c r="Q384" s="73">
        <v>166</v>
      </c>
      <c r="R384" s="189">
        <v>4920</v>
      </c>
      <c r="S384" s="189">
        <v>123</v>
      </c>
    </row>
    <row r="385" spans="1:19" ht="15.75" thickBot="1" x14ac:dyDescent="0.3">
      <c r="A385" s="44" t="s">
        <v>923</v>
      </c>
      <c r="B385" s="48" t="s">
        <v>924</v>
      </c>
      <c r="C385" s="44" t="s">
        <v>837</v>
      </c>
      <c r="D385" s="73">
        <v>90173</v>
      </c>
      <c r="E385" s="73">
        <v>30</v>
      </c>
      <c r="F385" s="189">
        <v>782</v>
      </c>
      <c r="G385" s="189">
        <v>19.55</v>
      </c>
      <c r="H385" s="73">
        <v>0</v>
      </c>
      <c r="I385" s="189">
        <v>0</v>
      </c>
      <c r="J385" s="189">
        <v>0</v>
      </c>
      <c r="K385" s="73">
        <v>30</v>
      </c>
      <c r="L385" s="189">
        <v>782</v>
      </c>
      <c r="M385" s="189">
        <v>19.55</v>
      </c>
      <c r="N385" s="73">
        <v>63</v>
      </c>
      <c r="O385" s="189">
        <v>1368.9</v>
      </c>
      <c r="P385" s="189">
        <v>34.222499999999997</v>
      </c>
      <c r="Q385" s="73">
        <v>93</v>
      </c>
      <c r="R385" s="189">
        <v>2150.9</v>
      </c>
      <c r="S385" s="189">
        <v>53.772500000000001</v>
      </c>
    </row>
    <row r="386" spans="1:19" ht="15.75" thickBot="1" x14ac:dyDescent="0.3">
      <c r="A386" s="44" t="s">
        <v>1179</v>
      </c>
      <c r="B386" s="48" t="s">
        <v>1180</v>
      </c>
      <c r="C386" s="44" t="s">
        <v>837</v>
      </c>
      <c r="D386" s="73">
        <v>160248</v>
      </c>
      <c r="E386" s="73">
        <v>20</v>
      </c>
      <c r="F386" s="189">
        <v>788</v>
      </c>
      <c r="G386" s="189">
        <v>19.7</v>
      </c>
      <c r="H386" s="73">
        <v>5</v>
      </c>
      <c r="I386" s="189">
        <v>200</v>
      </c>
      <c r="J386" s="189">
        <v>5</v>
      </c>
      <c r="K386" s="73">
        <v>25</v>
      </c>
      <c r="L386" s="189">
        <v>988</v>
      </c>
      <c r="M386" s="189">
        <v>24.7</v>
      </c>
      <c r="N386" s="73">
        <v>127</v>
      </c>
      <c r="O386" s="189">
        <v>2882</v>
      </c>
      <c r="P386" s="189">
        <v>72.05</v>
      </c>
      <c r="Q386" s="73">
        <v>152</v>
      </c>
      <c r="R386" s="189">
        <v>3870</v>
      </c>
      <c r="S386" s="189">
        <v>96.75</v>
      </c>
    </row>
    <row r="387" spans="1:19" ht="15.75" thickBot="1" x14ac:dyDescent="0.3">
      <c r="A387" s="44" t="s">
        <v>1423</v>
      </c>
      <c r="B387" s="48" t="s">
        <v>1424</v>
      </c>
      <c r="C387" s="44" t="s">
        <v>837</v>
      </c>
      <c r="D387" s="73">
        <v>100485</v>
      </c>
      <c r="E387" s="73">
        <v>51</v>
      </c>
      <c r="F387" s="189">
        <v>904</v>
      </c>
      <c r="G387" s="189">
        <v>22.6</v>
      </c>
      <c r="H387" s="73">
        <v>1</v>
      </c>
      <c r="I387" s="189">
        <v>38</v>
      </c>
      <c r="J387" s="189">
        <v>0.95</v>
      </c>
      <c r="K387" s="73">
        <v>51</v>
      </c>
      <c r="L387" s="189">
        <v>941</v>
      </c>
      <c r="M387" s="189">
        <v>23.524999999999999</v>
      </c>
      <c r="N387" s="73">
        <v>85</v>
      </c>
      <c r="O387" s="189">
        <v>1461</v>
      </c>
      <c r="P387" s="189">
        <v>36.524999999999999</v>
      </c>
      <c r="Q387" s="73">
        <v>136</v>
      </c>
      <c r="R387" s="189">
        <v>2402</v>
      </c>
      <c r="S387" s="189">
        <v>60.05</v>
      </c>
    </row>
    <row r="388" spans="1:19" ht="15.75" thickBot="1" x14ac:dyDescent="0.3">
      <c r="A388" s="44" t="s">
        <v>1107</v>
      </c>
      <c r="B388" s="48" t="s">
        <v>1108</v>
      </c>
      <c r="C388" s="44" t="s">
        <v>837</v>
      </c>
      <c r="D388" s="73">
        <v>188040</v>
      </c>
      <c r="E388" s="73">
        <v>23</v>
      </c>
      <c r="F388" s="189">
        <v>920</v>
      </c>
      <c r="G388" s="189">
        <v>23</v>
      </c>
      <c r="H388" s="73">
        <v>2</v>
      </c>
      <c r="I388" s="189">
        <v>80</v>
      </c>
      <c r="J388" s="189">
        <v>2</v>
      </c>
      <c r="K388" s="73">
        <v>25</v>
      </c>
      <c r="L388" s="189">
        <v>1000</v>
      </c>
      <c r="M388" s="189">
        <v>25</v>
      </c>
      <c r="N388" s="73">
        <v>132</v>
      </c>
      <c r="O388" s="189">
        <v>3060</v>
      </c>
      <c r="P388" s="189">
        <v>76.5</v>
      </c>
      <c r="Q388" s="73">
        <v>157</v>
      </c>
      <c r="R388" s="189">
        <v>4060</v>
      </c>
      <c r="S388" s="189">
        <v>101.5</v>
      </c>
    </row>
    <row r="389" spans="1:19" ht="15.75" thickBot="1" x14ac:dyDescent="0.3">
      <c r="A389" s="44" t="s">
        <v>961</v>
      </c>
      <c r="B389" s="48" t="s">
        <v>962</v>
      </c>
      <c r="C389" s="44" t="s">
        <v>837</v>
      </c>
      <c r="D389" s="73">
        <v>169833</v>
      </c>
      <c r="E389" s="73">
        <v>55</v>
      </c>
      <c r="F389" s="189">
        <v>1002</v>
      </c>
      <c r="G389" s="189">
        <v>25.05</v>
      </c>
      <c r="H389" s="73">
        <v>0</v>
      </c>
      <c r="I389" s="189">
        <v>0</v>
      </c>
      <c r="J389" s="189">
        <v>0</v>
      </c>
      <c r="K389" s="73">
        <v>55</v>
      </c>
      <c r="L389" s="189">
        <v>1002</v>
      </c>
      <c r="M389" s="189">
        <v>25.05</v>
      </c>
      <c r="N389" s="73">
        <v>95</v>
      </c>
      <c r="O389" s="189">
        <v>1414</v>
      </c>
      <c r="P389" s="189">
        <v>35.35</v>
      </c>
      <c r="Q389" s="73">
        <v>150</v>
      </c>
      <c r="R389" s="189">
        <v>2416</v>
      </c>
      <c r="S389" s="189">
        <v>60.4</v>
      </c>
    </row>
    <row r="390" spans="1:19" ht="15.75" thickBot="1" x14ac:dyDescent="0.3">
      <c r="A390" s="44" t="s">
        <v>1089</v>
      </c>
      <c r="B390" s="48" t="s">
        <v>1090</v>
      </c>
      <c r="C390" s="44" t="s">
        <v>837</v>
      </c>
      <c r="D390" s="73">
        <v>332567</v>
      </c>
      <c r="E390" s="73">
        <v>26</v>
      </c>
      <c r="F390" s="189">
        <v>1040</v>
      </c>
      <c r="G390" s="189">
        <v>26</v>
      </c>
      <c r="H390" s="73">
        <v>0</v>
      </c>
      <c r="I390" s="189">
        <v>0</v>
      </c>
      <c r="J390" s="189">
        <v>0</v>
      </c>
      <c r="K390" s="73">
        <v>26</v>
      </c>
      <c r="L390" s="189">
        <v>1040</v>
      </c>
      <c r="M390" s="189">
        <v>26</v>
      </c>
      <c r="N390" s="73">
        <v>105</v>
      </c>
      <c r="O390" s="189">
        <v>2197</v>
      </c>
      <c r="P390" s="189">
        <v>54.924999999999997</v>
      </c>
      <c r="Q390" s="73">
        <v>131</v>
      </c>
      <c r="R390" s="189">
        <v>3237</v>
      </c>
      <c r="S390" s="189">
        <v>80.924999999999997</v>
      </c>
    </row>
    <row r="391" spans="1:19" ht="15.75" thickBot="1" x14ac:dyDescent="0.3">
      <c r="A391" s="44" t="s">
        <v>925</v>
      </c>
      <c r="B391" s="48" t="s">
        <v>926</v>
      </c>
      <c r="C391" s="44" t="s">
        <v>837</v>
      </c>
      <c r="D391" s="73">
        <v>238859</v>
      </c>
      <c r="E391" s="73">
        <v>38</v>
      </c>
      <c r="F391" s="189">
        <v>1475</v>
      </c>
      <c r="G391" s="189">
        <v>36.875</v>
      </c>
      <c r="H391" s="73">
        <v>0</v>
      </c>
      <c r="I391" s="189">
        <v>0</v>
      </c>
      <c r="J391" s="189">
        <v>0</v>
      </c>
      <c r="K391" s="73">
        <v>38</v>
      </c>
      <c r="L391" s="189">
        <v>1475</v>
      </c>
      <c r="M391" s="189">
        <v>36.875</v>
      </c>
      <c r="N391" s="73">
        <v>179</v>
      </c>
      <c r="O391" s="189">
        <v>3811</v>
      </c>
      <c r="P391" s="189">
        <v>95.275000000000006</v>
      </c>
      <c r="Q391" s="73">
        <v>217</v>
      </c>
      <c r="R391" s="189">
        <v>5286</v>
      </c>
      <c r="S391" s="189">
        <v>132.15</v>
      </c>
    </row>
    <row r="392" spans="1:19" ht="15.75" thickBot="1" x14ac:dyDescent="0.3">
      <c r="A392" s="44" t="s">
        <v>1191</v>
      </c>
      <c r="B392" s="48" t="s">
        <v>1192</v>
      </c>
      <c r="C392" s="44" t="s">
        <v>837</v>
      </c>
      <c r="D392" s="73">
        <v>395660</v>
      </c>
      <c r="E392" s="73">
        <v>71</v>
      </c>
      <c r="F392" s="189">
        <v>2552</v>
      </c>
      <c r="G392" s="189">
        <v>63.8</v>
      </c>
      <c r="H392" s="73">
        <v>1</v>
      </c>
      <c r="I392" s="189">
        <v>40</v>
      </c>
      <c r="J392" s="189">
        <v>1</v>
      </c>
      <c r="K392" s="73">
        <v>72</v>
      </c>
      <c r="L392" s="189">
        <v>2592</v>
      </c>
      <c r="M392" s="189">
        <v>64.8</v>
      </c>
      <c r="N392" s="73">
        <v>243</v>
      </c>
      <c r="O392" s="189">
        <v>6585</v>
      </c>
      <c r="P392" s="189">
        <v>164.625</v>
      </c>
      <c r="Q392" s="73">
        <v>315</v>
      </c>
      <c r="R392" s="189">
        <v>9177</v>
      </c>
      <c r="S392" s="189">
        <v>229.42500000000001</v>
      </c>
    </row>
    <row r="393" spans="1:19" ht="15.75" thickBot="1" x14ac:dyDescent="0.3">
      <c r="A393" s="44" t="s">
        <v>1005</v>
      </c>
      <c r="B393" s="48" t="s">
        <v>1006</v>
      </c>
      <c r="C393" s="44" t="s">
        <v>837</v>
      </c>
      <c r="D393" s="73">
        <v>713777</v>
      </c>
      <c r="E393" s="73">
        <v>77</v>
      </c>
      <c r="F393" s="189">
        <v>3080</v>
      </c>
      <c r="G393" s="189">
        <v>77</v>
      </c>
      <c r="H393" s="73">
        <v>0</v>
      </c>
      <c r="I393" s="189">
        <v>0</v>
      </c>
      <c r="J393" s="189">
        <v>0</v>
      </c>
      <c r="K393" s="73">
        <v>77</v>
      </c>
      <c r="L393" s="189">
        <v>3080</v>
      </c>
      <c r="M393" s="189">
        <v>77</v>
      </c>
      <c r="N393" s="73">
        <v>222</v>
      </c>
      <c r="O393" s="189">
        <v>8880</v>
      </c>
      <c r="P393" s="189">
        <v>222</v>
      </c>
      <c r="Q393" s="73">
        <v>299</v>
      </c>
      <c r="R393" s="189">
        <v>11960</v>
      </c>
      <c r="S393" s="189">
        <v>299</v>
      </c>
    </row>
    <row r="394" spans="1:19" ht="15.75" thickBot="1" x14ac:dyDescent="0.3"/>
    <row r="395" spans="1:19" ht="18.75" thickBot="1" x14ac:dyDescent="0.3">
      <c r="B395" s="147" t="s">
        <v>3450</v>
      </c>
      <c r="C395" s="154">
        <f>SUBTOTAL(103,Table10[Library Class])</f>
        <v>390</v>
      </c>
    </row>
    <row r="396" spans="1:19" ht="16.5" thickBot="1" x14ac:dyDescent="0.3">
      <c r="C396" s="194" t="s">
        <v>3464</v>
      </c>
      <c r="D396" s="192">
        <f>SUBTOTAL(109,Table10[Total Population Served])</f>
        <v>9838063</v>
      </c>
      <c r="E396" s="171">
        <f>SUBTOTAL(109,Table10[Number of ALA-MLS Librarians])</f>
        <v>1596</v>
      </c>
      <c r="F396" s="171">
        <f>SUBTOTAL(109,Table10[Total Hours per Week worked by ALA-MLS Librarians])</f>
        <v>51754.27</v>
      </c>
      <c r="G396" s="171">
        <f>SUBTOTAL(109,Table10[ALA-MLS FTE (40 Hours/wk)])</f>
        <v>1293.8567499999997</v>
      </c>
      <c r="H396" s="171">
        <f>SUBTOTAL(109,Table10[Number of Other Librarians])</f>
        <v>813</v>
      </c>
      <c r="I396" s="171">
        <f>SUBTOTAL(109,Table10[Total Hours per Week worked by Other Librarians])</f>
        <v>21844.560000000001</v>
      </c>
      <c r="J396" s="171">
        <f>SUBTOTAL(109,Table10[Other Librarians FTE (40 Hours/wk)])</f>
        <v>546.11400000000003</v>
      </c>
      <c r="K396" s="171">
        <f>SUBTOTAL(109,Table10[Number of Total Librarians])</f>
        <v>2403</v>
      </c>
      <c r="L396" s="171">
        <f>SUBTOTAL(109,Table10[Total Hours per Week worked by Total Librarians])</f>
        <v>74302.320000000007</v>
      </c>
      <c r="M396" s="171">
        <f>SUBTOTAL(109,Table10[Total Librarians FTE (40 Hours/wk)])</f>
        <v>1857.558</v>
      </c>
      <c r="N396" s="171">
        <f>SUBTOTAL(109,Table10[Number of All Other Paid Staff])</f>
        <v>5775</v>
      </c>
      <c r="O396" s="171">
        <f>SUBTOTAL(109,Table10[Total Hours per Week worked by All Other Paid Staff])</f>
        <v>121854.06</v>
      </c>
      <c r="P396" s="171">
        <f>SUBTOTAL(109,Table10[All Other Paid Staff FTE (40 Hours/wk)])</f>
        <v>3046.3515000000007</v>
      </c>
      <c r="Q396" s="171">
        <f>SUBTOTAL(109,Table10[Number of Total Paid Employees])</f>
        <v>8159</v>
      </c>
      <c r="R396" s="171">
        <f>SUBTOTAL(109,Table10[Total Hours per Week worked by Total Paid Employees])</f>
        <v>196156.38000000003</v>
      </c>
      <c r="S396" s="193">
        <f>SUBTOTAL(109,Table10[Total Paid Employees FTE (40 Hours/wk)])</f>
        <v>4903.9094999999988</v>
      </c>
    </row>
    <row r="397" spans="1:19" ht="16.5" thickBot="1" x14ac:dyDescent="0.3">
      <c r="C397" s="191" t="s">
        <v>3465</v>
      </c>
      <c r="D397" s="195">
        <f>SUBTOTAL(101,Table10[Total Population Served])</f>
        <v>25225.802564102563</v>
      </c>
      <c r="E397" s="141">
        <f>SUBTOTAL(101,Table10[Number of ALA-MLS Librarians])</f>
        <v>4.092307692307692</v>
      </c>
      <c r="F397" s="141">
        <f>SUBTOTAL(101,Table10[Total Hours per Week worked by ALA-MLS Librarians])</f>
        <v>132.70325641025642</v>
      </c>
      <c r="G397" s="141">
        <f>SUBTOTAL(101,Table10[ALA-MLS FTE (40 Hours/wk)])</f>
        <v>3.3175814102564094</v>
      </c>
      <c r="H397" s="141">
        <f>SUBTOTAL(101,Table10[Number of Other Librarians])</f>
        <v>2.1116883116883116</v>
      </c>
      <c r="I397" s="141">
        <f>SUBTOTAL(101,Table10[Total Hours per Week worked by Other Librarians])</f>
        <v>56.011692307692314</v>
      </c>
      <c r="J397" s="141">
        <f>SUBTOTAL(101,Table10[Other Librarians FTE (40 Hours/wk)])</f>
        <v>1.4002923076923077</v>
      </c>
      <c r="K397" s="141">
        <f>SUBTOTAL(101,Table10[Number of Total Librarians])</f>
        <v>6.1615384615384619</v>
      </c>
      <c r="L397" s="141">
        <f>SUBTOTAL(101,Table10[Total Hours per Week worked by Total Librarians])</f>
        <v>190.51876923076924</v>
      </c>
      <c r="M397" s="141">
        <f>SUBTOTAL(101,Table10[Total Librarians FTE (40 Hours/wk)])</f>
        <v>4.7629692307692304</v>
      </c>
      <c r="N397" s="141">
        <f>SUBTOTAL(101,Table10[Number of All Other Paid Staff])</f>
        <v>14.807692307692308</v>
      </c>
      <c r="O397" s="141">
        <f>SUBTOTAL(101,Table10[Total Hours per Week worked by All Other Paid Staff])</f>
        <v>312.4463076923077</v>
      </c>
      <c r="P397" s="141">
        <f>SUBTOTAL(101,Table10[All Other Paid Staff FTE (40 Hours/wk)])</f>
        <v>7.8111576923076944</v>
      </c>
      <c r="Q397" s="141">
        <f>SUBTOTAL(101,Table10[Number of Total Paid Employees])</f>
        <v>20.920512820512819</v>
      </c>
      <c r="R397" s="141">
        <f>SUBTOTAL(101,Table10[Total Hours per Week worked by Total Paid Employees])</f>
        <v>502.96507692307699</v>
      </c>
      <c r="S397" s="196">
        <f>SUBTOTAL(101,Table10[Total Paid Employees FTE (40 Hours/wk)])</f>
        <v>12.574126923076919</v>
      </c>
    </row>
  </sheetData>
  <sortState xmlns:xlrd2="http://schemas.microsoft.com/office/spreadsheetml/2017/richdata2" ref="A4:S393">
    <sortCondition ref="C4:C393"/>
    <sortCondition ref="B4:B393"/>
  </sortState>
  <hyperlinks>
    <hyperlink ref="G1" location="'Table of Contents'!A1" display="Return to Table of Contents" xr:uid="{97D5BB09-B4D6-44A0-B2FC-02A17AF94E6F}"/>
  </hyperlinks>
  <pageMargins left="0.7" right="0.7" top="0.75" bottom="0.75" header="0.3" footer="0.3"/>
  <pageSetup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3186D-419C-42D5-9398-05FB60F997E8}">
  <sheetPr>
    <tabColor theme="3" tint="0.59999389629810485"/>
  </sheetPr>
  <dimension ref="A1:S406"/>
  <sheetViews>
    <sheetView workbookViewId="0">
      <pane ySplit="3" topLeftCell="A4" activePane="bottomLeft" state="frozen"/>
      <selection pane="bottomLeft" activeCell="G1" sqref="G1"/>
    </sheetView>
  </sheetViews>
  <sheetFormatPr defaultRowHeight="15" x14ac:dyDescent="0.25"/>
  <cols>
    <col min="1" max="1" width="15.28515625" customWidth="1"/>
    <col min="2" max="2" width="49" bestFit="1" customWidth="1"/>
    <col min="3" max="3" width="15.28515625" customWidth="1"/>
    <col min="4" max="4" width="19.28515625" customWidth="1"/>
    <col min="5" max="5" width="13.5703125" customWidth="1"/>
    <col min="6" max="6" width="13.140625" customWidth="1"/>
    <col min="7" max="7" width="10.42578125" customWidth="1"/>
    <col min="8" max="9" width="18.42578125" customWidth="1"/>
    <col min="10" max="10" width="18.140625" customWidth="1"/>
    <col min="11" max="11" width="16" customWidth="1"/>
    <col min="12" max="12" width="15.28515625" customWidth="1"/>
    <col min="13" max="13" width="9.85546875" customWidth="1"/>
    <col min="14" max="14" width="15.85546875" customWidth="1"/>
    <col min="15" max="15" width="13" customWidth="1"/>
    <col min="16" max="16" width="15.5703125" customWidth="1"/>
    <col min="17" max="17" width="13.140625" customWidth="1"/>
    <col min="18" max="19" width="15.28515625" customWidth="1"/>
  </cols>
  <sheetData>
    <row r="1" spans="1:19" ht="18.75" x14ac:dyDescent="0.3">
      <c r="B1" s="56" t="s">
        <v>3449</v>
      </c>
      <c r="D1" s="54" t="s">
        <v>3463</v>
      </c>
      <c r="G1" s="55" t="s">
        <v>13</v>
      </c>
    </row>
    <row r="3" spans="1:19" s="39" customFormat="1" ht="46.5" customHeight="1" thickBot="1" x14ac:dyDescent="0.3">
      <c r="A3" s="57" t="s">
        <v>784</v>
      </c>
      <c r="B3" s="57" t="s">
        <v>785</v>
      </c>
      <c r="C3" s="57" t="s">
        <v>786</v>
      </c>
      <c r="D3" s="57" t="s">
        <v>3386</v>
      </c>
      <c r="E3" s="57" t="s">
        <v>3387</v>
      </c>
      <c r="F3" s="57" t="s">
        <v>3388</v>
      </c>
      <c r="G3" s="57" t="s">
        <v>3389</v>
      </c>
      <c r="H3" s="57" t="s">
        <v>3390</v>
      </c>
      <c r="I3" s="57" t="s">
        <v>3391</v>
      </c>
      <c r="J3" s="57" t="s">
        <v>3392</v>
      </c>
      <c r="K3" s="57" t="s">
        <v>3393</v>
      </c>
      <c r="L3" s="57" t="s">
        <v>3394</v>
      </c>
      <c r="M3" s="57" t="s">
        <v>3395</v>
      </c>
      <c r="N3" s="57" t="s">
        <v>3396</v>
      </c>
      <c r="O3" s="57" t="s">
        <v>3397</v>
      </c>
      <c r="P3" s="57" t="s">
        <v>3398</v>
      </c>
      <c r="Q3" s="57" t="s">
        <v>3399</v>
      </c>
      <c r="R3" s="57" t="s">
        <v>3400</v>
      </c>
      <c r="S3" s="57" t="s">
        <v>3401</v>
      </c>
    </row>
    <row r="4" spans="1:19" ht="15.75" thickBot="1" x14ac:dyDescent="0.3">
      <c r="A4" s="44" t="s">
        <v>815</v>
      </c>
      <c r="B4" s="48" t="s">
        <v>816</v>
      </c>
      <c r="C4" s="44" t="s">
        <v>817</v>
      </c>
      <c r="D4" s="44" t="s">
        <v>1735</v>
      </c>
      <c r="E4" s="197">
        <v>39639</v>
      </c>
      <c r="F4" s="197">
        <v>39639</v>
      </c>
      <c r="G4" s="47">
        <v>40</v>
      </c>
      <c r="H4" s="44" t="s">
        <v>1644</v>
      </c>
      <c r="I4" s="44" t="s">
        <v>1644</v>
      </c>
      <c r="J4" s="44" t="s">
        <v>1644</v>
      </c>
      <c r="K4" s="44" t="s">
        <v>1644</v>
      </c>
      <c r="L4" s="44" t="s">
        <v>1643</v>
      </c>
      <c r="M4" s="44" t="s">
        <v>1643</v>
      </c>
      <c r="N4" s="44" t="s">
        <v>1643</v>
      </c>
      <c r="O4" s="44" t="s">
        <v>1643</v>
      </c>
      <c r="P4" s="44" t="s">
        <v>1643</v>
      </c>
      <c r="Q4" s="44" t="s">
        <v>1644</v>
      </c>
      <c r="R4" s="44" t="s">
        <v>1644</v>
      </c>
      <c r="S4" s="44" t="s">
        <v>1644</v>
      </c>
    </row>
    <row r="5" spans="1:19" ht="15.75" thickBot="1" x14ac:dyDescent="0.3">
      <c r="A5" s="44" t="s">
        <v>840</v>
      </c>
      <c r="B5" s="48" t="s">
        <v>841</v>
      </c>
      <c r="C5" s="44" t="s">
        <v>817</v>
      </c>
      <c r="D5" s="44" t="s">
        <v>850</v>
      </c>
      <c r="E5" s="197">
        <v>16000</v>
      </c>
      <c r="F5" s="197">
        <v>25000</v>
      </c>
      <c r="G5" s="47">
        <v>40</v>
      </c>
      <c r="H5" s="44" t="s">
        <v>1644</v>
      </c>
      <c r="I5" s="44" t="s">
        <v>1644</v>
      </c>
      <c r="J5" s="44" t="s">
        <v>1644</v>
      </c>
      <c r="K5" s="44" t="s">
        <v>1644</v>
      </c>
      <c r="L5" s="44" t="s">
        <v>1643</v>
      </c>
      <c r="M5" s="44" t="s">
        <v>1643</v>
      </c>
      <c r="N5" s="44" t="s">
        <v>1643</v>
      </c>
      <c r="O5" s="44" t="s">
        <v>1643</v>
      </c>
      <c r="P5" s="44" t="s">
        <v>1643</v>
      </c>
      <c r="Q5" s="44" t="s">
        <v>1644</v>
      </c>
      <c r="R5" s="44" t="s">
        <v>1644</v>
      </c>
      <c r="S5" s="44" t="s">
        <v>1643</v>
      </c>
    </row>
    <row r="6" spans="1:19" ht="15.75" thickBot="1" x14ac:dyDescent="0.3">
      <c r="A6" s="44" t="s">
        <v>863</v>
      </c>
      <c r="B6" s="48" t="s">
        <v>864</v>
      </c>
      <c r="C6" s="44" t="s">
        <v>817</v>
      </c>
      <c r="D6" s="44" t="s">
        <v>1735</v>
      </c>
      <c r="E6" s="197">
        <v>43500</v>
      </c>
      <c r="F6" s="197">
        <v>4500</v>
      </c>
      <c r="G6" s="47">
        <v>35</v>
      </c>
      <c r="H6" s="44" t="s">
        <v>1643</v>
      </c>
      <c r="I6" s="44" t="s">
        <v>1643</v>
      </c>
      <c r="J6" s="44" t="s">
        <v>1644</v>
      </c>
      <c r="K6" s="44" t="s">
        <v>1644</v>
      </c>
      <c r="L6" s="44" t="s">
        <v>1644</v>
      </c>
      <c r="M6" s="44" t="s">
        <v>1643</v>
      </c>
      <c r="N6" s="44" t="s">
        <v>1643</v>
      </c>
      <c r="O6" s="44" t="s">
        <v>1643</v>
      </c>
      <c r="P6" s="44" t="s">
        <v>1643</v>
      </c>
      <c r="Q6" s="44" t="s">
        <v>1644</v>
      </c>
      <c r="R6" s="44" t="s">
        <v>1644</v>
      </c>
      <c r="S6" s="44" t="s">
        <v>1644</v>
      </c>
    </row>
    <row r="7" spans="1:19" ht="15.75" thickBot="1" x14ac:dyDescent="0.3">
      <c r="A7" s="44" t="s">
        <v>865</v>
      </c>
      <c r="B7" s="48" t="s">
        <v>866</v>
      </c>
      <c r="C7" s="44" t="s">
        <v>817</v>
      </c>
      <c r="D7" s="44" t="s">
        <v>3404</v>
      </c>
      <c r="E7" s="197">
        <v>25000</v>
      </c>
      <c r="F7" s="197">
        <v>37000</v>
      </c>
      <c r="G7" s="47">
        <v>40</v>
      </c>
      <c r="H7" s="44" t="s">
        <v>1644</v>
      </c>
      <c r="I7" s="44" t="s">
        <v>1644</v>
      </c>
      <c r="J7" s="44" t="s">
        <v>1644</v>
      </c>
      <c r="K7" s="44" t="s">
        <v>1644</v>
      </c>
      <c r="L7" s="44" t="s">
        <v>1644</v>
      </c>
      <c r="M7" s="44" t="s">
        <v>1644</v>
      </c>
      <c r="N7" s="44" t="s">
        <v>1643</v>
      </c>
      <c r="O7" s="44" t="s">
        <v>1643</v>
      </c>
      <c r="P7" s="44" t="s">
        <v>1643</v>
      </c>
      <c r="Q7" s="44" t="s">
        <v>1644</v>
      </c>
      <c r="R7" s="44" t="s">
        <v>1644</v>
      </c>
      <c r="S7" s="44" t="s">
        <v>1644</v>
      </c>
    </row>
    <row r="8" spans="1:19" ht="15.75" thickBot="1" x14ac:dyDescent="0.3">
      <c r="A8" s="44" t="s">
        <v>869</v>
      </c>
      <c r="B8" s="48" t="s">
        <v>870</v>
      </c>
      <c r="C8" s="44" t="s">
        <v>817</v>
      </c>
      <c r="D8" s="44" t="s">
        <v>1735</v>
      </c>
      <c r="E8" s="197">
        <v>22900</v>
      </c>
      <c r="F8" s="197">
        <v>23587</v>
      </c>
      <c r="G8" s="47">
        <v>25</v>
      </c>
      <c r="H8" s="44" t="s">
        <v>1644</v>
      </c>
      <c r="I8" s="44" t="s">
        <v>1644</v>
      </c>
      <c r="J8" s="44" t="s">
        <v>1644</v>
      </c>
      <c r="K8" s="44" t="s">
        <v>1644</v>
      </c>
      <c r="L8" s="44" t="s">
        <v>1644</v>
      </c>
      <c r="M8" s="44" t="s">
        <v>1643</v>
      </c>
      <c r="N8" s="44" t="s">
        <v>1643</v>
      </c>
      <c r="O8" s="44" t="s">
        <v>1643</v>
      </c>
      <c r="P8" s="44" t="s">
        <v>1643</v>
      </c>
      <c r="Q8" s="44" t="s">
        <v>1644</v>
      </c>
      <c r="R8" s="44" t="s">
        <v>1644</v>
      </c>
      <c r="S8" s="44" t="s">
        <v>1644</v>
      </c>
    </row>
    <row r="9" spans="1:19" ht="15.75" thickBot="1" x14ac:dyDescent="0.3">
      <c r="A9" s="44" t="s">
        <v>873</v>
      </c>
      <c r="B9" s="48" t="s">
        <v>874</v>
      </c>
      <c r="C9" s="44" t="s">
        <v>817</v>
      </c>
      <c r="D9" s="44" t="s">
        <v>3402</v>
      </c>
      <c r="E9" s="197">
        <v>50000</v>
      </c>
      <c r="F9" s="197">
        <v>60000</v>
      </c>
      <c r="G9" s="47">
        <v>40</v>
      </c>
      <c r="H9" s="44" t="s">
        <v>1643</v>
      </c>
      <c r="I9" s="44" t="s">
        <v>1644</v>
      </c>
      <c r="J9" s="44" t="s">
        <v>1644</v>
      </c>
      <c r="K9" s="44" t="s">
        <v>1643</v>
      </c>
      <c r="L9" s="44" t="s">
        <v>1644</v>
      </c>
      <c r="M9" s="44" t="s">
        <v>1643</v>
      </c>
      <c r="N9" s="44" t="s">
        <v>1643</v>
      </c>
      <c r="O9" s="44" t="s">
        <v>1643</v>
      </c>
      <c r="P9" s="44" t="s">
        <v>1643</v>
      </c>
      <c r="Q9" s="44" t="s">
        <v>1643</v>
      </c>
      <c r="R9" s="44" t="s">
        <v>1643</v>
      </c>
      <c r="S9" s="44" t="s">
        <v>1644</v>
      </c>
    </row>
    <row r="10" spans="1:19" ht="15.75" thickBot="1" x14ac:dyDescent="0.3">
      <c r="A10" s="44" t="s">
        <v>875</v>
      </c>
      <c r="B10" s="48" t="s">
        <v>876</v>
      </c>
      <c r="C10" s="44" t="s">
        <v>817</v>
      </c>
      <c r="D10" s="44" t="s">
        <v>3404</v>
      </c>
      <c r="E10" s="197">
        <v>27109</v>
      </c>
      <c r="F10" s="197">
        <v>28288</v>
      </c>
      <c r="G10" s="47">
        <v>32</v>
      </c>
      <c r="H10" s="44" t="s">
        <v>1644</v>
      </c>
      <c r="I10" s="44" t="s">
        <v>1644</v>
      </c>
      <c r="J10" s="44" t="s">
        <v>1644</v>
      </c>
      <c r="K10" s="44" t="s">
        <v>1644</v>
      </c>
      <c r="L10" s="44" t="s">
        <v>1644</v>
      </c>
      <c r="M10" s="44" t="s">
        <v>1643</v>
      </c>
      <c r="N10" s="44" t="s">
        <v>1643</v>
      </c>
      <c r="O10" s="44" t="s">
        <v>1644</v>
      </c>
      <c r="P10" s="44" t="s">
        <v>1643</v>
      </c>
      <c r="Q10" s="44" t="s">
        <v>1644</v>
      </c>
      <c r="R10" s="44" t="s">
        <v>1644</v>
      </c>
      <c r="S10" s="44" t="s">
        <v>1644</v>
      </c>
    </row>
    <row r="11" spans="1:19" ht="15.75" thickBot="1" x14ac:dyDescent="0.3">
      <c r="A11" s="44" t="s">
        <v>883</v>
      </c>
      <c r="B11" s="48" t="s">
        <v>884</v>
      </c>
      <c r="C11" s="44" t="s">
        <v>817</v>
      </c>
      <c r="D11" s="44" t="s">
        <v>3404</v>
      </c>
      <c r="E11" s="197">
        <v>19045</v>
      </c>
      <c r="F11" s="197">
        <v>19045</v>
      </c>
      <c r="G11" s="47">
        <v>18</v>
      </c>
      <c r="H11" s="44" t="s">
        <v>1644</v>
      </c>
      <c r="I11" s="44" t="s">
        <v>1644</v>
      </c>
      <c r="J11" s="44" t="s">
        <v>1644</v>
      </c>
      <c r="K11" s="44" t="s">
        <v>1644</v>
      </c>
      <c r="L11" s="44" t="s">
        <v>1644</v>
      </c>
      <c r="M11" s="44" t="s">
        <v>1644</v>
      </c>
      <c r="N11" s="44" t="s">
        <v>1643</v>
      </c>
      <c r="O11" s="44" t="s">
        <v>1643</v>
      </c>
      <c r="P11" s="44" t="s">
        <v>1643</v>
      </c>
      <c r="Q11" s="44" t="s">
        <v>1644</v>
      </c>
      <c r="R11" s="44" t="s">
        <v>1644</v>
      </c>
      <c r="S11" s="44" t="s">
        <v>1644</v>
      </c>
    </row>
    <row r="12" spans="1:19" ht="15.75" thickBot="1" x14ac:dyDescent="0.3">
      <c r="A12" s="44" t="s">
        <v>915</v>
      </c>
      <c r="B12" s="48" t="s">
        <v>916</v>
      </c>
      <c r="C12" s="44" t="s">
        <v>817</v>
      </c>
      <c r="D12" s="44" t="s">
        <v>3404</v>
      </c>
      <c r="E12" s="197">
        <v>13952</v>
      </c>
      <c r="F12" s="197">
        <v>17952</v>
      </c>
      <c r="G12" s="47">
        <v>18</v>
      </c>
      <c r="H12" s="44" t="s">
        <v>1644</v>
      </c>
      <c r="I12" s="44" t="s">
        <v>1644</v>
      </c>
      <c r="J12" s="44" t="s">
        <v>1644</v>
      </c>
      <c r="K12" s="44" t="s">
        <v>1644</v>
      </c>
      <c r="L12" s="44" t="s">
        <v>1644</v>
      </c>
      <c r="M12" s="44" t="s">
        <v>1644</v>
      </c>
      <c r="N12" s="44" t="s">
        <v>1644</v>
      </c>
      <c r="O12" s="44" t="s">
        <v>1644</v>
      </c>
      <c r="P12" s="44" t="s">
        <v>1644</v>
      </c>
      <c r="Q12" s="44" t="s">
        <v>1644</v>
      </c>
      <c r="R12" s="44" t="s">
        <v>1644</v>
      </c>
      <c r="S12" s="44" t="s">
        <v>1644</v>
      </c>
    </row>
    <row r="13" spans="1:19" ht="15.75" thickBot="1" x14ac:dyDescent="0.3">
      <c r="A13" s="44" t="s">
        <v>929</v>
      </c>
      <c r="B13" s="48" t="s">
        <v>930</v>
      </c>
      <c r="C13" s="44" t="s">
        <v>817</v>
      </c>
      <c r="D13" s="44" t="s">
        <v>3404</v>
      </c>
      <c r="E13" s="197">
        <v>10140</v>
      </c>
      <c r="F13" s="197">
        <v>15000</v>
      </c>
      <c r="G13" s="47">
        <v>20</v>
      </c>
      <c r="H13" s="44" t="s">
        <v>1644</v>
      </c>
      <c r="I13" s="44" t="s">
        <v>1644</v>
      </c>
      <c r="J13" s="44" t="s">
        <v>1644</v>
      </c>
      <c r="K13" s="44" t="s">
        <v>1644</v>
      </c>
      <c r="L13" s="44" t="s">
        <v>1644</v>
      </c>
      <c r="M13" s="44" t="s">
        <v>1644</v>
      </c>
      <c r="N13" s="44" t="s">
        <v>1643</v>
      </c>
      <c r="O13" s="44" t="s">
        <v>1644</v>
      </c>
      <c r="P13" s="44" t="s">
        <v>1643</v>
      </c>
      <c r="Q13" s="44" t="s">
        <v>1644</v>
      </c>
      <c r="R13" s="44" t="s">
        <v>1644</v>
      </c>
      <c r="S13" s="44" t="s">
        <v>1644</v>
      </c>
    </row>
    <row r="14" spans="1:19" ht="15.75" thickBot="1" x14ac:dyDescent="0.3">
      <c r="A14" s="44" t="s">
        <v>939</v>
      </c>
      <c r="B14" s="48" t="s">
        <v>940</v>
      </c>
      <c r="C14" s="44" t="s">
        <v>817</v>
      </c>
      <c r="D14" s="44" t="s">
        <v>3404</v>
      </c>
      <c r="E14" s="197">
        <v>33998</v>
      </c>
      <c r="F14" s="197">
        <v>38854</v>
      </c>
      <c r="G14" s="47">
        <v>32</v>
      </c>
      <c r="H14" s="44" t="s">
        <v>1644</v>
      </c>
      <c r="I14" s="44" t="s">
        <v>1644</v>
      </c>
      <c r="J14" s="44" t="s">
        <v>1644</v>
      </c>
      <c r="K14" s="44" t="s">
        <v>1644</v>
      </c>
      <c r="L14" s="44" t="s">
        <v>1644</v>
      </c>
      <c r="M14" s="44" t="s">
        <v>1643</v>
      </c>
      <c r="N14" s="44" t="s">
        <v>1643</v>
      </c>
      <c r="O14" s="44" t="s">
        <v>1644</v>
      </c>
      <c r="P14" s="44" t="s">
        <v>1643</v>
      </c>
      <c r="Q14" s="44" t="s">
        <v>1644</v>
      </c>
      <c r="R14" s="44" t="s">
        <v>1644</v>
      </c>
      <c r="S14" s="44" t="s">
        <v>1644</v>
      </c>
    </row>
    <row r="15" spans="1:19" ht="15.75" thickBot="1" x14ac:dyDescent="0.3">
      <c r="A15" s="44" t="s">
        <v>947</v>
      </c>
      <c r="B15" s="48" t="s">
        <v>948</v>
      </c>
      <c r="C15" s="44" t="s">
        <v>817</v>
      </c>
      <c r="D15" s="44" t="s">
        <v>3404</v>
      </c>
      <c r="E15" s="197">
        <v>14325</v>
      </c>
      <c r="F15" s="197">
        <v>17994</v>
      </c>
      <c r="G15" s="47">
        <v>35</v>
      </c>
      <c r="H15" s="44" t="s">
        <v>1644</v>
      </c>
      <c r="I15" s="44" t="s">
        <v>1644</v>
      </c>
      <c r="J15" s="44" t="s">
        <v>1644</v>
      </c>
      <c r="K15" s="44" t="s">
        <v>1644</v>
      </c>
      <c r="L15" s="44" t="s">
        <v>1644</v>
      </c>
      <c r="M15" s="44" t="s">
        <v>1644</v>
      </c>
      <c r="N15" s="44" t="s">
        <v>1643</v>
      </c>
      <c r="O15" s="44" t="s">
        <v>1644</v>
      </c>
      <c r="P15" s="44" t="s">
        <v>1644</v>
      </c>
      <c r="Q15" s="44" t="s">
        <v>1644</v>
      </c>
      <c r="R15" s="44" t="s">
        <v>1644</v>
      </c>
      <c r="S15" s="44" t="s">
        <v>1644</v>
      </c>
    </row>
    <row r="16" spans="1:19" ht="15.75" thickBot="1" x14ac:dyDescent="0.3">
      <c r="A16" s="44" t="s">
        <v>959</v>
      </c>
      <c r="B16" s="48" t="s">
        <v>960</v>
      </c>
      <c r="C16" s="44" t="s">
        <v>817</v>
      </c>
      <c r="D16" s="44" t="s">
        <v>3403</v>
      </c>
      <c r="E16" s="197">
        <v>40000</v>
      </c>
      <c r="F16" s="197">
        <v>45000</v>
      </c>
      <c r="G16" s="47">
        <v>35</v>
      </c>
      <c r="H16" s="44" t="s">
        <v>1644</v>
      </c>
      <c r="I16" s="44" t="s">
        <v>1644</v>
      </c>
      <c r="J16" s="44" t="s">
        <v>1644</v>
      </c>
      <c r="K16" s="44" t="s">
        <v>1644</v>
      </c>
      <c r="L16" s="44" t="s">
        <v>1644</v>
      </c>
      <c r="M16" s="44" t="s">
        <v>1643</v>
      </c>
      <c r="N16" s="44" t="s">
        <v>1643</v>
      </c>
      <c r="O16" s="44" t="s">
        <v>1643</v>
      </c>
      <c r="P16" s="44" t="s">
        <v>1643</v>
      </c>
      <c r="Q16" s="44" t="s">
        <v>1644</v>
      </c>
      <c r="R16" s="44" t="s">
        <v>1644</v>
      </c>
      <c r="S16" s="44" t="s">
        <v>1644</v>
      </c>
    </row>
    <row r="17" spans="1:19" ht="15.75" thickBot="1" x14ac:dyDescent="0.3">
      <c r="A17" s="44" t="s">
        <v>967</v>
      </c>
      <c r="B17" s="48" t="s">
        <v>968</v>
      </c>
      <c r="C17" s="44" t="s">
        <v>817</v>
      </c>
      <c r="D17" s="44" t="s">
        <v>3404</v>
      </c>
      <c r="E17" s="197">
        <v>32100</v>
      </c>
      <c r="F17" s="197">
        <v>32100</v>
      </c>
      <c r="G17" s="47">
        <v>32</v>
      </c>
      <c r="H17" s="44" t="s">
        <v>1644</v>
      </c>
      <c r="I17" s="44" t="s">
        <v>1644</v>
      </c>
      <c r="J17" s="44" t="s">
        <v>1644</v>
      </c>
      <c r="K17" s="44" t="s">
        <v>1644</v>
      </c>
      <c r="L17" s="44" t="s">
        <v>1644</v>
      </c>
      <c r="M17" s="44" t="s">
        <v>1643</v>
      </c>
      <c r="N17" s="44" t="s">
        <v>1643</v>
      </c>
      <c r="O17" s="44" t="s">
        <v>1643</v>
      </c>
      <c r="P17" s="44" t="s">
        <v>1643</v>
      </c>
      <c r="Q17" s="44" t="s">
        <v>1644</v>
      </c>
      <c r="R17" s="44" t="s">
        <v>1644</v>
      </c>
      <c r="S17" s="44" t="s">
        <v>1644</v>
      </c>
    </row>
    <row r="18" spans="1:19" ht="15.75" thickBot="1" x14ac:dyDescent="0.3">
      <c r="A18" s="44" t="s">
        <v>969</v>
      </c>
      <c r="B18" s="48" t="s">
        <v>970</v>
      </c>
      <c r="C18" s="44" t="s">
        <v>817</v>
      </c>
      <c r="D18" s="44" t="s">
        <v>3403</v>
      </c>
      <c r="E18" s="197">
        <v>12000</v>
      </c>
      <c r="F18" s="197">
        <v>22000</v>
      </c>
      <c r="G18" s="47">
        <v>26</v>
      </c>
      <c r="H18" s="44" t="s">
        <v>1644</v>
      </c>
      <c r="I18" s="44" t="s">
        <v>1644</v>
      </c>
      <c r="J18" s="44" t="s">
        <v>1644</v>
      </c>
      <c r="K18" s="44" t="s">
        <v>1644</v>
      </c>
      <c r="L18" s="44" t="s">
        <v>1644</v>
      </c>
      <c r="M18" s="44" t="s">
        <v>1644</v>
      </c>
      <c r="N18" s="44" t="s">
        <v>1644</v>
      </c>
      <c r="O18" s="44" t="s">
        <v>1644</v>
      </c>
      <c r="P18" s="44" t="s">
        <v>1644</v>
      </c>
      <c r="Q18" s="44" t="s">
        <v>1644</v>
      </c>
      <c r="R18" s="44" t="s">
        <v>1644</v>
      </c>
      <c r="S18" s="44" t="s">
        <v>1644</v>
      </c>
    </row>
    <row r="19" spans="1:19" ht="15.75" thickBot="1" x14ac:dyDescent="0.3">
      <c r="A19" s="44" t="s">
        <v>985</v>
      </c>
      <c r="B19" s="48" t="s">
        <v>986</v>
      </c>
      <c r="C19" s="44" t="s">
        <v>817</v>
      </c>
      <c r="D19" s="44" t="s">
        <v>3402</v>
      </c>
      <c r="E19" s="197">
        <v>37000</v>
      </c>
      <c r="F19" s="197">
        <v>38000</v>
      </c>
      <c r="G19" s="47">
        <v>40</v>
      </c>
      <c r="H19" s="44" t="s">
        <v>1644</v>
      </c>
      <c r="I19" s="44" t="s">
        <v>1644</v>
      </c>
      <c r="J19" s="44" t="s">
        <v>1644</v>
      </c>
      <c r="K19" s="44" t="s">
        <v>1644</v>
      </c>
      <c r="L19" s="44" t="s">
        <v>1644</v>
      </c>
      <c r="M19" s="44" t="s">
        <v>1644</v>
      </c>
      <c r="N19" s="44" t="s">
        <v>1644</v>
      </c>
      <c r="O19" s="44" t="s">
        <v>1643</v>
      </c>
      <c r="P19" s="44" t="s">
        <v>1644</v>
      </c>
      <c r="Q19" s="44" t="s">
        <v>1644</v>
      </c>
      <c r="R19" s="44" t="s">
        <v>1644</v>
      </c>
      <c r="S19" s="44" t="s">
        <v>1644</v>
      </c>
    </row>
    <row r="20" spans="1:19" ht="15.75" thickBot="1" x14ac:dyDescent="0.3">
      <c r="A20" s="44" t="s">
        <v>987</v>
      </c>
      <c r="B20" s="48" t="s">
        <v>988</v>
      </c>
      <c r="C20" s="44" t="s">
        <v>817</v>
      </c>
      <c r="D20" s="44" t="s">
        <v>3404</v>
      </c>
      <c r="E20" s="197">
        <v>19500</v>
      </c>
      <c r="F20" s="197">
        <v>23400</v>
      </c>
      <c r="G20" s="47">
        <v>25</v>
      </c>
      <c r="H20" s="44" t="s">
        <v>1644</v>
      </c>
      <c r="I20" s="44" t="s">
        <v>1644</v>
      </c>
      <c r="J20" s="44" t="s">
        <v>1644</v>
      </c>
      <c r="K20" s="44" t="s">
        <v>1644</v>
      </c>
      <c r="L20" s="44" t="s">
        <v>1644</v>
      </c>
      <c r="M20" s="44" t="s">
        <v>1644</v>
      </c>
      <c r="N20" s="44" t="s">
        <v>1643</v>
      </c>
      <c r="O20" s="44" t="s">
        <v>1644</v>
      </c>
      <c r="P20" s="44" t="s">
        <v>1643</v>
      </c>
      <c r="Q20" s="44" t="s">
        <v>1644</v>
      </c>
      <c r="R20" s="44" t="s">
        <v>1644</v>
      </c>
      <c r="S20" s="44" t="s">
        <v>1644</v>
      </c>
    </row>
    <row r="21" spans="1:19" ht="15.75" thickBot="1" x14ac:dyDescent="0.3">
      <c r="A21" s="44" t="s">
        <v>989</v>
      </c>
      <c r="B21" s="48" t="s">
        <v>990</v>
      </c>
      <c r="C21" s="44" t="s">
        <v>817</v>
      </c>
      <c r="D21" s="44" t="s">
        <v>3404</v>
      </c>
      <c r="E21" s="197">
        <v>28080</v>
      </c>
      <c r="F21" s="197">
        <v>32760</v>
      </c>
      <c r="G21" s="47">
        <v>30</v>
      </c>
      <c r="H21" s="44" t="s">
        <v>1644</v>
      </c>
      <c r="I21" s="44" t="s">
        <v>1644</v>
      </c>
      <c r="J21" s="44" t="s">
        <v>1644</v>
      </c>
      <c r="K21" s="44" t="s">
        <v>1644</v>
      </c>
      <c r="L21" s="44" t="s">
        <v>1644</v>
      </c>
      <c r="M21" s="44" t="s">
        <v>1644</v>
      </c>
      <c r="N21" s="44" t="s">
        <v>1643</v>
      </c>
      <c r="O21" s="44" t="s">
        <v>1644</v>
      </c>
      <c r="P21" s="44" t="s">
        <v>1643</v>
      </c>
      <c r="Q21" s="44" t="s">
        <v>1644</v>
      </c>
      <c r="R21" s="44" t="s">
        <v>1644</v>
      </c>
      <c r="S21" s="44" t="s">
        <v>1643</v>
      </c>
    </row>
    <row r="22" spans="1:19" ht="15.75" thickBot="1" x14ac:dyDescent="0.3">
      <c r="A22" s="44" t="s">
        <v>991</v>
      </c>
      <c r="B22" s="48" t="s">
        <v>992</v>
      </c>
      <c r="C22" s="44" t="s">
        <v>817</v>
      </c>
      <c r="D22" s="44" t="s">
        <v>1735</v>
      </c>
      <c r="E22" s="197">
        <v>10236</v>
      </c>
      <c r="F22" s="197">
        <v>11167</v>
      </c>
      <c r="G22" s="47">
        <v>23</v>
      </c>
      <c r="H22" s="44" t="s">
        <v>1644</v>
      </c>
      <c r="I22" s="44" t="s">
        <v>1644</v>
      </c>
      <c r="J22" s="44" t="s">
        <v>1644</v>
      </c>
      <c r="K22" s="44" t="s">
        <v>1644</v>
      </c>
      <c r="L22" s="44" t="s">
        <v>1644</v>
      </c>
      <c r="M22" s="44" t="s">
        <v>1644</v>
      </c>
      <c r="N22" s="44" t="s">
        <v>1644</v>
      </c>
      <c r="O22" s="44" t="s">
        <v>1644</v>
      </c>
      <c r="P22" s="44" t="s">
        <v>1644</v>
      </c>
      <c r="Q22" s="44" t="s">
        <v>1644</v>
      </c>
      <c r="R22" s="44" t="s">
        <v>1644</v>
      </c>
      <c r="S22" s="44" t="s">
        <v>1644</v>
      </c>
    </row>
    <row r="23" spans="1:19" ht="15.75" thickBot="1" x14ac:dyDescent="0.3">
      <c r="A23" s="44" t="s">
        <v>993</v>
      </c>
      <c r="B23" s="48" t="s">
        <v>994</v>
      </c>
      <c r="C23" s="44" t="s">
        <v>817</v>
      </c>
      <c r="D23" s="44" t="s">
        <v>1735</v>
      </c>
      <c r="E23" s="197">
        <v>28000</v>
      </c>
      <c r="F23" s="197">
        <v>31000</v>
      </c>
      <c r="G23" s="47">
        <v>35</v>
      </c>
      <c r="H23" s="44" t="s">
        <v>1644</v>
      </c>
      <c r="I23" s="44" t="s">
        <v>1644</v>
      </c>
      <c r="J23" s="44" t="s">
        <v>1644</v>
      </c>
      <c r="K23" s="44" t="s">
        <v>1644</v>
      </c>
      <c r="L23" s="44" t="s">
        <v>1644</v>
      </c>
      <c r="M23" s="44" t="s">
        <v>1643</v>
      </c>
      <c r="N23" s="44" t="s">
        <v>1643</v>
      </c>
      <c r="O23" s="44" t="s">
        <v>1643</v>
      </c>
      <c r="P23" s="44" t="s">
        <v>1643</v>
      </c>
      <c r="Q23" s="44" t="s">
        <v>1644</v>
      </c>
      <c r="R23" s="44" t="s">
        <v>1644</v>
      </c>
      <c r="S23" s="44" t="s">
        <v>1644</v>
      </c>
    </row>
    <row r="24" spans="1:19" ht="15.75" thickBot="1" x14ac:dyDescent="0.3">
      <c r="A24" s="44" t="s">
        <v>1039</v>
      </c>
      <c r="B24" s="48" t="s">
        <v>1040</v>
      </c>
      <c r="C24" s="44" t="s">
        <v>817</v>
      </c>
      <c r="D24" s="44" t="s">
        <v>3404</v>
      </c>
      <c r="E24" s="197">
        <v>25479</v>
      </c>
      <c r="F24" s="197">
        <v>25479</v>
      </c>
      <c r="G24" s="47">
        <v>35</v>
      </c>
      <c r="H24" s="44" t="s">
        <v>1644</v>
      </c>
      <c r="I24" s="44" t="s">
        <v>1644</v>
      </c>
      <c r="J24" s="44" t="s">
        <v>1644</v>
      </c>
      <c r="K24" s="44" t="s">
        <v>1644</v>
      </c>
      <c r="L24" s="44" t="s">
        <v>1644</v>
      </c>
      <c r="M24" s="44" t="s">
        <v>1644</v>
      </c>
      <c r="N24" s="44" t="s">
        <v>1643</v>
      </c>
      <c r="O24" s="44" t="s">
        <v>1644</v>
      </c>
      <c r="P24" s="44" t="s">
        <v>1643</v>
      </c>
      <c r="Q24" s="44" t="s">
        <v>1644</v>
      </c>
      <c r="R24" s="44" t="s">
        <v>1644</v>
      </c>
      <c r="S24" s="44" t="s">
        <v>1644</v>
      </c>
    </row>
    <row r="25" spans="1:19" ht="15.75" thickBot="1" x14ac:dyDescent="0.3">
      <c r="A25" s="44" t="s">
        <v>1041</v>
      </c>
      <c r="B25" s="48" t="s">
        <v>1042</v>
      </c>
      <c r="C25" s="44" t="s">
        <v>817</v>
      </c>
      <c r="D25" s="44" t="s">
        <v>3404</v>
      </c>
      <c r="E25" s="197">
        <v>18000</v>
      </c>
      <c r="F25" s="197">
        <v>25000</v>
      </c>
      <c r="G25" s="47">
        <v>25</v>
      </c>
      <c r="H25" s="44" t="s">
        <v>1644</v>
      </c>
      <c r="I25" s="44" t="s">
        <v>1644</v>
      </c>
      <c r="J25" s="44" t="s">
        <v>1644</v>
      </c>
      <c r="K25" s="44" t="s">
        <v>1644</v>
      </c>
      <c r="L25" s="44" t="s">
        <v>1644</v>
      </c>
      <c r="M25" s="44" t="s">
        <v>1643</v>
      </c>
      <c r="N25" s="44" t="s">
        <v>1643</v>
      </c>
      <c r="O25" s="44" t="s">
        <v>1643</v>
      </c>
      <c r="P25" s="44" t="s">
        <v>1643</v>
      </c>
      <c r="Q25" s="44" t="s">
        <v>1644</v>
      </c>
      <c r="R25" s="44" t="s">
        <v>1644</v>
      </c>
      <c r="S25" s="44" t="s">
        <v>1644</v>
      </c>
    </row>
    <row r="26" spans="1:19" ht="15.75" thickBot="1" x14ac:dyDescent="0.3">
      <c r="A26" s="44" t="s">
        <v>1049</v>
      </c>
      <c r="B26" s="48" t="s">
        <v>1050</v>
      </c>
      <c r="C26" s="44" t="s">
        <v>817</v>
      </c>
      <c r="D26" s="44" t="s">
        <v>1735</v>
      </c>
      <c r="E26" s="197">
        <v>45540</v>
      </c>
      <c r="F26" s="197">
        <v>45540</v>
      </c>
      <c r="G26" s="47">
        <v>33</v>
      </c>
      <c r="H26" s="44" t="s">
        <v>1643</v>
      </c>
      <c r="I26" s="44" t="s">
        <v>1644</v>
      </c>
      <c r="J26" s="44" t="s">
        <v>1644</v>
      </c>
      <c r="K26" s="44" t="s">
        <v>1644</v>
      </c>
      <c r="L26" s="44" t="s">
        <v>1644</v>
      </c>
      <c r="M26" s="44" t="s">
        <v>1643</v>
      </c>
      <c r="N26" s="44" t="s">
        <v>1643</v>
      </c>
      <c r="O26" s="44" t="s">
        <v>1643</v>
      </c>
      <c r="P26" s="44" t="s">
        <v>1643</v>
      </c>
      <c r="Q26" s="44" t="s">
        <v>1644</v>
      </c>
      <c r="R26" s="44" t="s">
        <v>1644</v>
      </c>
      <c r="S26" s="44" t="s">
        <v>1644</v>
      </c>
    </row>
    <row r="27" spans="1:19" ht="15.75" thickBot="1" x14ac:dyDescent="0.3">
      <c r="A27" s="44" t="s">
        <v>1057</v>
      </c>
      <c r="B27" s="48" t="s">
        <v>1058</v>
      </c>
      <c r="C27" s="44" t="s">
        <v>817</v>
      </c>
      <c r="D27" s="44" t="s">
        <v>3404</v>
      </c>
      <c r="E27" s="197">
        <v>25000</v>
      </c>
      <c r="F27" s="197">
        <v>37435</v>
      </c>
      <c r="G27" s="47">
        <v>40</v>
      </c>
      <c r="H27" s="44" t="s">
        <v>1644</v>
      </c>
      <c r="I27" s="44" t="s">
        <v>1644</v>
      </c>
      <c r="J27" s="44" t="s">
        <v>1644</v>
      </c>
      <c r="K27" s="44" t="s">
        <v>1644</v>
      </c>
      <c r="L27" s="44" t="s">
        <v>1644</v>
      </c>
      <c r="M27" s="44" t="s">
        <v>1644</v>
      </c>
      <c r="N27" s="44" t="s">
        <v>1644</v>
      </c>
      <c r="O27" s="44" t="s">
        <v>1643</v>
      </c>
      <c r="P27" s="44" t="s">
        <v>1643</v>
      </c>
      <c r="Q27" s="44" t="s">
        <v>1644</v>
      </c>
      <c r="R27" s="44" t="s">
        <v>1644</v>
      </c>
      <c r="S27" s="44" t="s">
        <v>1644</v>
      </c>
    </row>
    <row r="28" spans="1:19" ht="15.75" thickBot="1" x14ac:dyDescent="0.3">
      <c r="A28" s="44" t="s">
        <v>1071</v>
      </c>
      <c r="B28" s="48" t="s">
        <v>1072</v>
      </c>
      <c r="C28" s="44" t="s">
        <v>817</v>
      </c>
      <c r="D28" s="44" t="s">
        <v>3403</v>
      </c>
      <c r="E28" s="198">
        <v>0</v>
      </c>
      <c r="F28" s="198">
        <v>0</v>
      </c>
      <c r="G28" s="44">
        <v>0</v>
      </c>
      <c r="H28" s="44" t="s">
        <v>1644</v>
      </c>
      <c r="I28" s="44" t="s">
        <v>1644</v>
      </c>
      <c r="J28" s="44" t="s">
        <v>1644</v>
      </c>
      <c r="K28" s="44" t="s">
        <v>1644</v>
      </c>
      <c r="L28" s="44" t="s">
        <v>1644</v>
      </c>
      <c r="M28" s="44" t="s">
        <v>1644</v>
      </c>
      <c r="N28" s="44" t="s">
        <v>1643</v>
      </c>
      <c r="O28" s="44" t="s">
        <v>1643</v>
      </c>
      <c r="P28" s="44" t="s">
        <v>1644</v>
      </c>
      <c r="Q28" s="44" t="s">
        <v>1644</v>
      </c>
      <c r="R28" s="44" t="s">
        <v>1644</v>
      </c>
      <c r="S28" s="44" t="s">
        <v>1644</v>
      </c>
    </row>
    <row r="29" spans="1:19" ht="15.75" thickBot="1" x14ac:dyDescent="0.3">
      <c r="A29" s="44" t="s">
        <v>1083</v>
      </c>
      <c r="B29" s="48" t="s">
        <v>1084</v>
      </c>
      <c r="C29" s="44" t="s">
        <v>817</v>
      </c>
      <c r="D29" s="44" t="s">
        <v>3404</v>
      </c>
      <c r="E29" s="197">
        <v>35000</v>
      </c>
      <c r="F29" s="197">
        <v>37000</v>
      </c>
      <c r="G29" s="47">
        <v>40</v>
      </c>
      <c r="H29" s="44" t="s">
        <v>1644</v>
      </c>
      <c r="I29" s="44" t="s">
        <v>1644</v>
      </c>
      <c r="J29" s="44" t="s">
        <v>1644</v>
      </c>
      <c r="K29" s="44" t="s">
        <v>1644</v>
      </c>
      <c r="L29" s="44" t="s">
        <v>1644</v>
      </c>
      <c r="M29" s="44" t="s">
        <v>1643</v>
      </c>
      <c r="N29" s="44" t="s">
        <v>1643</v>
      </c>
      <c r="O29" s="44" t="s">
        <v>1643</v>
      </c>
      <c r="P29" s="44" t="s">
        <v>1643</v>
      </c>
      <c r="Q29" s="44" t="s">
        <v>1644</v>
      </c>
      <c r="R29" s="44" t="s">
        <v>1644</v>
      </c>
      <c r="S29" s="44" t="s">
        <v>1644</v>
      </c>
    </row>
    <row r="30" spans="1:19" ht="15.75" thickBot="1" x14ac:dyDescent="0.3">
      <c r="A30" s="44" t="s">
        <v>1091</v>
      </c>
      <c r="B30" s="48" t="s">
        <v>1092</v>
      </c>
      <c r="C30" s="44" t="s">
        <v>817</v>
      </c>
      <c r="D30" s="44" t="s">
        <v>3404</v>
      </c>
      <c r="E30" s="197">
        <v>19771</v>
      </c>
      <c r="F30" s="197">
        <v>19771</v>
      </c>
      <c r="G30" s="47">
        <v>22</v>
      </c>
      <c r="H30" s="44" t="s">
        <v>1644</v>
      </c>
      <c r="I30" s="44" t="s">
        <v>1644</v>
      </c>
      <c r="J30" s="44" t="s">
        <v>1644</v>
      </c>
      <c r="K30" s="44" t="s">
        <v>1644</v>
      </c>
      <c r="L30" s="44" t="s">
        <v>1644</v>
      </c>
      <c r="M30" s="44" t="s">
        <v>1644</v>
      </c>
      <c r="N30" s="44" t="s">
        <v>1644</v>
      </c>
      <c r="O30" s="44" t="s">
        <v>1644</v>
      </c>
      <c r="P30" s="44" t="s">
        <v>1644</v>
      </c>
      <c r="Q30" s="44" t="s">
        <v>1644</v>
      </c>
      <c r="R30" s="44" t="s">
        <v>1644</v>
      </c>
      <c r="S30" s="44" t="s">
        <v>1644</v>
      </c>
    </row>
    <row r="31" spans="1:19" ht="15.75" thickBot="1" x14ac:dyDescent="0.3">
      <c r="A31" s="44" t="s">
        <v>1099</v>
      </c>
      <c r="B31" s="48" t="s">
        <v>1100</v>
      </c>
      <c r="C31" s="44" t="s">
        <v>817</v>
      </c>
      <c r="D31" s="44" t="s">
        <v>3402</v>
      </c>
      <c r="E31" s="197">
        <v>38500</v>
      </c>
      <c r="F31" s="197">
        <v>58000</v>
      </c>
      <c r="G31" s="47">
        <v>40</v>
      </c>
      <c r="H31" s="44" t="s">
        <v>1643</v>
      </c>
      <c r="I31" s="44" t="s">
        <v>1644</v>
      </c>
      <c r="J31" s="44" t="s">
        <v>1644</v>
      </c>
      <c r="K31" s="44" t="s">
        <v>1644</v>
      </c>
      <c r="L31" s="44" t="s">
        <v>1644</v>
      </c>
      <c r="M31" s="44" t="s">
        <v>1643</v>
      </c>
      <c r="N31" s="44" t="s">
        <v>1643</v>
      </c>
      <c r="O31" s="44" t="s">
        <v>1643</v>
      </c>
      <c r="P31" s="44" t="s">
        <v>1643</v>
      </c>
      <c r="Q31" s="44" t="s">
        <v>1643</v>
      </c>
      <c r="R31" s="44" t="s">
        <v>1644</v>
      </c>
      <c r="S31" s="44" t="s">
        <v>1644</v>
      </c>
    </row>
    <row r="32" spans="1:19" ht="15.75" thickBot="1" x14ac:dyDescent="0.3">
      <c r="A32" s="44" t="s">
        <v>1101</v>
      </c>
      <c r="B32" s="48" t="s">
        <v>1102</v>
      </c>
      <c r="C32" s="44" t="s">
        <v>817</v>
      </c>
      <c r="D32" s="44" t="s">
        <v>3404</v>
      </c>
      <c r="E32" s="197">
        <v>14560</v>
      </c>
      <c r="F32" s="197">
        <v>17472</v>
      </c>
      <c r="G32" s="47">
        <v>20</v>
      </c>
      <c r="H32" s="44" t="s">
        <v>1644</v>
      </c>
      <c r="I32" s="44" t="s">
        <v>1644</v>
      </c>
      <c r="J32" s="44" t="s">
        <v>1644</v>
      </c>
      <c r="K32" s="44" t="s">
        <v>1644</v>
      </c>
      <c r="L32" s="44" t="s">
        <v>1644</v>
      </c>
      <c r="M32" s="44" t="s">
        <v>1644</v>
      </c>
      <c r="N32" s="44" t="s">
        <v>1643</v>
      </c>
      <c r="O32" s="44" t="s">
        <v>1644</v>
      </c>
      <c r="P32" s="44" t="s">
        <v>1643</v>
      </c>
      <c r="Q32" s="44" t="s">
        <v>1644</v>
      </c>
      <c r="R32" s="44" t="s">
        <v>1644</v>
      </c>
      <c r="S32" s="44" t="s">
        <v>1644</v>
      </c>
    </row>
    <row r="33" spans="1:19" ht="15.75" thickBot="1" x14ac:dyDescent="0.3">
      <c r="A33" s="44" t="s">
        <v>1149</v>
      </c>
      <c r="B33" s="48" t="s">
        <v>1150</v>
      </c>
      <c r="C33" s="44" t="s">
        <v>817</v>
      </c>
      <c r="D33" s="44" t="s">
        <v>3404</v>
      </c>
      <c r="E33" s="197">
        <v>18000</v>
      </c>
      <c r="F33" s="197">
        <v>37500</v>
      </c>
      <c r="G33" s="47">
        <v>45</v>
      </c>
      <c r="H33" s="44" t="s">
        <v>1643</v>
      </c>
      <c r="I33" s="44" t="s">
        <v>1643</v>
      </c>
      <c r="J33" s="44" t="s">
        <v>1643</v>
      </c>
      <c r="K33" s="44" t="s">
        <v>1643</v>
      </c>
      <c r="L33" s="44" t="s">
        <v>1643</v>
      </c>
      <c r="M33" s="44" t="s">
        <v>1643</v>
      </c>
      <c r="N33" s="44" t="s">
        <v>1643</v>
      </c>
      <c r="O33" s="44" t="s">
        <v>1643</v>
      </c>
      <c r="P33" s="44" t="s">
        <v>1643</v>
      </c>
      <c r="Q33" s="44" t="s">
        <v>1644</v>
      </c>
      <c r="R33" s="44" t="s">
        <v>1643</v>
      </c>
      <c r="S33" s="44" t="s">
        <v>1643</v>
      </c>
    </row>
    <row r="34" spans="1:19" ht="15.75" thickBot="1" x14ac:dyDescent="0.3">
      <c r="A34" s="44" t="s">
        <v>1165</v>
      </c>
      <c r="B34" s="48" t="s">
        <v>1166</v>
      </c>
      <c r="C34" s="44" t="s">
        <v>817</v>
      </c>
      <c r="D34" s="44" t="s">
        <v>1735</v>
      </c>
      <c r="E34" s="197">
        <v>32000</v>
      </c>
      <c r="F34" s="197">
        <v>32000</v>
      </c>
      <c r="G34" s="47">
        <v>36</v>
      </c>
      <c r="H34" s="44" t="s">
        <v>1644</v>
      </c>
      <c r="I34" s="44" t="s">
        <v>1644</v>
      </c>
      <c r="J34" s="44" t="s">
        <v>1644</v>
      </c>
      <c r="K34" s="44" t="s">
        <v>1644</v>
      </c>
      <c r="L34" s="44" t="s">
        <v>1644</v>
      </c>
      <c r="M34" s="44" t="s">
        <v>1644</v>
      </c>
      <c r="N34" s="44" t="s">
        <v>1643</v>
      </c>
      <c r="O34" s="44" t="s">
        <v>1644</v>
      </c>
      <c r="P34" s="44" t="s">
        <v>1643</v>
      </c>
      <c r="Q34" s="44" t="s">
        <v>1644</v>
      </c>
      <c r="R34" s="44" t="s">
        <v>1644</v>
      </c>
      <c r="S34" s="44" t="s">
        <v>1644</v>
      </c>
    </row>
    <row r="35" spans="1:19" ht="15.75" thickBot="1" x14ac:dyDescent="0.3">
      <c r="A35" s="44" t="s">
        <v>1195</v>
      </c>
      <c r="B35" s="48" t="s">
        <v>1196</v>
      </c>
      <c r="C35" s="44" t="s">
        <v>817</v>
      </c>
      <c r="D35" s="44" t="s">
        <v>3404</v>
      </c>
      <c r="E35" s="197">
        <v>10000</v>
      </c>
      <c r="F35" s="197">
        <v>20000</v>
      </c>
      <c r="G35" s="47">
        <v>20</v>
      </c>
      <c r="H35" s="44" t="s">
        <v>1644</v>
      </c>
      <c r="I35" s="44" t="s">
        <v>1644</v>
      </c>
      <c r="J35" s="44" t="s">
        <v>1644</v>
      </c>
      <c r="K35" s="44" t="s">
        <v>1644</v>
      </c>
      <c r="L35" s="44" t="s">
        <v>1643</v>
      </c>
      <c r="M35" s="44" t="s">
        <v>1643</v>
      </c>
      <c r="N35" s="44" t="s">
        <v>1644</v>
      </c>
      <c r="O35" s="44" t="s">
        <v>1643</v>
      </c>
      <c r="P35" s="44" t="s">
        <v>1644</v>
      </c>
      <c r="Q35" s="44" t="s">
        <v>1644</v>
      </c>
      <c r="R35" s="44" t="s">
        <v>1644</v>
      </c>
      <c r="S35" s="44" t="s">
        <v>1644</v>
      </c>
    </row>
    <row r="36" spans="1:19" ht="15.75" thickBot="1" x14ac:dyDescent="0.3">
      <c r="A36" s="44" t="s">
        <v>1203</v>
      </c>
      <c r="B36" s="48" t="s">
        <v>1204</v>
      </c>
      <c r="C36" s="44" t="s">
        <v>817</v>
      </c>
      <c r="D36" s="44" t="s">
        <v>850</v>
      </c>
      <c r="E36" s="197">
        <v>0</v>
      </c>
      <c r="F36" s="197">
        <v>0</v>
      </c>
      <c r="G36" s="47">
        <v>34</v>
      </c>
      <c r="H36" s="44" t="s">
        <v>1644</v>
      </c>
      <c r="I36" s="44" t="s">
        <v>1644</v>
      </c>
      <c r="J36" s="44" t="s">
        <v>1644</v>
      </c>
      <c r="K36" s="44" t="s">
        <v>1644</v>
      </c>
      <c r="L36" s="44" t="s">
        <v>1644</v>
      </c>
      <c r="M36" s="44" t="s">
        <v>1644</v>
      </c>
      <c r="N36" s="44" t="s">
        <v>1644</v>
      </c>
      <c r="O36" s="44" t="s">
        <v>1644</v>
      </c>
      <c r="P36" s="44" t="s">
        <v>1644</v>
      </c>
      <c r="Q36" s="44" t="s">
        <v>1644</v>
      </c>
      <c r="R36" s="44" t="s">
        <v>1644</v>
      </c>
      <c r="S36" s="44" t="s">
        <v>1644</v>
      </c>
    </row>
    <row r="37" spans="1:19" ht="15.75" thickBot="1" x14ac:dyDescent="0.3">
      <c r="A37" s="44" t="s">
        <v>1205</v>
      </c>
      <c r="B37" s="48" t="s">
        <v>1206</v>
      </c>
      <c r="C37" s="44" t="s">
        <v>817</v>
      </c>
      <c r="D37" s="44" t="s">
        <v>3402</v>
      </c>
      <c r="E37" s="197">
        <v>34560</v>
      </c>
      <c r="F37" s="197">
        <v>36480</v>
      </c>
      <c r="G37" s="47">
        <v>40</v>
      </c>
      <c r="H37" s="44" t="s">
        <v>1643</v>
      </c>
      <c r="I37" s="44" t="s">
        <v>1643</v>
      </c>
      <c r="J37" s="44" t="s">
        <v>1643</v>
      </c>
      <c r="K37" s="44" t="s">
        <v>1643</v>
      </c>
      <c r="L37" s="44" t="s">
        <v>1643</v>
      </c>
      <c r="M37" s="44" t="s">
        <v>1643</v>
      </c>
      <c r="N37" s="44" t="s">
        <v>1643</v>
      </c>
      <c r="O37" s="44" t="s">
        <v>1643</v>
      </c>
      <c r="P37" s="44" t="s">
        <v>1643</v>
      </c>
      <c r="Q37" s="44" t="s">
        <v>1643</v>
      </c>
      <c r="R37" s="44" t="s">
        <v>1643</v>
      </c>
      <c r="S37" s="44" t="s">
        <v>1643</v>
      </c>
    </row>
    <row r="38" spans="1:19" ht="15.75" thickBot="1" x14ac:dyDescent="0.3">
      <c r="A38" s="44" t="s">
        <v>1209</v>
      </c>
      <c r="B38" s="48" t="s">
        <v>1210</v>
      </c>
      <c r="C38" s="44" t="s">
        <v>817</v>
      </c>
      <c r="D38" s="44" t="s">
        <v>3403</v>
      </c>
      <c r="E38" s="197">
        <v>40125</v>
      </c>
      <c r="F38" s="197">
        <v>40125</v>
      </c>
      <c r="G38" s="47">
        <v>40</v>
      </c>
      <c r="H38" s="44" t="s">
        <v>1643</v>
      </c>
      <c r="I38" s="44" t="s">
        <v>1643</v>
      </c>
      <c r="J38" s="44" t="s">
        <v>1643</v>
      </c>
      <c r="K38" s="44" t="s">
        <v>1644</v>
      </c>
      <c r="L38" s="44" t="s">
        <v>1644</v>
      </c>
      <c r="M38" s="44" t="s">
        <v>1643</v>
      </c>
      <c r="N38" s="44" t="s">
        <v>1643</v>
      </c>
      <c r="O38" s="44" t="s">
        <v>1644</v>
      </c>
      <c r="P38" s="44" t="s">
        <v>1643</v>
      </c>
      <c r="Q38" s="44" t="s">
        <v>1644</v>
      </c>
      <c r="R38" s="44" t="s">
        <v>1644</v>
      </c>
      <c r="S38" s="44" t="s">
        <v>1644</v>
      </c>
    </row>
    <row r="39" spans="1:19" ht="15.75" thickBot="1" x14ac:dyDescent="0.3">
      <c r="A39" s="44" t="s">
        <v>1219</v>
      </c>
      <c r="B39" s="48" t="s">
        <v>1220</v>
      </c>
      <c r="C39" s="44" t="s">
        <v>817</v>
      </c>
      <c r="D39" s="44" t="s">
        <v>1735</v>
      </c>
      <c r="E39" s="197">
        <v>12220</v>
      </c>
      <c r="F39" s="197">
        <v>20800</v>
      </c>
      <c r="G39" s="47">
        <v>18</v>
      </c>
      <c r="H39" s="44" t="s">
        <v>1644</v>
      </c>
      <c r="I39" s="44" t="s">
        <v>1644</v>
      </c>
      <c r="J39" s="44" t="s">
        <v>1644</v>
      </c>
      <c r="K39" s="44" t="s">
        <v>1644</v>
      </c>
      <c r="L39" s="44" t="s">
        <v>1644</v>
      </c>
      <c r="M39" s="44" t="s">
        <v>1644</v>
      </c>
      <c r="N39" s="44" t="s">
        <v>1644</v>
      </c>
      <c r="O39" s="44" t="s">
        <v>1644</v>
      </c>
      <c r="P39" s="44" t="s">
        <v>1644</v>
      </c>
      <c r="Q39" s="44" t="s">
        <v>1644</v>
      </c>
      <c r="R39" s="44" t="s">
        <v>1644</v>
      </c>
      <c r="S39" s="44" t="s">
        <v>1644</v>
      </c>
    </row>
    <row r="40" spans="1:19" ht="15.75" thickBot="1" x14ac:dyDescent="0.3">
      <c r="A40" s="44" t="s">
        <v>1225</v>
      </c>
      <c r="B40" s="48" t="s">
        <v>1226</v>
      </c>
      <c r="C40" s="44" t="s">
        <v>817</v>
      </c>
      <c r="D40" s="44" t="s">
        <v>3404</v>
      </c>
      <c r="E40" s="197">
        <v>2314</v>
      </c>
      <c r="F40" s="197">
        <v>2314</v>
      </c>
      <c r="G40" s="47">
        <v>28</v>
      </c>
      <c r="H40" s="44" t="s">
        <v>1644</v>
      </c>
      <c r="I40" s="44" t="s">
        <v>1644</v>
      </c>
      <c r="J40" s="44" t="s">
        <v>1644</v>
      </c>
      <c r="K40" s="44" t="s">
        <v>1644</v>
      </c>
      <c r="L40" s="44" t="s">
        <v>1644</v>
      </c>
      <c r="M40" s="44" t="s">
        <v>1644</v>
      </c>
      <c r="N40" s="44" t="s">
        <v>1643</v>
      </c>
      <c r="O40" s="44" t="s">
        <v>1644</v>
      </c>
      <c r="P40" s="44" t="s">
        <v>1644</v>
      </c>
      <c r="Q40" s="44" t="s">
        <v>1644</v>
      </c>
      <c r="R40" s="44" t="s">
        <v>1644</v>
      </c>
      <c r="S40" s="44" t="s">
        <v>1644</v>
      </c>
    </row>
    <row r="41" spans="1:19" ht="15.75" thickBot="1" x14ac:dyDescent="0.3">
      <c r="A41" s="44" t="s">
        <v>1237</v>
      </c>
      <c r="B41" s="48" t="s">
        <v>1238</v>
      </c>
      <c r="C41" s="44" t="s">
        <v>817</v>
      </c>
      <c r="D41" s="44" t="s">
        <v>3402</v>
      </c>
      <c r="E41" s="197">
        <v>38038</v>
      </c>
      <c r="F41" s="197">
        <v>38038</v>
      </c>
      <c r="G41" s="47">
        <v>38</v>
      </c>
      <c r="H41" s="44" t="s">
        <v>1644</v>
      </c>
      <c r="I41" s="44" t="s">
        <v>1644</v>
      </c>
      <c r="J41" s="44" t="s">
        <v>1644</v>
      </c>
      <c r="K41" s="44" t="s">
        <v>1644</v>
      </c>
      <c r="L41" s="44" t="s">
        <v>1644</v>
      </c>
      <c r="M41" s="44" t="s">
        <v>1644</v>
      </c>
      <c r="N41" s="44" t="s">
        <v>1644</v>
      </c>
      <c r="O41" s="44" t="s">
        <v>1643</v>
      </c>
      <c r="P41" s="44" t="s">
        <v>1643</v>
      </c>
      <c r="Q41" s="44" t="s">
        <v>1644</v>
      </c>
      <c r="R41" s="44" t="s">
        <v>1644</v>
      </c>
      <c r="S41" s="44" t="s">
        <v>1644</v>
      </c>
    </row>
    <row r="42" spans="1:19" ht="15.75" thickBot="1" x14ac:dyDescent="0.3">
      <c r="A42" s="44" t="s">
        <v>1243</v>
      </c>
      <c r="B42" s="48" t="s">
        <v>1244</v>
      </c>
      <c r="C42" s="44" t="s">
        <v>817</v>
      </c>
      <c r="D42" s="44" t="s">
        <v>3404</v>
      </c>
      <c r="E42" s="197">
        <v>33000</v>
      </c>
      <c r="F42" s="197">
        <v>39000</v>
      </c>
      <c r="G42" s="47">
        <v>28</v>
      </c>
      <c r="H42" s="44" t="s">
        <v>1643</v>
      </c>
      <c r="I42" s="44" t="s">
        <v>1643</v>
      </c>
      <c r="J42" s="44" t="s">
        <v>1644</v>
      </c>
      <c r="K42" s="44" t="s">
        <v>1643</v>
      </c>
      <c r="L42" s="44" t="s">
        <v>1643</v>
      </c>
      <c r="M42" s="44" t="s">
        <v>1643</v>
      </c>
      <c r="N42" s="44" t="s">
        <v>1643</v>
      </c>
      <c r="O42" s="44" t="s">
        <v>1644</v>
      </c>
      <c r="P42" s="44" t="s">
        <v>1643</v>
      </c>
      <c r="Q42" s="44" t="s">
        <v>1644</v>
      </c>
      <c r="R42" s="44" t="s">
        <v>1644</v>
      </c>
      <c r="S42" s="44" t="s">
        <v>1644</v>
      </c>
    </row>
    <row r="43" spans="1:19" ht="15.75" thickBot="1" x14ac:dyDescent="0.3">
      <c r="A43" s="44" t="s">
        <v>1259</v>
      </c>
      <c r="B43" s="48" t="s">
        <v>1260</v>
      </c>
      <c r="C43" s="44" t="s">
        <v>817</v>
      </c>
      <c r="D43" s="44" t="s">
        <v>3404</v>
      </c>
      <c r="E43" s="197">
        <v>10161</v>
      </c>
      <c r="F43" s="197">
        <v>10161</v>
      </c>
      <c r="G43" s="47">
        <v>20</v>
      </c>
      <c r="H43" s="44" t="s">
        <v>1644</v>
      </c>
      <c r="I43" s="44" t="s">
        <v>1644</v>
      </c>
      <c r="J43" s="44" t="s">
        <v>1644</v>
      </c>
      <c r="K43" s="44" t="s">
        <v>1644</v>
      </c>
      <c r="L43" s="44" t="s">
        <v>1644</v>
      </c>
      <c r="M43" s="44" t="s">
        <v>1644</v>
      </c>
      <c r="N43" s="44" t="s">
        <v>1644</v>
      </c>
      <c r="O43" s="44" t="s">
        <v>1644</v>
      </c>
      <c r="P43" s="44" t="s">
        <v>1644</v>
      </c>
      <c r="Q43" s="44" t="s">
        <v>1644</v>
      </c>
      <c r="R43" s="44" t="s">
        <v>1644</v>
      </c>
      <c r="S43" s="44" t="s">
        <v>1644</v>
      </c>
    </row>
    <row r="44" spans="1:19" ht="15.75" thickBot="1" x14ac:dyDescent="0.3">
      <c r="A44" s="44" t="s">
        <v>1275</v>
      </c>
      <c r="B44" s="48" t="s">
        <v>1276</v>
      </c>
      <c r="C44" s="44" t="s">
        <v>817</v>
      </c>
      <c r="D44" s="44" t="s">
        <v>3404</v>
      </c>
      <c r="E44" s="197">
        <v>11960</v>
      </c>
      <c r="F44" s="197">
        <v>12000</v>
      </c>
      <c r="G44" s="47">
        <v>23</v>
      </c>
      <c r="H44" s="44" t="s">
        <v>1644</v>
      </c>
      <c r="I44" s="44" t="s">
        <v>1644</v>
      </c>
      <c r="J44" s="44" t="s">
        <v>1644</v>
      </c>
      <c r="K44" s="44" t="s">
        <v>1644</v>
      </c>
      <c r="L44" s="44" t="s">
        <v>1644</v>
      </c>
      <c r="M44" s="44" t="s">
        <v>1644</v>
      </c>
      <c r="N44" s="44" t="s">
        <v>1643</v>
      </c>
      <c r="O44" s="44" t="s">
        <v>1644</v>
      </c>
      <c r="P44" s="44" t="s">
        <v>1643</v>
      </c>
      <c r="Q44" s="44" t="s">
        <v>1644</v>
      </c>
      <c r="R44" s="44" t="s">
        <v>1644</v>
      </c>
      <c r="S44" s="44" t="s">
        <v>1644</v>
      </c>
    </row>
    <row r="45" spans="1:19" ht="15.75" thickBot="1" x14ac:dyDescent="0.3">
      <c r="A45" s="44" t="s">
        <v>1283</v>
      </c>
      <c r="B45" s="48" t="s">
        <v>1284</v>
      </c>
      <c r="C45" s="44" t="s">
        <v>817</v>
      </c>
      <c r="D45" s="44" t="s">
        <v>3404</v>
      </c>
      <c r="E45" s="197">
        <v>17900</v>
      </c>
      <c r="F45" s="197">
        <v>18920</v>
      </c>
      <c r="G45" s="47">
        <v>30</v>
      </c>
      <c r="H45" s="44" t="s">
        <v>1644</v>
      </c>
      <c r="I45" s="44" t="s">
        <v>1644</v>
      </c>
      <c r="J45" s="44" t="s">
        <v>1644</v>
      </c>
      <c r="K45" s="44" t="s">
        <v>1644</v>
      </c>
      <c r="L45" s="44" t="s">
        <v>1644</v>
      </c>
      <c r="M45" s="44" t="s">
        <v>1643</v>
      </c>
      <c r="N45" s="44" t="s">
        <v>1643</v>
      </c>
      <c r="O45" s="44" t="s">
        <v>1643</v>
      </c>
      <c r="P45" s="44" t="s">
        <v>1643</v>
      </c>
      <c r="Q45" s="44" t="s">
        <v>1644</v>
      </c>
      <c r="R45" s="44" t="s">
        <v>1644</v>
      </c>
      <c r="S45" s="44" t="s">
        <v>1644</v>
      </c>
    </row>
    <row r="46" spans="1:19" ht="15.75" thickBot="1" x14ac:dyDescent="0.3">
      <c r="A46" s="44" t="s">
        <v>1303</v>
      </c>
      <c r="B46" s="48" t="s">
        <v>1304</v>
      </c>
      <c r="C46" s="44" t="s">
        <v>817</v>
      </c>
      <c r="D46" s="44" t="s">
        <v>3404</v>
      </c>
      <c r="E46" s="197">
        <v>15570</v>
      </c>
      <c r="F46" s="197">
        <v>17888</v>
      </c>
      <c r="G46" s="47">
        <v>20</v>
      </c>
      <c r="H46" s="44" t="s">
        <v>1644</v>
      </c>
      <c r="I46" s="44" t="s">
        <v>1644</v>
      </c>
      <c r="J46" s="44" t="s">
        <v>1644</v>
      </c>
      <c r="K46" s="44" t="s">
        <v>1644</v>
      </c>
      <c r="L46" s="44" t="s">
        <v>1644</v>
      </c>
      <c r="M46" s="44" t="s">
        <v>1644</v>
      </c>
      <c r="N46" s="44" t="s">
        <v>1643</v>
      </c>
      <c r="O46" s="44" t="s">
        <v>1643</v>
      </c>
      <c r="P46" s="44" t="s">
        <v>1643</v>
      </c>
      <c r="Q46" s="44" t="s">
        <v>1644</v>
      </c>
      <c r="R46" s="44" t="s">
        <v>1644</v>
      </c>
      <c r="S46" s="44" t="s">
        <v>1644</v>
      </c>
    </row>
    <row r="47" spans="1:19" ht="15.75" thickBot="1" x14ac:dyDescent="0.3">
      <c r="A47" s="44" t="s">
        <v>1319</v>
      </c>
      <c r="B47" s="48" t="s">
        <v>1320</v>
      </c>
      <c r="C47" s="44" t="s">
        <v>817</v>
      </c>
      <c r="D47" s="44" t="s">
        <v>3404</v>
      </c>
      <c r="E47" s="197">
        <v>37000</v>
      </c>
      <c r="F47" s="197">
        <v>38110</v>
      </c>
      <c r="G47" s="47">
        <v>40</v>
      </c>
      <c r="H47" s="44" t="s">
        <v>1644</v>
      </c>
      <c r="I47" s="44" t="s">
        <v>1644</v>
      </c>
      <c r="J47" s="44" t="s">
        <v>1644</v>
      </c>
      <c r="K47" s="44" t="s">
        <v>1644</v>
      </c>
      <c r="L47" s="44" t="s">
        <v>1644</v>
      </c>
      <c r="M47" s="44" t="s">
        <v>1643</v>
      </c>
      <c r="N47" s="44" t="s">
        <v>1643</v>
      </c>
      <c r="O47" s="44" t="s">
        <v>1643</v>
      </c>
      <c r="P47" s="44" t="s">
        <v>1643</v>
      </c>
      <c r="Q47" s="44" t="s">
        <v>1644</v>
      </c>
      <c r="R47" s="44" t="s">
        <v>1644</v>
      </c>
      <c r="S47" s="44" t="s">
        <v>1643</v>
      </c>
    </row>
    <row r="48" spans="1:19" ht="15.75" thickBot="1" x14ac:dyDescent="0.3">
      <c r="A48" s="44" t="s">
        <v>1333</v>
      </c>
      <c r="B48" s="48" t="s">
        <v>1334</v>
      </c>
      <c r="C48" s="44" t="s">
        <v>817</v>
      </c>
      <c r="D48" s="44" t="s">
        <v>1735</v>
      </c>
      <c r="E48" s="197">
        <v>15000</v>
      </c>
      <c r="F48" s="197">
        <v>30000</v>
      </c>
      <c r="G48" s="47">
        <v>40</v>
      </c>
      <c r="H48" s="44" t="s">
        <v>1644</v>
      </c>
      <c r="I48" s="44" t="s">
        <v>1644</v>
      </c>
      <c r="J48" s="44" t="s">
        <v>1644</v>
      </c>
      <c r="K48" s="44" t="s">
        <v>1644</v>
      </c>
      <c r="L48" s="44" t="s">
        <v>1644</v>
      </c>
      <c r="M48" s="44" t="s">
        <v>1643</v>
      </c>
      <c r="N48" s="44" t="s">
        <v>1643</v>
      </c>
      <c r="O48" s="44" t="s">
        <v>1643</v>
      </c>
      <c r="P48" s="44" t="s">
        <v>1643</v>
      </c>
      <c r="Q48" s="44" t="s">
        <v>1644</v>
      </c>
      <c r="R48" s="44" t="s">
        <v>1644</v>
      </c>
      <c r="S48" s="44" t="s">
        <v>1644</v>
      </c>
    </row>
    <row r="49" spans="1:19" ht="15.75" thickBot="1" x14ac:dyDescent="0.3">
      <c r="A49" s="44" t="s">
        <v>1337</v>
      </c>
      <c r="B49" s="48" t="s">
        <v>1338</v>
      </c>
      <c r="C49" s="44" t="s">
        <v>817</v>
      </c>
      <c r="D49" s="44" t="s">
        <v>3404</v>
      </c>
      <c r="E49" s="198">
        <v>0</v>
      </c>
      <c r="F49" s="198">
        <v>0</v>
      </c>
      <c r="G49" s="44">
        <v>0</v>
      </c>
      <c r="H49" s="44" t="s">
        <v>1643</v>
      </c>
      <c r="I49" s="44" t="s">
        <v>1643</v>
      </c>
      <c r="J49" s="44" t="s">
        <v>1643</v>
      </c>
      <c r="K49" s="44" t="s">
        <v>1643</v>
      </c>
      <c r="L49" s="44" t="s">
        <v>1643</v>
      </c>
      <c r="M49" s="44" t="s">
        <v>1643</v>
      </c>
      <c r="N49" s="44" t="s">
        <v>1643</v>
      </c>
      <c r="O49" s="44" t="s">
        <v>1643</v>
      </c>
      <c r="P49" s="44" t="s">
        <v>1643</v>
      </c>
      <c r="Q49" s="44" t="s">
        <v>1644</v>
      </c>
      <c r="R49" s="44" t="s">
        <v>1644</v>
      </c>
      <c r="S49" s="44" t="s">
        <v>1643</v>
      </c>
    </row>
    <row r="50" spans="1:19" ht="15.75" thickBot="1" x14ac:dyDescent="0.3">
      <c r="A50" s="44" t="s">
        <v>1359</v>
      </c>
      <c r="B50" s="48" t="s">
        <v>1360</v>
      </c>
      <c r="C50" s="44" t="s">
        <v>817</v>
      </c>
      <c r="D50" s="44" t="s">
        <v>1735</v>
      </c>
      <c r="E50" s="197">
        <v>36600</v>
      </c>
      <c r="F50" s="197">
        <v>38560</v>
      </c>
      <c r="G50" s="47">
        <v>40</v>
      </c>
      <c r="H50" s="44" t="s">
        <v>1644</v>
      </c>
      <c r="I50" s="44" t="s">
        <v>1644</v>
      </c>
      <c r="J50" s="44" t="s">
        <v>1644</v>
      </c>
      <c r="K50" s="44" t="s">
        <v>1644</v>
      </c>
      <c r="L50" s="44" t="s">
        <v>1644</v>
      </c>
      <c r="M50" s="44" t="s">
        <v>1643</v>
      </c>
      <c r="N50" s="44" t="s">
        <v>1643</v>
      </c>
      <c r="O50" s="44" t="s">
        <v>1643</v>
      </c>
      <c r="P50" s="44" t="s">
        <v>1643</v>
      </c>
      <c r="Q50" s="44" t="s">
        <v>1644</v>
      </c>
      <c r="R50" s="44" t="s">
        <v>1644</v>
      </c>
      <c r="S50" s="44" t="s">
        <v>1643</v>
      </c>
    </row>
    <row r="51" spans="1:19" ht="15.75" thickBot="1" x14ac:dyDescent="0.3">
      <c r="A51" s="44" t="s">
        <v>1397</v>
      </c>
      <c r="B51" s="48" t="s">
        <v>1398</v>
      </c>
      <c r="C51" s="44" t="s">
        <v>817</v>
      </c>
      <c r="D51" s="44" t="s">
        <v>3402</v>
      </c>
      <c r="E51" s="197">
        <v>12511</v>
      </c>
      <c r="F51" s="197">
        <v>25804</v>
      </c>
      <c r="G51" s="47">
        <v>20</v>
      </c>
      <c r="H51" s="44" t="s">
        <v>1644</v>
      </c>
      <c r="I51" s="44" t="s">
        <v>1644</v>
      </c>
      <c r="J51" s="44" t="s">
        <v>1644</v>
      </c>
      <c r="K51" s="44" t="s">
        <v>1644</v>
      </c>
      <c r="L51" s="44" t="s">
        <v>1644</v>
      </c>
      <c r="M51" s="44" t="s">
        <v>1644</v>
      </c>
      <c r="N51" s="44" t="s">
        <v>1644</v>
      </c>
      <c r="O51" s="44" t="s">
        <v>1644</v>
      </c>
      <c r="P51" s="44" t="s">
        <v>1644</v>
      </c>
      <c r="Q51" s="44" t="s">
        <v>1644</v>
      </c>
      <c r="R51" s="44" t="s">
        <v>1644</v>
      </c>
      <c r="S51" s="44" t="s">
        <v>1644</v>
      </c>
    </row>
    <row r="52" spans="1:19" ht="15.75" thickBot="1" x14ac:dyDescent="0.3">
      <c r="A52" s="44" t="s">
        <v>1407</v>
      </c>
      <c r="B52" s="48" t="s">
        <v>1408</v>
      </c>
      <c r="C52" s="44" t="s">
        <v>817</v>
      </c>
      <c r="D52" s="44" t="s">
        <v>1735</v>
      </c>
      <c r="E52" s="197">
        <v>13096</v>
      </c>
      <c r="F52" s="197">
        <v>13304</v>
      </c>
      <c r="G52" s="47">
        <v>16</v>
      </c>
      <c r="H52" s="44" t="s">
        <v>1644</v>
      </c>
      <c r="I52" s="44" t="s">
        <v>1644</v>
      </c>
      <c r="J52" s="44" t="s">
        <v>1644</v>
      </c>
      <c r="K52" s="44" t="s">
        <v>1644</v>
      </c>
      <c r="L52" s="44" t="s">
        <v>1643</v>
      </c>
      <c r="M52" s="44" t="s">
        <v>1643</v>
      </c>
      <c r="N52" s="44" t="s">
        <v>1643</v>
      </c>
      <c r="O52" s="44" t="s">
        <v>1643</v>
      </c>
      <c r="P52" s="44" t="s">
        <v>1643</v>
      </c>
      <c r="Q52" s="44" t="s">
        <v>1644</v>
      </c>
      <c r="R52" s="44" t="s">
        <v>1644</v>
      </c>
      <c r="S52" s="44" t="s">
        <v>1644</v>
      </c>
    </row>
    <row r="53" spans="1:19" ht="15.75" thickBot="1" x14ac:dyDescent="0.3">
      <c r="A53" s="44" t="s">
        <v>1409</v>
      </c>
      <c r="B53" s="48" t="s">
        <v>1410</v>
      </c>
      <c r="C53" s="44" t="s">
        <v>817</v>
      </c>
      <c r="D53" s="44" t="s">
        <v>1735</v>
      </c>
      <c r="E53" s="197">
        <v>21112</v>
      </c>
      <c r="F53" s="197">
        <v>25000</v>
      </c>
      <c r="G53" s="47">
        <v>28</v>
      </c>
      <c r="H53" s="44" t="s">
        <v>1644</v>
      </c>
      <c r="I53" s="44" t="s">
        <v>1644</v>
      </c>
      <c r="J53" s="44" t="s">
        <v>1644</v>
      </c>
      <c r="K53" s="44" t="s">
        <v>1644</v>
      </c>
      <c r="L53" s="44" t="s">
        <v>1644</v>
      </c>
      <c r="M53" s="44" t="s">
        <v>1644</v>
      </c>
      <c r="N53" s="44" t="s">
        <v>1643</v>
      </c>
      <c r="O53" s="44" t="s">
        <v>1643</v>
      </c>
      <c r="P53" s="44" t="s">
        <v>1644</v>
      </c>
      <c r="Q53" s="44" t="s">
        <v>1644</v>
      </c>
      <c r="R53" s="44" t="s">
        <v>1644</v>
      </c>
      <c r="S53" s="44" t="s">
        <v>1644</v>
      </c>
    </row>
    <row r="54" spans="1:19" ht="15.75" thickBot="1" x14ac:dyDescent="0.3">
      <c r="A54" s="44" t="s">
        <v>1413</v>
      </c>
      <c r="B54" s="48" t="s">
        <v>1414</v>
      </c>
      <c r="C54" s="44" t="s">
        <v>817</v>
      </c>
      <c r="D54" s="44" t="s">
        <v>3404</v>
      </c>
      <c r="E54" s="197">
        <v>21850</v>
      </c>
      <c r="F54" s="197">
        <v>22013</v>
      </c>
      <c r="G54" s="47">
        <v>32</v>
      </c>
      <c r="H54" s="44" t="s">
        <v>1644</v>
      </c>
      <c r="I54" s="44" t="s">
        <v>1644</v>
      </c>
      <c r="J54" s="44" t="s">
        <v>1644</v>
      </c>
      <c r="K54" s="44" t="s">
        <v>1644</v>
      </c>
      <c r="L54" s="44" t="s">
        <v>1644</v>
      </c>
      <c r="M54" s="44" t="s">
        <v>1644</v>
      </c>
      <c r="N54" s="44" t="s">
        <v>1643</v>
      </c>
      <c r="O54" s="44" t="s">
        <v>1644</v>
      </c>
      <c r="P54" s="44" t="s">
        <v>1643</v>
      </c>
      <c r="Q54" s="44" t="s">
        <v>1644</v>
      </c>
      <c r="R54" s="44" t="s">
        <v>1644</v>
      </c>
      <c r="S54" s="44" t="s">
        <v>1644</v>
      </c>
    </row>
    <row r="55" spans="1:19" ht="15.75" thickBot="1" x14ac:dyDescent="0.3">
      <c r="A55" s="44" t="s">
        <v>1415</v>
      </c>
      <c r="B55" s="48" t="s">
        <v>1416</v>
      </c>
      <c r="C55" s="44" t="s">
        <v>817</v>
      </c>
      <c r="D55" s="44" t="s">
        <v>3404</v>
      </c>
      <c r="E55" s="197">
        <v>13000</v>
      </c>
      <c r="F55" s="197">
        <v>17000</v>
      </c>
      <c r="G55" s="47">
        <v>26</v>
      </c>
      <c r="H55" s="44" t="s">
        <v>1644</v>
      </c>
      <c r="I55" s="44" t="s">
        <v>1644</v>
      </c>
      <c r="J55" s="44" t="s">
        <v>1644</v>
      </c>
      <c r="K55" s="44" t="s">
        <v>1644</v>
      </c>
      <c r="L55" s="44" t="s">
        <v>1643</v>
      </c>
      <c r="M55" s="44" t="s">
        <v>1643</v>
      </c>
      <c r="N55" s="44" t="s">
        <v>1643</v>
      </c>
      <c r="O55" s="44" t="s">
        <v>1644</v>
      </c>
      <c r="P55" s="44" t="s">
        <v>1643</v>
      </c>
      <c r="Q55" s="44" t="s">
        <v>1644</v>
      </c>
      <c r="R55" s="44" t="s">
        <v>1644</v>
      </c>
      <c r="S55" s="44" t="s">
        <v>1644</v>
      </c>
    </row>
    <row r="56" spans="1:19" ht="15.75" thickBot="1" x14ac:dyDescent="0.3">
      <c r="A56" s="44" t="s">
        <v>1459</v>
      </c>
      <c r="B56" s="48" t="s">
        <v>1460</v>
      </c>
      <c r="C56" s="44" t="s">
        <v>817</v>
      </c>
      <c r="D56" s="44" t="s">
        <v>3402</v>
      </c>
      <c r="E56" s="197">
        <v>33741</v>
      </c>
      <c r="F56" s="197">
        <v>40885</v>
      </c>
      <c r="G56" s="47">
        <v>40</v>
      </c>
      <c r="H56" s="44" t="s">
        <v>1644</v>
      </c>
      <c r="I56" s="44" t="s">
        <v>1644</v>
      </c>
      <c r="J56" s="44" t="s">
        <v>1644</v>
      </c>
      <c r="K56" s="44" t="s">
        <v>1644</v>
      </c>
      <c r="L56" s="44" t="s">
        <v>1644</v>
      </c>
      <c r="M56" s="44" t="s">
        <v>1644</v>
      </c>
      <c r="N56" s="44" t="s">
        <v>1644</v>
      </c>
      <c r="O56" s="44" t="s">
        <v>1643</v>
      </c>
      <c r="P56" s="44" t="s">
        <v>1644</v>
      </c>
      <c r="Q56" s="44" t="s">
        <v>1643</v>
      </c>
      <c r="R56" s="44" t="s">
        <v>1644</v>
      </c>
      <c r="S56" s="44" t="s">
        <v>1644</v>
      </c>
    </row>
    <row r="57" spans="1:19" ht="15.75" thickBot="1" x14ac:dyDescent="0.3">
      <c r="A57" s="44" t="s">
        <v>1465</v>
      </c>
      <c r="B57" s="48" t="s">
        <v>1466</v>
      </c>
      <c r="C57" s="44" t="s">
        <v>817</v>
      </c>
      <c r="D57" s="44" t="s">
        <v>3404</v>
      </c>
      <c r="E57" s="197">
        <v>17550</v>
      </c>
      <c r="F57" s="197">
        <v>21060</v>
      </c>
      <c r="G57" s="47">
        <v>25</v>
      </c>
      <c r="H57" s="44" t="s">
        <v>1644</v>
      </c>
      <c r="I57" s="44" t="s">
        <v>1644</v>
      </c>
      <c r="J57" s="44" t="s">
        <v>1644</v>
      </c>
      <c r="K57" s="44" t="s">
        <v>1644</v>
      </c>
      <c r="L57" s="44" t="s">
        <v>1644</v>
      </c>
      <c r="M57" s="44" t="s">
        <v>1644</v>
      </c>
      <c r="N57" s="44" t="s">
        <v>1644</v>
      </c>
      <c r="O57" s="44" t="s">
        <v>1644</v>
      </c>
      <c r="P57" s="44" t="s">
        <v>1643</v>
      </c>
      <c r="Q57" s="44" t="s">
        <v>1644</v>
      </c>
      <c r="R57" s="44" t="s">
        <v>1644</v>
      </c>
      <c r="S57" s="44" t="s">
        <v>1644</v>
      </c>
    </row>
    <row r="58" spans="1:19" ht="15.75" thickBot="1" x14ac:dyDescent="0.3">
      <c r="A58" s="44" t="s">
        <v>1476</v>
      </c>
      <c r="B58" s="48" t="s">
        <v>1477</v>
      </c>
      <c r="C58" s="44" t="s">
        <v>817</v>
      </c>
      <c r="D58" s="44" t="s">
        <v>3404</v>
      </c>
      <c r="E58" s="197">
        <v>27500</v>
      </c>
      <c r="F58" s="197">
        <v>29000</v>
      </c>
      <c r="G58" s="47">
        <v>35</v>
      </c>
      <c r="H58" s="44" t="s">
        <v>1644</v>
      </c>
      <c r="I58" s="44" t="s">
        <v>1644</v>
      </c>
      <c r="J58" s="44" t="s">
        <v>1644</v>
      </c>
      <c r="K58" s="44" t="s">
        <v>1644</v>
      </c>
      <c r="L58" s="44" t="s">
        <v>1644</v>
      </c>
      <c r="M58" s="44" t="s">
        <v>1644</v>
      </c>
      <c r="N58" s="44" t="s">
        <v>1643</v>
      </c>
      <c r="O58" s="44" t="s">
        <v>1644</v>
      </c>
      <c r="P58" s="44" t="s">
        <v>1644</v>
      </c>
      <c r="Q58" s="44" t="s">
        <v>1644</v>
      </c>
      <c r="R58" s="44" t="s">
        <v>1644</v>
      </c>
      <c r="S58" s="44" t="s">
        <v>1644</v>
      </c>
    </row>
    <row r="59" spans="1:19" ht="15.75" thickBot="1" x14ac:dyDescent="0.3">
      <c r="A59" s="44" t="s">
        <v>1478</v>
      </c>
      <c r="B59" s="48" t="s">
        <v>1479</v>
      </c>
      <c r="C59" s="44" t="s">
        <v>817</v>
      </c>
      <c r="D59" s="44" t="s">
        <v>1735</v>
      </c>
      <c r="E59" s="197">
        <v>19604</v>
      </c>
      <c r="F59" s="197">
        <v>20956</v>
      </c>
      <c r="G59" s="44">
        <v>0</v>
      </c>
      <c r="H59" s="44" t="s">
        <v>1644</v>
      </c>
      <c r="I59" s="44" t="s">
        <v>1644</v>
      </c>
      <c r="J59" s="44" t="s">
        <v>1644</v>
      </c>
      <c r="K59" s="44" t="s">
        <v>1644</v>
      </c>
      <c r="L59" s="44" t="s">
        <v>1644</v>
      </c>
      <c r="M59" s="44" t="s">
        <v>1644</v>
      </c>
      <c r="N59" s="44" t="s">
        <v>1644</v>
      </c>
      <c r="O59" s="44" t="s">
        <v>1643</v>
      </c>
      <c r="P59" s="44" t="s">
        <v>1644</v>
      </c>
      <c r="Q59" s="44" t="s">
        <v>1644</v>
      </c>
      <c r="R59" s="44" t="s">
        <v>1644</v>
      </c>
      <c r="S59" s="44" t="s">
        <v>1644</v>
      </c>
    </row>
    <row r="60" spans="1:19" ht="15.75" thickBot="1" x14ac:dyDescent="0.3">
      <c r="A60" s="44" t="s">
        <v>1500</v>
      </c>
      <c r="B60" s="48" t="s">
        <v>1501</v>
      </c>
      <c r="C60" s="44" t="s">
        <v>817</v>
      </c>
      <c r="D60" s="44" t="s">
        <v>1735</v>
      </c>
      <c r="E60" s="197">
        <v>18720</v>
      </c>
      <c r="F60" s="197">
        <v>20800</v>
      </c>
      <c r="G60" s="47">
        <v>36</v>
      </c>
      <c r="H60" s="44" t="s">
        <v>1644</v>
      </c>
      <c r="I60" s="44" t="s">
        <v>1644</v>
      </c>
      <c r="J60" s="44" t="s">
        <v>1644</v>
      </c>
      <c r="K60" s="44" t="s">
        <v>1644</v>
      </c>
      <c r="L60" s="44" t="s">
        <v>1644</v>
      </c>
      <c r="M60" s="44" t="s">
        <v>1644</v>
      </c>
      <c r="N60" s="44" t="s">
        <v>1643</v>
      </c>
      <c r="O60" s="44" t="s">
        <v>1644</v>
      </c>
      <c r="P60" s="44" t="s">
        <v>1643</v>
      </c>
      <c r="Q60" s="44" t="s">
        <v>1644</v>
      </c>
      <c r="R60" s="44" t="s">
        <v>1644</v>
      </c>
      <c r="S60" s="44" t="s">
        <v>1644</v>
      </c>
    </row>
    <row r="61" spans="1:19" ht="15.75" thickBot="1" x14ac:dyDescent="0.3">
      <c r="A61" s="44" t="s">
        <v>1518</v>
      </c>
      <c r="B61" s="48" t="s">
        <v>1519</v>
      </c>
      <c r="C61" s="44" t="s">
        <v>817</v>
      </c>
      <c r="D61" s="44" t="s">
        <v>3404</v>
      </c>
      <c r="E61" s="197">
        <v>15000</v>
      </c>
      <c r="F61" s="197">
        <v>19000</v>
      </c>
      <c r="G61" s="47">
        <v>24</v>
      </c>
      <c r="H61" s="44" t="s">
        <v>1644</v>
      </c>
      <c r="I61" s="44" t="s">
        <v>1644</v>
      </c>
      <c r="J61" s="44" t="s">
        <v>1644</v>
      </c>
      <c r="K61" s="44" t="s">
        <v>1644</v>
      </c>
      <c r="L61" s="44" t="s">
        <v>1644</v>
      </c>
      <c r="M61" s="44" t="s">
        <v>1644</v>
      </c>
      <c r="N61" s="44" t="s">
        <v>1644</v>
      </c>
      <c r="O61" s="44" t="s">
        <v>1644</v>
      </c>
      <c r="P61" s="44" t="s">
        <v>1643</v>
      </c>
      <c r="Q61" s="44" t="s">
        <v>1644</v>
      </c>
      <c r="R61" s="44" t="s">
        <v>1644</v>
      </c>
      <c r="S61" s="44" t="s">
        <v>1644</v>
      </c>
    </row>
    <row r="62" spans="1:19" ht="15.75" thickBot="1" x14ac:dyDescent="0.3">
      <c r="A62" s="44" t="s">
        <v>1536</v>
      </c>
      <c r="B62" s="48" t="s">
        <v>1537</v>
      </c>
      <c r="C62" s="44" t="s">
        <v>817</v>
      </c>
      <c r="D62" s="44" t="s">
        <v>3404</v>
      </c>
      <c r="E62" s="197">
        <v>17075</v>
      </c>
      <c r="F62" s="197">
        <v>18850</v>
      </c>
      <c r="G62" s="47">
        <v>25</v>
      </c>
      <c r="H62" s="44" t="s">
        <v>1644</v>
      </c>
      <c r="I62" s="44" t="s">
        <v>1644</v>
      </c>
      <c r="J62" s="44" t="s">
        <v>1644</v>
      </c>
      <c r="K62" s="44" t="s">
        <v>1644</v>
      </c>
      <c r="L62" s="44" t="s">
        <v>1644</v>
      </c>
      <c r="M62" s="44" t="s">
        <v>1644</v>
      </c>
      <c r="N62" s="44" t="s">
        <v>1644</v>
      </c>
      <c r="O62" s="44" t="s">
        <v>1644</v>
      </c>
      <c r="P62" s="44" t="s">
        <v>1643</v>
      </c>
      <c r="Q62" s="44" t="s">
        <v>1644</v>
      </c>
      <c r="R62" s="44" t="s">
        <v>1644</v>
      </c>
      <c r="S62" s="44" t="s">
        <v>1644</v>
      </c>
    </row>
    <row r="63" spans="1:19" ht="15.75" thickBot="1" x14ac:dyDescent="0.3">
      <c r="A63" s="44" t="s">
        <v>1548</v>
      </c>
      <c r="B63" s="48" t="s">
        <v>1549</v>
      </c>
      <c r="C63" s="44" t="s">
        <v>817</v>
      </c>
      <c r="D63" s="44" t="s">
        <v>3404</v>
      </c>
      <c r="E63" s="197">
        <v>24200</v>
      </c>
      <c r="F63" s="197">
        <v>25500</v>
      </c>
      <c r="G63" s="47">
        <v>32</v>
      </c>
      <c r="H63" s="44" t="s">
        <v>1644</v>
      </c>
      <c r="I63" s="44" t="s">
        <v>1644</v>
      </c>
      <c r="J63" s="44" t="s">
        <v>1644</v>
      </c>
      <c r="K63" s="44" t="s">
        <v>1644</v>
      </c>
      <c r="L63" s="44" t="s">
        <v>1644</v>
      </c>
      <c r="M63" s="44" t="s">
        <v>1643</v>
      </c>
      <c r="N63" s="44" t="s">
        <v>1643</v>
      </c>
      <c r="O63" s="44" t="s">
        <v>1644</v>
      </c>
      <c r="P63" s="44" t="s">
        <v>1643</v>
      </c>
      <c r="Q63" s="44" t="s">
        <v>1644</v>
      </c>
      <c r="R63" s="44" t="s">
        <v>1644</v>
      </c>
      <c r="S63" s="44" t="s">
        <v>1644</v>
      </c>
    </row>
    <row r="64" spans="1:19" ht="15.75" thickBot="1" x14ac:dyDescent="0.3">
      <c r="A64" s="44" t="s">
        <v>1554</v>
      </c>
      <c r="B64" s="48" t="s">
        <v>1555</v>
      </c>
      <c r="C64" s="44" t="s">
        <v>817</v>
      </c>
      <c r="D64" s="44" t="s">
        <v>1735</v>
      </c>
      <c r="E64" s="197">
        <v>29952</v>
      </c>
      <c r="F64" s="197">
        <v>29952</v>
      </c>
      <c r="G64" s="47">
        <v>36</v>
      </c>
      <c r="H64" s="44" t="s">
        <v>1643</v>
      </c>
      <c r="I64" s="44" t="s">
        <v>1643</v>
      </c>
      <c r="J64" s="44" t="s">
        <v>1643</v>
      </c>
      <c r="K64" s="44" t="s">
        <v>1643</v>
      </c>
      <c r="L64" s="44" t="s">
        <v>1643</v>
      </c>
      <c r="M64" s="44" t="s">
        <v>1643</v>
      </c>
      <c r="N64" s="44" t="s">
        <v>1643</v>
      </c>
      <c r="O64" s="44" t="s">
        <v>1643</v>
      </c>
      <c r="P64" s="44" t="s">
        <v>1643</v>
      </c>
      <c r="Q64" s="44" t="s">
        <v>1643</v>
      </c>
      <c r="R64" s="44" t="s">
        <v>1644</v>
      </c>
      <c r="S64" s="44" t="s">
        <v>1644</v>
      </c>
    </row>
    <row r="65" spans="1:19" ht="15.75" thickBot="1" x14ac:dyDescent="0.3">
      <c r="A65" s="44" t="s">
        <v>1556</v>
      </c>
      <c r="B65" s="48" t="s">
        <v>1557</v>
      </c>
      <c r="C65" s="44" t="s">
        <v>817</v>
      </c>
      <c r="D65" s="44" t="s">
        <v>1735</v>
      </c>
      <c r="E65" s="197">
        <v>21000</v>
      </c>
      <c r="F65" s="197">
        <v>21000</v>
      </c>
      <c r="G65" s="47">
        <v>35</v>
      </c>
      <c r="H65" s="44" t="s">
        <v>1644</v>
      </c>
      <c r="I65" s="44" t="s">
        <v>1644</v>
      </c>
      <c r="J65" s="44" t="s">
        <v>1644</v>
      </c>
      <c r="K65" s="44" t="s">
        <v>1644</v>
      </c>
      <c r="L65" s="44" t="s">
        <v>1644</v>
      </c>
      <c r="M65" s="44" t="s">
        <v>1643</v>
      </c>
      <c r="N65" s="44" t="s">
        <v>1643</v>
      </c>
      <c r="O65" s="44" t="s">
        <v>1644</v>
      </c>
      <c r="P65" s="44" t="s">
        <v>1643</v>
      </c>
      <c r="Q65" s="44" t="s">
        <v>1644</v>
      </c>
      <c r="R65" s="44" t="s">
        <v>1644</v>
      </c>
      <c r="S65" s="44" t="s">
        <v>1644</v>
      </c>
    </row>
    <row r="66" spans="1:19" ht="15.75" thickBot="1" x14ac:dyDescent="0.3">
      <c r="A66" s="44" t="s">
        <v>1558</v>
      </c>
      <c r="B66" s="48" t="s">
        <v>1559</v>
      </c>
      <c r="C66" s="44" t="s">
        <v>817</v>
      </c>
      <c r="D66" s="44" t="s">
        <v>3404</v>
      </c>
      <c r="E66" s="197">
        <v>9500</v>
      </c>
      <c r="F66" s="197">
        <v>12000</v>
      </c>
      <c r="G66" s="47">
        <v>15</v>
      </c>
      <c r="H66" s="44" t="s">
        <v>1643</v>
      </c>
      <c r="I66" s="44" t="s">
        <v>1643</v>
      </c>
      <c r="J66" s="44" t="s">
        <v>1643</v>
      </c>
      <c r="K66" s="44" t="s">
        <v>1643</v>
      </c>
      <c r="L66" s="44" t="s">
        <v>1643</v>
      </c>
      <c r="M66" s="44" t="s">
        <v>1643</v>
      </c>
      <c r="N66" s="44" t="s">
        <v>1643</v>
      </c>
      <c r="O66" s="44" t="s">
        <v>1643</v>
      </c>
      <c r="P66" s="44" t="s">
        <v>1643</v>
      </c>
      <c r="Q66" s="44" t="s">
        <v>1643</v>
      </c>
      <c r="R66" s="44" t="s">
        <v>1644</v>
      </c>
      <c r="S66" s="44" t="s">
        <v>1644</v>
      </c>
    </row>
    <row r="67" spans="1:19" ht="15.75" thickBot="1" x14ac:dyDescent="0.3">
      <c r="A67" s="44" t="s">
        <v>1568</v>
      </c>
      <c r="B67" s="48" t="s">
        <v>1569</v>
      </c>
      <c r="C67" s="44" t="s">
        <v>817</v>
      </c>
      <c r="D67" s="44" t="s">
        <v>3404</v>
      </c>
      <c r="E67" s="197">
        <v>14196</v>
      </c>
      <c r="F67" s="197">
        <v>15000</v>
      </c>
      <c r="G67" s="47">
        <v>28</v>
      </c>
      <c r="H67" s="44" t="s">
        <v>1644</v>
      </c>
      <c r="I67" s="44" t="s">
        <v>1644</v>
      </c>
      <c r="J67" s="44" t="s">
        <v>1644</v>
      </c>
      <c r="K67" s="44" t="s">
        <v>1644</v>
      </c>
      <c r="L67" s="44" t="s">
        <v>1644</v>
      </c>
      <c r="M67" s="44" t="s">
        <v>1644</v>
      </c>
      <c r="N67" s="44" t="s">
        <v>1644</v>
      </c>
      <c r="O67" s="44" t="s">
        <v>1644</v>
      </c>
      <c r="P67" s="44" t="s">
        <v>1644</v>
      </c>
      <c r="Q67" s="44" t="s">
        <v>1644</v>
      </c>
      <c r="R67" s="44" t="s">
        <v>1644</v>
      </c>
      <c r="S67" s="44" t="s">
        <v>1644</v>
      </c>
    </row>
    <row r="68" spans="1:19" ht="15.75" thickBot="1" x14ac:dyDescent="0.3">
      <c r="A68" s="44" t="s">
        <v>1580</v>
      </c>
      <c r="B68" s="48" t="s">
        <v>1581</v>
      </c>
      <c r="C68" s="44" t="s">
        <v>817</v>
      </c>
      <c r="D68" s="44" t="s">
        <v>3404</v>
      </c>
      <c r="E68" s="197">
        <v>25971</v>
      </c>
      <c r="F68" s="197">
        <v>26598</v>
      </c>
      <c r="G68" s="47">
        <v>31</v>
      </c>
      <c r="H68" s="44" t="s">
        <v>1644</v>
      </c>
      <c r="I68" s="44" t="s">
        <v>1644</v>
      </c>
      <c r="J68" s="44" t="s">
        <v>1644</v>
      </c>
      <c r="K68" s="44" t="s">
        <v>1644</v>
      </c>
      <c r="L68" s="44" t="s">
        <v>1643</v>
      </c>
      <c r="M68" s="44" t="s">
        <v>1644</v>
      </c>
      <c r="N68" s="44" t="s">
        <v>1643</v>
      </c>
      <c r="O68" s="44" t="s">
        <v>1643</v>
      </c>
      <c r="P68" s="44" t="s">
        <v>1643</v>
      </c>
      <c r="Q68" s="44" t="s">
        <v>1644</v>
      </c>
      <c r="R68" s="44" t="s">
        <v>1644</v>
      </c>
      <c r="S68" s="44" t="s">
        <v>1644</v>
      </c>
    </row>
    <row r="69" spans="1:19" ht="15.75" thickBot="1" x14ac:dyDescent="0.3">
      <c r="A69" s="44" t="s">
        <v>1592</v>
      </c>
      <c r="B69" s="48" t="s">
        <v>1593</v>
      </c>
      <c r="C69" s="44" t="s">
        <v>817</v>
      </c>
      <c r="D69" s="44" t="s">
        <v>1735</v>
      </c>
      <c r="E69" s="197">
        <v>17600</v>
      </c>
      <c r="F69" s="197">
        <v>22000</v>
      </c>
      <c r="G69" s="47">
        <v>21</v>
      </c>
      <c r="H69" s="44" t="s">
        <v>1644</v>
      </c>
      <c r="I69" s="44" t="s">
        <v>1644</v>
      </c>
      <c r="J69" s="44" t="s">
        <v>1644</v>
      </c>
      <c r="K69" s="44" t="s">
        <v>1644</v>
      </c>
      <c r="L69" s="44" t="s">
        <v>1644</v>
      </c>
      <c r="M69" s="44" t="s">
        <v>1644</v>
      </c>
      <c r="N69" s="44" t="s">
        <v>1644</v>
      </c>
      <c r="O69" s="44" t="s">
        <v>1644</v>
      </c>
      <c r="P69" s="44" t="s">
        <v>1644</v>
      </c>
      <c r="Q69" s="44" t="s">
        <v>1644</v>
      </c>
      <c r="R69" s="44" t="s">
        <v>1644</v>
      </c>
      <c r="S69" s="44" t="s">
        <v>1644</v>
      </c>
    </row>
    <row r="70" spans="1:19" ht="15.75" thickBot="1" x14ac:dyDescent="0.3">
      <c r="A70" s="44" t="s">
        <v>1600</v>
      </c>
      <c r="B70" s="48" t="s">
        <v>1601</v>
      </c>
      <c r="C70" s="44" t="s">
        <v>817</v>
      </c>
      <c r="D70" s="44" t="s">
        <v>3404</v>
      </c>
      <c r="E70" s="197">
        <v>21840</v>
      </c>
      <c r="F70" s="197">
        <v>26208</v>
      </c>
      <c r="G70" s="47">
        <v>35</v>
      </c>
      <c r="H70" s="44" t="s">
        <v>1643</v>
      </c>
      <c r="I70" s="44" t="s">
        <v>1643</v>
      </c>
      <c r="J70" s="44" t="s">
        <v>1644</v>
      </c>
      <c r="K70" s="44" t="s">
        <v>1644</v>
      </c>
      <c r="L70" s="44" t="s">
        <v>1644</v>
      </c>
      <c r="M70" s="44" t="s">
        <v>1644</v>
      </c>
      <c r="N70" s="44" t="s">
        <v>1643</v>
      </c>
      <c r="O70" s="44" t="s">
        <v>1643</v>
      </c>
      <c r="P70" s="44" t="s">
        <v>1643</v>
      </c>
      <c r="Q70" s="44" t="s">
        <v>1644</v>
      </c>
      <c r="R70" s="44" t="s">
        <v>1644</v>
      </c>
      <c r="S70" s="44" t="s">
        <v>1644</v>
      </c>
    </row>
    <row r="71" spans="1:19" ht="15.75" thickBot="1" x14ac:dyDescent="0.3">
      <c r="A71" s="44" t="s">
        <v>796</v>
      </c>
      <c r="B71" s="48" t="s">
        <v>797</v>
      </c>
      <c r="C71" s="44" t="s">
        <v>798</v>
      </c>
      <c r="D71" s="44" t="s">
        <v>3402</v>
      </c>
      <c r="E71" s="197">
        <v>33000</v>
      </c>
      <c r="F71" s="197">
        <v>45150</v>
      </c>
      <c r="G71" s="47">
        <v>40</v>
      </c>
      <c r="H71" s="44" t="s">
        <v>1644</v>
      </c>
      <c r="I71" s="44" t="s">
        <v>1644</v>
      </c>
      <c r="J71" s="44" t="s">
        <v>1644</v>
      </c>
      <c r="K71" s="44" t="s">
        <v>1644</v>
      </c>
      <c r="L71" s="44" t="s">
        <v>1644</v>
      </c>
      <c r="M71" s="44" t="s">
        <v>1643</v>
      </c>
      <c r="N71" s="44" t="s">
        <v>1643</v>
      </c>
      <c r="O71" s="44" t="s">
        <v>1643</v>
      </c>
      <c r="P71" s="44" t="s">
        <v>1643</v>
      </c>
      <c r="Q71" s="44" t="s">
        <v>1644</v>
      </c>
      <c r="R71" s="44" t="s">
        <v>1644</v>
      </c>
      <c r="S71" s="44" t="s">
        <v>1644</v>
      </c>
    </row>
    <row r="72" spans="1:19" ht="15.75" thickBot="1" x14ac:dyDescent="0.3">
      <c r="A72" s="44" t="s">
        <v>827</v>
      </c>
      <c r="B72" s="48" t="s">
        <v>828</v>
      </c>
      <c r="C72" s="44" t="s">
        <v>798</v>
      </c>
      <c r="D72" s="44" t="s">
        <v>3404</v>
      </c>
      <c r="E72" s="197">
        <v>43000</v>
      </c>
      <c r="F72" s="197">
        <v>50000</v>
      </c>
      <c r="G72" s="47">
        <v>40</v>
      </c>
      <c r="H72" s="44" t="s">
        <v>1643</v>
      </c>
      <c r="I72" s="44" t="s">
        <v>1644</v>
      </c>
      <c r="J72" s="44" t="s">
        <v>1644</v>
      </c>
      <c r="K72" s="44" t="s">
        <v>1644</v>
      </c>
      <c r="L72" s="44" t="s">
        <v>1644</v>
      </c>
      <c r="M72" s="44" t="s">
        <v>1643</v>
      </c>
      <c r="N72" s="44" t="s">
        <v>1643</v>
      </c>
      <c r="O72" s="44" t="s">
        <v>1643</v>
      </c>
      <c r="P72" s="44" t="s">
        <v>1643</v>
      </c>
      <c r="Q72" s="44" t="s">
        <v>1644</v>
      </c>
      <c r="R72" s="44" t="s">
        <v>1644</v>
      </c>
      <c r="S72" s="44" t="s">
        <v>1644</v>
      </c>
    </row>
    <row r="73" spans="1:19" ht="15.75" thickBot="1" x14ac:dyDescent="0.3">
      <c r="A73" s="44" t="s">
        <v>838</v>
      </c>
      <c r="B73" s="48" t="s">
        <v>839</v>
      </c>
      <c r="C73" s="44" t="s">
        <v>798</v>
      </c>
      <c r="D73" s="44" t="s">
        <v>3402</v>
      </c>
      <c r="E73" s="197">
        <v>45000</v>
      </c>
      <c r="F73" s="197">
        <v>65000</v>
      </c>
      <c r="G73" s="47">
        <v>40</v>
      </c>
      <c r="H73" s="44" t="s">
        <v>1643</v>
      </c>
      <c r="I73" s="44" t="s">
        <v>1644</v>
      </c>
      <c r="J73" s="44" t="s">
        <v>1644</v>
      </c>
      <c r="K73" s="44" t="s">
        <v>1644</v>
      </c>
      <c r="L73" s="44" t="s">
        <v>1644</v>
      </c>
      <c r="M73" s="44" t="s">
        <v>1643</v>
      </c>
      <c r="N73" s="44" t="s">
        <v>1643</v>
      </c>
      <c r="O73" s="44" t="s">
        <v>1643</v>
      </c>
      <c r="P73" s="44" t="s">
        <v>1643</v>
      </c>
      <c r="Q73" s="44" t="s">
        <v>1643</v>
      </c>
      <c r="R73" s="44" t="s">
        <v>1644</v>
      </c>
      <c r="S73" s="44" t="s">
        <v>1644</v>
      </c>
    </row>
    <row r="74" spans="1:19" ht="15.75" thickBot="1" x14ac:dyDescent="0.3">
      <c r="A74" s="44" t="s">
        <v>842</v>
      </c>
      <c r="B74" s="48" t="s">
        <v>843</v>
      </c>
      <c r="C74" s="44" t="s">
        <v>798</v>
      </c>
      <c r="D74" s="44" t="s">
        <v>3404</v>
      </c>
      <c r="E74" s="197">
        <v>11668</v>
      </c>
      <c r="F74" s="197">
        <v>13430</v>
      </c>
      <c r="G74" s="47">
        <v>20</v>
      </c>
      <c r="H74" s="44" t="s">
        <v>1644</v>
      </c>
      <c r="I74" s="44" t="s">
        <v>1644</v>
      </c>
      <c r="J74" s="44" t="s">
        <v>1644</v>
      </c>
      <c r="K74" s="44" t="s">
        <v>1644</v>
      </c>
      <c r="L74" s="44" t="s">
        <v>1644</v>
      </c>
      <c r="M74" s="44" t="s">
        <v>1644</v>
      </c>
      <c r="N74" s="44" t="s">
        <v>1644</v>
      </c>
      <c r="O74" s="44" t="s">
        <v>1643</v>
      </c>
      <c r="P74" s="44" t="s">
        <v>1644</v>
      </c>
      <c r="Q74" s="44" t="s">
        <v>1644</v>
      </c>
      <c r="R74" s="44" t="s">
        <v>1644</v>
      </c>
      <c r="S74" s="44" t="s">
        <v>1644</v>
      </c>
    </row>
    <row r="75" spans="1:19" ht="15.75" thickBot="1" x14ac:dyDescent="0.3">
      <c r="A75" s="44" t="s">
        <v>853</v>
      </c>
      <c r="B75" s="48" t="s">
        <v>854</v>
      </c>
      <c r="C75" s="44" t="s">
        <v>798</v>
      </c>
      <c r="D75" s="44" t="s">
        <v>1735</v>
      </c>
      <c r="E75" s="197">
        <v>35000</v>
      </c>
      <c r="F75" s="197">
        <v>50000</v>
      </c>
      <c r="G75" s="47">
        <v>40</v>
      </c>
      <c r="H75" s="44" t="s">
        <v>1643</v>
      </c>
      <c r="I75" s="44" t="s">
        <v>1643</v>
      </c>
      <c r="J75" s="44" t="s">
        <v>1643</v>
      </c>
      <c r="K75" s="44" t="s">
        <v>1644</v>
      </c>
      <c r="L75" s="44" t="s">
        <v>1643</v>
      </c>
      <c r="M75" s="44" t="s">
        <v>1643</v>
      </c>
      <c r="N75" s="44" t="s">
        <v>1643</v>
      </c>
      <c r="O75" s="44" t="s">
        <v>1643</v>
      </c>
      <c r="P75" s="44" t="s">
        <v>1643</v>
      </c>
      <c r="Q75" s="44" t="s">
        <v>1644</v>
      </c>
      <c r="R75" s="44" t="s">
        <v>1644</v>
      </c>
      <c r="S75" s="44" t="s">
        <v>1644</v>
      </c>
    </row>
    <row r="76" spans="1:19" ht="15.75" thickBot="1" x14ac:dyDescent="0.3">
      <c r="A76" s="44" t="s">
        <v>857</v>
      </c>
      <c r="B76" s="48" t="s">
        <v>858</v>
      </c>
      <c r="C76" s="44" t="s">
        <v>798</v>
      </c>
      <c r="D76" s="44" t="s">
        <v>3404</v>
      </c>
      <c r="E76" s="197">
        <v>45000</v>
      </c>
      <c r="F76" s="197">
        <v>45000</v>
      </c>
      <c r="G76" s="47">
        <v>40</v>
      </c>
      <c r="H76" s="44" t="s">
        <v>1644</v>
      </c>
      <c r="I76" s="44" t="s">
        <v>1644</v>
      </c>
      <c r="J76" s="44" t="s">
        <v>1644</v>
      </c>
      <c r="K76" s="44" t="s">
        <v>1644</v>
      </c>
      <c r="L76" s="44" t="s">
        <v>1644</v>
      </c>
      <c r="M76" s="44" t="s">
        <v>1643</v>
      </c>
      <c r="N76" s="44" t="s">
        <v>1643</v>
      </c>
      <c r="O76" s="44" t="s">
        <v>1643</v>
      </c>
      <c r="P76" s="44" t="s">
        <v>1643</v>
      </c>
      <c r="Q76" s="44" t="s">
        <v>1644</v>
      </c>
      <c r="R76" s="44" t="s">
        <v>1644</v>
      </c>
      <c r="S76" s="44" t="s">
        <v>1644</v>
      </c>
    </row>
    <row r="77" spans="1:19" ht="15.75" thickBot="1" x14ac:dyDescent="0.3">
      <c r="A77" s="44" t="s">
        <v>881</v>
      </c>
      <c r="B77" s="48" t="s">
        <v>882</v>
      </c>
      <c r="C77" s="44" t="s">
        <v>798</v>
      </c>
      <c r="D77" s="44" t="s">
        <v>3402</v>
      </c>
      <c r="E77" s="197">
        <v>46501</v>
      </c>
      <c r="F77" s="197">
        <v>46501</v>
      </c>
      <c r="G77" s="47">
        <v>40</v>
      </c>
      <c r="H77" s="44" t="s">
        <v>1643</v>
      </c>
      <c r="I77" s="44" t="s">
        <v>1643</v>
      </c>
      <c r="J77" s="44" t="s">
        <v>1643</v>
      </c>
      <c r="K77" s="44" t="s">
        <v>1643</v>
      </c>
      <c r="L77" s="44" t="s">
        <v>1643</v>
      </c>
      <c r="M77" s="44" t="s">
        <v>1643</v>
      </c>
      <c r="N77" s="44" t="s">
        <v>1643</v>
      </c>
      <c r="O77" s="44" t="s">
        <v>1643</v>
      </c>
      <c r="P77" s="44" t="s">
        <v>1643</v>
      </c>
      <c r="Q77" s="44" t="s">
        <v>1644</v>
      </c>
      <c r="R77" s="44" t="s">
        <v>1643</v>
      </c>
      <c r="S77" s="44" t="s">
        <v>1643</v>
      </c>
    </row>
    <row r="78" spans="1:19" ht="15.75" thickBot="1" x14ac:dyDescent="0.3">
      <c r="A78" s="44" t="s">
        <v>903</v>
      </c>
      <c r="B78" s="48" t="s">
        <v>904</v>
      </c>
      <c r="C78" s="44" t="s">
        <v>798</v>
      </c>
      <c r="D78" s="44" t="s">
        <v>3402</v>
      </c>
      <c r="E78" s="197">
        <v>51600</v>
      </c>
      <c r="F78" s="197">
        <v>55000</v>
      </c>
      <c r="G78" s="47">
        <v>40</v>
      </c>
      <c r="H78" s="44" t="s">
        <v>1644</v>
      </c>
      <c r="I78" s="44" t="s">
        <v>1644</v>
      </c>
      <c r="J78" s="44" t="s">
        <v>1644</v>
      </c>
      <c r="K78" s="44" t="s">
        <v>1643</v>
      </c>
      <c r="L78" s="44" t="s">
        <v>1644</v>
      </c>
      <c r="M78" s="44" t="s">
        <v>1644</v>
      </c>
      <c r="N78" s="44" t="s">
        <v>1643</v>
      </c>
      <c r="O78" s="44" t="s">
        <v>1643</v>
      </c>
      <c r="P78" s="44" t="s">
        <v>1643</v>
      </c>
      <c r="Q78" s="44" t="s">
        <v>1644</v>
      </c>
      <c r="R78" s="44" t="s">
        <v>1644</v>
      </c>
      <c r="S78" s="44" t="s">
        <v>1644</v>
      </c>
    </row>
    <row r="79" spans="1:19" ht="15.75" thickBot="1" x14ac:dyDescent="0.3">
      <c r="A79" s="44" t="s">
        <v>909</v>
      </c>
      <c r="B79" s="48" t="s">
        <v>910</v>
      </c>
      <c r="C79" s="44" t="s">
        <v>798</v>
      </c>
      <c r="D79" s="44" t="s">
        <v>3404</v>
      </c>
      <c r="E79" s="197">
        <v>24000</v>
      </c>
      <c r="F79" s="197">
        <v>24000</v>
      </c>
      <c r="G79" s="47">
        <v>32</v>
      </c>
      <c r="H79" s="44" t="s">
        <v>1644</v>
      </c>
      <c r="I79" s="44" t="s">
        <v>1644</v>
      </c>
      <c r="J79" s="44" t="s">
        <v>1644</v>
      </c>
      <c r="K79" s="44" t="s">
        <v>1644</v>
      </c>
      <c r="L79" s="44" t="s">
        <v>1644</v>
      </c>
      <c r="M79" s="44" t="s">
        <v>1644</v>
      </c>
      <c r="N79" s="44" t="s">
        <v>1643</v>
      </c>
      <c r="O79" s="44" t="s">
        <v>1644</v>
      </c>
      <c r="P79" s="44" t="s">
        <v>1643</v>
      </c>
      <c r="Q79" s="44" t="s">
        <v>1644</v>
      </c>
      <c r="R79" s="44" t="s">
        <v>1644</v>
      </c>
      <c r="S79" s="44" t="s">
        <v>1644</v>
      </c>
    </row>
    <row r="80" spans="1:19" ht="15.75" thickBot="1" x14ac:dyDescent="0.3">
      <c r="A80" s="44" t="s">
        <v>921</v>
      </c>
      <c r="B80" s="48" t="s">
        <v>922</v>
      </c>
      <c r="C80" s="44" t="s">
        <v>798</v>
      </c>
      <c r="D80" s="44" t="s">
        <v>850</v>
      </c>
      <c r="E80" s="197">
        <v>20384</v>
      </c>
      <c r="F80" s="197">
        <v>21840</v>
      </c>
      <c r="G80" s="47">
        <v>28</v>
      </c>
      <c r="H80" s="44" t="s">
        <v>1644</v>
      </c>
      <c r="I80" s="44" t="s">
        <v>1644</v>
      </c>
      <c r="J80" s="44" t="s">
        <v>1644</v>
      </c>
      <c r="K80" s="44" t="s">
        <v>1644</v>
      </c>
      <c r="L80" s="44" t="s">
        <v>1644</v>
      </c>
      <c r="M80" s="44" t="s">
        <v>1644</v>
      </c>
      <c r="N80" s="44" t="s">
        <v>1643</v>
      </c>
      <c r="O80" s="44" t="s">
        <v>1644</v>
      </c>
      <c r="P80" s="44" t="s">
        <v>1643</v>
      </c>
      <c r="Q80" s="44" t="s">
        <v>1644</v>
      </c>
      <c r="R80" s="44" t="s">
        <v>1644</v>
      </c>
      <c r="S80" s="44" t="s">
        <v>1644</v>
      </c>
    </row>
    <row r="81" spans="1:19" ht="15.75" thickBot="1" x14ac:dyDescent="0.3">
      <c r="A81" s="44" t="s">
        <v>963</v>
      </c>
      <c r="B81" s="48" t="s">
        <v>964</v>
      </c>
      <c r="C81" s="44" t="s">
        <v>798</v>
      </c>
      <c r="D81" s="44" t="s">
        <v>1735</v>
      </c>
      <c r="E81" s="197">
        <v>34158</v>
      </c>
      <c r="F81" s="197">
        <v>34158</v>
      </c>
      <c r="G81" s="47">
        <v>33</v>
      </c>
      <c r="H81" s="44" t="s">
        <v>1644</v>
      </c>
      <c r="I81" s="44" t="s">
        <v>1644</v>
      </c>
      <c r="J81" s="44" t="s">
        <v>1643</v>
      </c>
      <c r="K81" s="44" t="s">
        <v>1644</v>
      </c>
      <c r="L81" s="44" t="s">
        <v>1643</v>
      </c>
      <c r="M81" s="44" t="s">
        <v>1643</v>
      </c>
      <c r="N81" s="44" t="s">
        <v>1643</v>
      </c>
      <c r="O81" s="44" t="s">
        <v>1643</v>
      </c>
      <c r="P81" s="44" t="s">
        <v>1643</v>
      </c>
      <c r="Q81" s="44" t="s">
        <v>1644</v>
      </c>
      <c r="R81" s="44" t="s">
        <v>1644</v>
      </c>
      <c r="S81" s="44" t="s">
        <v>1644</v>
      </c>
    </row>
    <row r="82" spans="1:19" ht="15.75" thickBot="1" x14ac:dyDescent="0.3">
      <c r="A82" s="44" t="s">
        <v>977</v>
      </c>
      <c r="B82" s="48" t="s">
        <v>978</v>
      </c>
      <c r="C82" s="44" t="s">
        <v>798</v>
      </c>
      <c r="D82" s="44" t="s">
        <v>3404</v>
      </c>
      <c r="E82" s="197">
        <v>3361</v>
      </c>
      <c r="F82" s="197">
        <v>42016</v>
      </c>
      <c r="G82" s="47">
        <v>32</v>
      </c>
      <c r="H82" s="44" t="s">
        <v>1644</v>
      </c>
      <c r="I82" s="44" t="s">
        <v>1644</v>
      </c>
      <c r="J82" s="44" t="s">
        <v>1644</v>
      </c>
      <c r="K82" s="44" t="s">
        <v>1644</v>
      </c>
      <c r="L82" s="44" t="s">
        <v>1644</v>
      </c>
      <c r="M82" s="44" t="s">
        <v>1644</v>
      </c>
      <c r="N82" s="44" t="s">
        <v>1643</v>
      </c>
      <c r="O82" s="44" t="s">
        <v>1644</v>
      </c>
      <c r="P82" s="44" t="s">
        <v>1643</v>
      </c>
      <c r="Q82" s="44" t="s">
        <v>1644</v>
      </c>
      <c r="R82" s="44" t="s">
        <v>1644</v>
      </c>
      <c r="S82" s="44" t="s">
        <v>1644</v>
      </c>
    </row>
    <row r="83" spans="1:19" ht="15.75" thickBot="1" x14ac:dyDescent="0.3">
      <c r="A83" s="44" t="s">
        <v>999</v>
      </c>
      <c r="B83" s="48" t="s">
        <v>1000</v>
      </c>
      <c r="C83" s="44" t="s">
        <v>798</v>
      </c>
      <c r="D83" s="44" t="s">
        <v>850</v>
      </c>
      <c r="E83" s="197">
        <v>17342</v>
      </c>
      <c r="F83" s="197">
        <v>19225</v>
      </c>
      <c r="G83" s="47">
        <v>29</v>
      </c>
      <c r="H83" s="44" t="s">
        <v>1644</v>
      </c>
      <c r="I83" s="44" t="s">
        <v>1644</v>
      </c>
      <c r="J83" s="44" t="s">
        <v>1644</v>
      </c>
      <c r="K83" s="44" t="s">
        <v>1644</v>
      </c>
      <c r="L83" s="44" t="s">
        <v>1644</v>
      </c>
      <c r="M83" s="44" t="s">
        <v>1643</v>
      </c>
      <c r="N83" s="44" t="s">
        <v>1643</v>
      </c>
      <c r="O83" s="44" t="s">
        <v>1644</v>
      </c>
      <c r="P83" s="44" t="s">
        <v>1643</v>
      </c>
      <c r="Q83" s="44" t="s">
        <v>1644</v>
      </c>
      <c r="R83" s="44" t="s">
        <v>1644</v>
      </c>
      <c r="S83" s="44" t="s">
        <v>1644</v>
      </c>
    </row>
    <row r="84" spans="1:19" ht="15.75" thickBot="1" x14ac:dyDescent="0.3">
      <c r="A84" s="44" t="s">
        <v>1013</v>
      </c>
      <c r="B84" s="48" t="s">
        <v>1014</v>
      </c>
      <c r="C84" s="44" t="s">
        <v>798</v>
      </c>
      <c r="D84" s="44" t="s">
        <v>3402</v>
      </c>
      <c r="E84" s="197">
        <v>38346</v>
      </c>
      <c r="F84" s="197">
        <v>38346</v>
      </c>
      <c r="G84" s="47">
        <v>35</v>
      </c>
      <c r="H84" s="44" t="s">
        <v>1644</v>
      </c>
      <c r="I84" s="44" t="s">
        <v>1644</v>
      </c>
      <c r="J84" s="44" t="s">
        <v>1644</v>
      </c>
      <c r="K84" s="44" t="s">
        <v>1644</v>
      </c>
      <c r="L84" s="44" t="s">
        <v>1643</v>
      </c>
      <c r="M84" s="44" t="s">
        <v>1643</v>
      </c>
      <c r="N84" s="44" t="s">
        <v>1643</v>
      </c>
      <c r="O84" s="44" t="s">
        <v>1644</v>
      </c>
      <c r="P84" s="44" t="s">
        <v>1643</v>
      </c>
      <c r="Q84" s="44" t="s">
        <v>1644</v>
      </c>
      <c r="R84" s="44" t="s">
        <v>1644</v>
      </c>
      <c r="S84" s="44" t="s">
        <v>1644</v>
      </c>
    </row>
    <row r="85" spans="1:19" ht="15.75" thickBot="1" x14ac:dyDescent="0.3">
      <c r="A85" s="44" t="s">
        <v>1019</v>
      </c>
      <c r="B85" s="48" t="s">
        <v>1020</v>
      </c>
      <c r="C85" s="44" t="s">
        <v>798</v>
      </c>
      <c r="D85" s="44" t="s">
        <v>3404</v>
      </c>
      <c r="E85" s="197">
        <v>22259</v>
      </c>
      <c r="F85" s="197">
        <v>22259</v>
      </c>
      <c r="G85" s="47">
        <v>29</v>
      </c>
      <c r="H85" s="44" t="s">
        <v>1644</v>
      </c>
      <c r="I85" s="44" t="s">
        <v>1644</v>
      </c>
      <c r="J85" s="44" t="s">
        <v>1644</v>
      </c>
      <c r="K85" s="44" t="s">
        <v>1644</v>
      </c>
      <c r="L85" s="44" t="s">
        <v>1644</v>
      </c>
      <c r="M85" s="44" t="s">
        <v>1644</v>
      </c>
      <c r="N85" s="44" t="s">
        <v>1643</v>
      </c>
      <c r="O85" s="44" t="s">
        <v>1643</v>
      </c>
      <c r="P85" s="44" t="s">
        <v>1644</v>
      </c>
      <c r="Q85" s="44" t="s">
        <v>1644</v>
      </c>
      <c r="R85" s="44" t="s">
        <v>1644</v>
      </c>
      <c r="S85" s="44" t="s">
        <v>1644</v>
      </c>
    </row>
    <row r="86" spans="1:19" ht="15.75" thickBot="1" x14ac:dyDescent="0.3">
      <c r="A86" s="44" t="s">
        <v>1021</v>
      </c>
      <c r="B86" s="48" t="s">
        <v>1022</v>
      </c>
      <c r="C86" s="44" t="s">
        <v>798</v>
      </c>
      <c r="D86" s="44" t="s">
        <v>3404</v>
      </c>
      <c r="E86" s="197">
        <v>25000</v>
      </c>
      <c r="F86" s="197">
        <v>30000</v>
      </c>
      <c r="G86" s="47">
        <v>32</v>
      </c>
      <c r="H86" s="44" t="s">
        <v>1644</v>
      </c>
      <c r="I86" s="44" t="s">
        <v>1644</v>
      </c>
      <c r="J86" s="44" t="s">
        <v>1644</v>
      </c>
      <c r="K86" s="44" t="s">
        <v>1644</v>
      </c>
      <c r="L86" s="44" t="s">
        <v>1644</v>
      </c>
      <c r="M86" s="44" t="s">
        <v>1643</v>
      </c>
      <c r="N86" s="44" t="s">
        <v>1643</v>
      </c>
      <c r="O86" s="44" t="s">
        <v>1643</v>
      </c>
      <c r="P86" s="44" t="s">
        <v>1643</v>
      </c>
      <c r="Q86" s="44" t="s">
        <v>1643</v>
      </c>
      <c r="R86" s="44" t="s">
        <v>1644</v>
      </c>
      <c r="S86" s="44" t="s">
        <v>1644</v>
      </c>
    </row>
    <row r="87" spans="1:19" ht="15.75" thickBot="1" x14ac:dyDescent="0.3">
      <c r="A87" s="44" t="s">
        <v>1035</v>
      </c>
      <c r="B87" s="48" t="s">
        <v>1036</v>
      </c>
      <c r="C87" s="44" t="s">
        <v>798</v>
      </c>
      <c r="D87" s="44" t="s">
        <v>1735</v>
      </c>
      <c r="E87" s="197">
        <v>55200</v>
      </c>
      <c r="F87" s="197">
        <v>57250</v>
      </c>
      <c r="G87" s="47">
        <v>40</v>
      </c>
      <c r="H87" s="44" t="s">
        <v>1643</v>
      </c>
      <c r="I87" s="44" t="s">
        <v>1643</v>
      </c>
      <c r="J87" s="44" t="s">
        <v>1643</v>
      </c>
      <c r="K87" s="44" t="s">
        <v>1644</v>
      </c>
      <c r="L87" s="44" t="s">
        <v>1643</v>
      </c>
      <c r="M87" s="44" t="s">
        <v>1643</v>
      </c>
      <c r="N87" s="44" t="s">
        <v>1643</v>
      </c>
      <c r="O87" s="44" t="s">
        <v>1643</v>
      </c>
      <c r="P87" s="44" t="s">
        <v>1643</v>
      </c>
      <c r="Q87" s="44" t="s">
        <v>1644</v>
      </c>
      <c r="R87" s="44" t="s">
        <v>1644</v>
      </c>
      <c r="S87" s="44" t="s">
        <v>1644</v>
      </c>
    </row>
    <row r="88" spans="1:19" ht="15.75" thickBot="1" x14ac:dyDescent="0.3">
      <c r="A88" s="44" t="s">
        <v>1065</v>
      </c>
      <c r="B88" s="48" t="s">
        <v>1066</v>
      </c>
      <c r="C88" s="44" t="s">
        <v>798</v>
      </c>
      <c r="D88" s="44" t="s">
        <v>3404</v>
      </c>
      <c r="E88" s="197">
        <v>16000</v>
      </c>
      <c r="F88" s="197">
        <v>36000</v>
      </c>
      <c r="G88" s="47">
        <v>40</v>
      </c>
      <c r="H88" s="44" t="s">
        <v>1643</v>
      </c>
      <c r="I88" s="44" t="s">
        <v>1644</v>
      </c>
      <c r="J88" s="44" t="s">
        <v>1644</v>
      </c>
      <c r="K88" s="44" t="s">
        <v>1644</v>
      </c>
      <c r="L88" s="44" t="s">
        <v>1644</v>
      </c>
      <c r="M88" s="44" t="s">
        <v>1643</v>
      </c>
      <c r="N88" s="44" t="s">
        <v>1643</v>
      </c>
      <c r="O88" s="44" t="s">
        <v>1643</v>
      </c>
      <c r="P88" s="44" t="s">
        <v>1643</v>
      </c>
      <c r="Q88" s="44" t="s">
        <v>1644</v>
      </c>
      <c r="R88" s="44" t="s">
        <v>1644</v>
      </c>
      <c r="S88" s="44" t="s">
        <v>1643</v>
      </c>
    </row>
    <row r="89" spans="1:19" ht="15.75" thickBot="1" x14ac:dyDescent="0.3">
      <c r="A89" s="44" t="s">
        <v>1075</v>
      </c>
      <c r="B89" s="48" t="s">
        <v>1076</v>
      </c>
      <c r="C89" s="44" t="s">
        <v>798</v>
      </c>
      <c r="D89" s="44" t="s">
        <v>1735</v>
      </c>
      <c r="E89" s="197">
        <v>20400</v>
      </c>
      <c r="F89" s="197">
        <v>24759</v>
      </c>
      <c r="G89" s="47">
        <v>22</v>
      </c>
      <c r="H89" s="44" t="s">
        <v>1644</v>
      </c>
      <c r="I89" s="44" t="s">
        <v>1644</v>
      </c>
      <c r="J89" s="44" t="s">
        <v>1644</v>
      </c>
      <c r="K89" s="44" t="s">
        <v>1644</v>
      </c>
      <c r="L89" s="44" t="s">
        <v>1644</v>
      </c>
      <c r="M89" s="44" t="s">
        <v>1644</v>
      </c>
      <c r="N89" s="44" t="s">
        <v>1643</v>
      </c>
      <c r="O89" s="44" t="s">
        <v>1644</v>
      </c>
      <c r="P89" s="44" t="s">
        <v>1643</v>
      </c>
      <c r="Q89" s="44" t="s">
        <v>1644</v>
      </c>
      <c r="R89" s="44" t="s">
        <v>1644</v>
      </c>
      <c r="S89" s="44" t="s">
        <v>1644</v>
      </c>
    </row>
    <row r="90" spans="1:19" ht="15.75" thickBot="1" x14ac:dyDescent="0.3">
      <c r="A90" s="44" t="s">
        <v>1119</v>
      </c>
      <c r="B90" s="48" t="s">
        <v>1120</v>
      </c>
      <c r="C90" s="44" t="s">
        <v>798</v>
      </c>
      <c r="D90" s="44" t="s">
        <v>3404</v>
      </c>
      <c r="E90" s="197">
        <v>31000</v>
      </c>
      <c r="F90" s="197">
        <v>60000</v>
      </c>
      <c r="G90" s="47">
        <v>40</v>
      </c>
      <c r="H90" s="44" t="s">
        <v>1643</v>
      </c>
      <c r="I90" s="44" t="s">
        <v>1643</v>
      </c>
      <c r="J90" s="44" t="s">
        <v>1643</v>
      </c>
      <c r="K90" s="44" t="s">
        <v>1643</v>
      </c>
      <c r="L90" s="44" t="s">
        <v>1643</v>
      </c>
      <c r="M90" s="44" t="s">
        <v>1643</v>
      </c>
      <c r="N90" s="44" t="s">
        <v>1643</v>
      </c>
      <c r="O90" s="44" t="s">
        <v>1643</v>
      </c>
      <c r="P90" s="44" t="s">
        <v>1643</v>
      </c>
      <c r="Q90" s="44" t="s">
        <v>1644</v>
      </c>
      <c r="R90" s="44" t="s">
        <v>1643</v>
      </c>
      <c r="S90" s="44" t="s">
        <v>1644</v>
      </c>
    </row>
    <row r="91" spans="1:19" ht="15.75" thickBot="1" x14ac:dyDescent="0.3">
      <c r="A91" s="44" t="s">
        <v>1129</v>
      </c>
      <c r="B91" s="48" t="s">
        <v>1130</v>
      </c>
      <c r="C91" s="44" t="s">
        <v>798</v>
      </c>
      <c r="D91" s="44" t="s">
        <v>3404</v>
      </c>
      <c r="E91" s="197">
        <v>30000</v>
      </c>
      <c r="F91" s="197">
        <v>45000</v>
      </c>
      <c r="G91" s="47">
        <v>40</v>
      </c>
      <c r="H91" s="44" t="s">
        <v>1643</v>
      </c>
      <c r="I91" s="44" t="s">
        <v>1644</v>
      </c>
      <c r="J91" s="44" t="s">
        <v>1644</v>
      </c>
      <c r="K91" s="44" t="s">
        <v>1644</v>
      </c>
      <c r="L91" s="44" t="s">
        <v>1644</v>
      </c>
      <c r="M91" s="44" t="s">
        <v>1643</v>
      </c>
      <c r="N91" s="44" t="s">
        <v>1643</v>
      </c>
      <c r="O91" s="44" t="s">
        <v>1643</v>
      </c>
      <c r="P91" s="44" t="s">
        <v>1643</v>
      </c>
      <c r="Q91" s="44" t="s">
        <v>1644</v>
      </c>
      <c r="R91" s="44" t="s">
        <v>1644</v>
      </c>
      <c r="S91" s="44" t="s">
        <v>1644</v>
      </c>
    </row>
    <row r="92" spans="1:19" ht="15.75" thickBot="1" x14ac:dyDescent="0.3">
      <c r="A92" s="44" t="s">
        <v>1139</v>
      </c>
      <c r="B92" s="48" t="s">
        <v>1140</v>
      </c>
      <c r="C92" s="44" t="s">
        <v>798</v>
      </c>
      <c r="D92" s="44" t="s">
        <v>1735</v>
      </c>
      <c r="E92" s="197">
        <v>34000</v>
      </c>
      <c r="F92" s="197">
        <v>34000</v>
      </c>
      <c r="G92" s="47">
        <v>30</v>
      </c>
      <c r="H92" s="44" t="s">
        <v>1644</v>
      </c>
      <c r="I92" s="44" t="s">
        <v>1644</v>
      </c>
      <c r="J92" s="44" t="s">
        <v>1644</v>
      </c>
      <c r="K92" s="44" t="s">
        <v>1644</v>
      </c>
      <c r="L92" s="44" t="s">
        <v>1644</v>
      </c>
      <c r="M92" s="44" t="s">
        <v>1643</v>
      </c>
      <c r="N92" s="44" t="s">
        <v>1643</v>
      </c>
      <c r="O92" s="44" t="s">
        <v>1644</v>
      </c>
      <c r="P92" s="44" t="s">
        <v>1643</v>
      </c>
      <c r="Q92" s="44" t="s">
        <v>1644</v>
      </c>
      <c r="R92" s="44" t="s">
        <v>1644</v>
      </c>
      <c r="S92" s="44" t="s">
        <v>1644</v>
      </c>
    </row>
    <row r="93" spans="1:19" ht="15.75" thickBot="1" x14ac:dyDescent="0.3">
      <c r="A93" s="44" t="s">
        <v>1147</v>
      </c>
      <c r="B93" s="48" t="s">
        <v>1148</v>
      </c>
      <c r="C93" s="44" t="s">
        <v>798</v>
      </c>
      <c r="D93" s="44" t="s">
        <v>3404</v>
      </c>
      <c r="E93" s="197">
        <v>20000</v>
      </c>
      <c r="F93" s="197">
        <v>30000</v>
      </c>
      <c r="G93" s="47">
        <v>32</v>
      </c>
      <c r="H93" s="44" t="s">
        <v>1644</v>
      </c>
      <c r="I93" s="44" t="s">
        <v>1644</v>
      </c>
      <c r="J93" s="44" t="s">
        <v>1644</v>
      </c>
      <c r="K93" s="44" t="s">
        <v>1644</v>
      </c>
      <c r="L93" s="44" t="s">
        <v>1644</v>
      </c>
      <c r="M93" s="44" t="s">
        <v>1643</v>
      </c>
      <c r="N93" s="44" t="s">
        <v>1643</v>
      </c>
      <c r="O93" s="44" t="s">
        <v>1644</v>
      </c>
      <c r="P93" s="44" t="s">
        <v>1643</v>
      </c>
      <c r="Q93" s="44" t="s">
        <v>1644</v>
      </c>
      <c r="R93" s="44" t="s">
        <v>1644</v>
      </c>
      <c r="S93" s="44" t="s">
        <v>1644</v>
      </c>
    </row>
    <row r="94" spans="1:19" ht="15.75" thickBot="1" x14ac:dyDescent="0.3">
      <c r="A94" s="44" t="s">
        <v>1151</v>
      </c>
      <c r="B94" s="48" t="s">
        <v>1152</v>
      </c>
      <c r="C94" s="44" t="s">
        <v>798</v>
      </c>
      <c r="D94" s="44" t="s">
        <v>3403</v>
      </c>
      <c r="E94" s="197">
        <v>15000</v>
      </c>
      <c r="F94" s="197">
        <v>25000</v>
      </c>
      <c r="G94" s="47">
        <v>25</v>
      </c>
      <c r="H94" s="44" t="s">
        <v>1644</v>
      </c>
      <c r="I94" s="44" t="s">
        <v>1644</v>
      </c>
      <c r="J94" s="44" t="s">
        <v>1644</v>
      </c>
      <c r="K94" s="44" t="s">
        <v>1644</v>
      </c>
      <c r="L94" s="44" t="s">
        <v>1644</v>
      </c>
      <c r="M94" s="44" t="s">
        <v>1643</v>
      </c>
      <c r="N94" s="44" t="s">
        <v>1643</v>
      </c>
      <c r="O94" s="44" t="s">
        <v>1644</v>
      </c>
      <c r="P94" s="44" t="s">
        <v>1643</v>
      </c>
      <c r="Q94" s="44" t="s">
        <v>1644</v>
      </c>
      <c r="R94" s="44" t="s">
        <v>1644</v>
      </c>
      <c r="S94" s="44" t="s">
        <v>1644</v>
      </c>
    </row>
    <row r="95" spans="1:19" ht="15.75" thickBot="1" x14ac:dyDescent="0.3">
      <c r="A95" s="44" t="s">
        <v>1157</v>
      </c>
      <c r="B95" s="48" t="s">
        <v>1158</v>
      </c>
      <c r="C95" s="44" t="s">
        <v>798</v>
      </c>
      <c r="D95" s="44" t="s">
        <v>3404</v>
      </c>
      <c r="E95" s="197">
        <v>25740</v>
      </c>
      <c r="F95" s="197">
        <v>29172</v>
      </c>
      <c r="G95" s="47">
        <v>33</v>
      </c>
      <c r="H95" s="44" t="s">
        <v>1644</v>
      </c>
      <c r="I95" s="44" t="s">
        <v>1644</v>
      </c>
      <c r="J95" s="44" t="s">
        <v>1644</v>
      </c>
      <c r="K95" s="44" t="s">
        <v>1644</v>
      </c>
      <c r="L95" s="44" t="s">
        <v>1644</v>
      </c>
      <c r="M95" s="44" t="s">
        <v>1644</v>
      </c>
      <c r="N95" s="44" t="s">
        <v>1643</v>
      </c>
      <c r="O95" s="44" t="s">
        <v>1643</v>
      </c>
      <c r="P95" s="44" t="s">
        <v>1643</v>
      </c>
      <c r="Q95" s="44" t="s">
        <v>1644</v>
      </c>
      <c r="R95" s="44" t="s">
        <v>1644</v>
      </c>
      <c r="S95" s="44" t="s">
        <v>1644</v>
      </c>
    </row>
    <row r="96" spans="1:19" ht="15.75" thickBot="1" x14ac:dyDescent="0.3">
      <c r="A96" s="44" t="s">
        <v>1161</v>
      </c>
      <c r="B96" s="48" t="s">
        <v>1162</v>
      </c>
      <c r="C96" s="44" t="s">
        <v>798</v>
      </c>
      <c r="D96" s="44" t="s">
        <v>3404</v>
      </c>
      <c r="E96" s="197">
        <v>31200</v>
      </c>
      <c r="F96" s="197">
        <v>36000</v>
      </c>
      <c r="G96" s="47">
        <v>40</v>
      </c>
      <c r="H96" s="44" t="s">
        <v>1644</v>
      </c>
      <c r="I96" s="44" t="s">
        <v>1644</v>
      </c>
      <c r="J96" s="44" t="s">
        <v>1644</v>
      </c>
      <c r="K96" s="44" t="s">
        <v>1644</v>
      </c>
      <c r="L96" s="44" t="s">
        <v>1644</v>
      </c>
      <c r="M96" s="44" t="s">
        <v>1643</v>
      </c>
      <c r="N96" s="44" t="s">
        <v>1643</v>
      </c>
      <c r="O96" s="44" t="s">
        <v>1643</v>
      </c>
      <c r="P96" s="44" t="s">
        <v>1643</v>
      </c>
      <c r="Q96" s="44" t="s">
        <v>1644</v>
      </c>
      <c r="R96" s="44" t="s">
        <v>1644</v>
      </c>
      <c r="S96" s="44" t="s">
        <v>1644</v>
      </c>
    </row>
    <row r="97" spans="1:19" ht="15.75" thickBot="1" x14ac:dyDescent="0.3">
      <c r="A97" s="44" t="s">
        <v>1167</v>
      </c>
      <c r="B97" s="48" t="s">
        <v>1168</v>
      </c>
      <c r="C97" s="44" t="s">
        <v>798</v>
      </c>
      <c r="D97" s="44" t="s">
        <v>3404</v>
      </c>
      <c r="E97" s="197">
        <v>47575</v>
      </c>
      <c r="F97" s="197">
        <v>47575</v>
      </c>
      <c r="G97" s="47">
        <v>40</v>
      </c>
      <c r="H97" s="44" t="s">
        <v>1644</v>
      </c>
      <c r="I97" s="44" t="s">
        <v>1644</v>
      </c>
      <c r="J97" s="44" t="s">
        <v>1644</v>
      </c>
      <c r="K97" s="44" t="s">
        <v>1644</v>
      </c>
      <c r="L97" s="44" t="s">
        <v>1644</v>
      </c>
      <c r="M97" s="44" t="s">
        <v>1643</v>
      </c>
      <c r="N97" s="44" t="s">
        <v>1643</v>
      </c>
      <c r="O97" s="44" t="s">
        <v>1643</v>
      </c>
      <c r="P97" s="44" t="s">
        <v>1643</v>
      </c>
      <c r="Q97" s="44" t="s">
        <v>1644</v>
      </c>
      <c r="R97" s="44" t="s">
        <v>1644</v>
      </c>
      <c r="S97" s="44" t="s">
        <v>1644</v>
      </c>
    </row>
    <row r="98" spans="1:19" ht="15.75" thickBot="1" x14ac:dyDescent="0.3">
      <c r="A98" s="44" t="s">
        <v>1173</v>
      </c>
      <c r="B98" s="48" t="s">
        <v>1174</v>
      </c>
      <c r="C98" s="44" t="s">
        <v>798</v>
      </c>
      <c r="D98" s="44" t="s">
        <v>3404</v>
      </c>
      <c r="E98" s="197">
        <v>23000</v>
      </c>
      <c r="F98" s="197">
        <v>32000</v>
      </c>
      <c r="G98" s="47">
        <v>40</v>
      </c>
      <c r="H98" s="44" t="s">
        <v>1643</v>
      </c>
      <c r="I98" s="44" t="s">
        <v>1643</v>
      </c>
      <c r="J98" s="44" t="s">
        <v>1643</v>
      </c>
      <c r="K98" s="44" t="s">
        <v>1643</v>
      </c>
      <c r="L98" s="44" t="s">
        <v>1643</v>
      </c>
      <c r="M98" s="44" t="s">
        <v>1643</v>
      </c>
      <c r="N98" s="44" t="s">
        <v>1643</v>
      </c>
      <c r="O98" s="44" t="s">
        <v>1643</v>
      </c>
      <c r="P98" s="44" t="s">
        <v>1643</v>
      </c>
      <c r="Q98" s="44" t="s">
        <v>1644</v>
      </c>
      <c r="R98" s="44" t="s">
        <v>1644</v>
      </c>
      <c r="S98" s="44" t="s">
        <v>1644</v>
      </c>
    </row>
    <row r="99" spans="1:19" ht="15.75" thickBot="1" x14ac:dyDescent="0.3">
      <c r="A99" s="44" t="s">
        <v>1177</v>
      </c>
      <c r="B99" s="48" t="s">
        <v>1178</v>
      </c>
      <c r="C99" s="44" t="s">
        <v>798</v>
      </c>
      <c r="D99" s="44" t="s">
        <v>3404</v>
      </c>
      <c r="E99" s="197">
        <v>24872</v>
      </c>
      <c r="F99" s="197">
        <v>24872</v>
      </c>
      <c r="G99" s="47">
        <v>32</v>
      </c>
      <c r="H99" s="44" t="s">
        <v>1644</v>
      </c>
      <c r="I99" s="44" t="s">
        <v>1644</v>
      </c>
      <c r="J99" s="44" t="s">
        <v>1644</v>
      </c>
      <c r="K99" s="44" t="s">
        <v>1643</v>
      </c>
      <c r="L99" s="44" t="s">
        <v>1643</v>
      </c>
      <c r="M99" s="44" t="s">
        <v>1643</v>
      </c>
      <c r="N99" s="44" t="s">
        <v>1643</v>
      </c>
      <c r="O99" s="44" t="s">
        <v>1644</v>
      </c>
      <c r="P99" s="44" t="s">
        <v>1643</v>
      </c>
      <c r="Q99" s="44" t="s">
        <v>1644</v>
      </c>
      <c r="R99" s="44" t="s">
        <v>1644</v>
      </c>
      <c r="S99" s="44" t="s">
        <v>1644</v>
      </c>
    </row>
    <row r="100" spans="1:19" ht="15.75" thickBot="1" x14ac:dyDescent="0.3">
      <c r="A100" s="44" t="s">
        <v>1181</v>
      </c>
      <c r="B100" s="48" t="s">
        <v>1182</v>
      </c>
      <c r="C100" s="44" t="s">
        <v>798</v>
      </c>
      <c r="D100" s="44" t="s">
        <v>3404</v>
      </c>
      <c r="E100" s="197">
        <v>15000</v>
      </c>
      <c r="F100" s="197">
        <v>26000</v>
      </c>
      <c r="G100" s="47">
        <v>35</v>
      </c>
      <c r="H100" s="44" t="s">
        <v>1644</v>
      </c>
      <c r="I100" s="44" t="s">
        <v>1644</v>
      </c>
      <c r="J100" s="44" t="s">
        <v>1644</v>
      </c>
      <c r="K100" s="44" t="s">
        <v>1644</v>
      </c>
      <c r="L100" s="44" t="s">
        <v>1643</v>
      </c>
      <c r="M100" s="44" t="s">
        <v>1643</v>
      </c>
      <c r="N100" s="44" t="s">
        <v>1644</v>
      </c>
      <c r="O100" s="44" t="s">
        <v>1643</v>
      </c>
      <c r="P100" s="44" t="s">
        <v>1644</v>
      </c>
      <c r="Q100" s="44" t="s">
        <v>1643</v>
      </c>
      <c r="R100" s="44" t="s">
        <v>1644</v>
      </c>
      <c r="S100" s="44" t="s">
        <v>1644</v>
      </c>
    </row>
    <row r="101" spans="1:19" ht="15.75" thickBot="1" x14ac:dyDescent="0.3">
      <c r="A101" s="44" t="s">
        <v>1183</v>
      </c>
      <c r="B101" s="48" t="s">
        <v>1184</v>
      </c>
      <c r="C101" s="44" t="s">
        <v>798</v>
      </c>
      <c r="D101" s="44" t="s">
        <v>3404</v>
      </c>
      <c r="E101" s="197">
        <v>29952</v>
      </c>
      <c r="F101" s="197">
        <v>31200</v>
      </c>
      <c r="G101" s="47">
        <v>40</v>
      </c>
      <c r="H101" s="44" t="s">
        <v>1644</v>
      </c>
      <c r="I101" s="44" t="s">
        <v>1644</v>
      </c>
      <c r="J101" s="44" t="s">
        <v>1644</v>
      </c>
      <c r="K101" s="44" t="s">
        <v>1644</v>
      </c>
      <c r="L101" s="44" t="s">
        <v>1644</v>
      </c>
      <c r="M101" s="44" t="s">
        <v>1643</v>
      </c>
      <c r="N101" s="44" t="s">
        <v>1643</v>
      </c>
      <c r="O101" s="44" t="s">
        <v>1644</v>
      </c>
      <c r="P101" s="44" t="s">
        <v>1643</v>
      </c>
      <c r="Q101" s="44" t="s">
        <v>1644</v>
      </c>
      <c r="R101" s="44" t="s">
        <v>1644</v>
      </c>
      <c r="S101" s="44" t="s">
        <v>1644</v>
      </c>
    </row>
    <row r="102" spans="1:19" ht="15.75" thickBot="1" x14ac:dyDescent="0.3">
      <c r="A102" s="44" t="s">
        <v>1185</v>
      </c>
      <c r="B102" s="48" t="s">
        <v>1186</v>
      </c>
      <c r="C102" s="44" t="s">
        <v>798</v>
      </c>
      <c r="D102" s="44" t="s">
        <v>3402</v>
      </c>
      <c r="E102" s="197">
        <v>21000</v>
      </c>
      <c r="F102" s="197">
        <v>69500</v>
      </c>
      <c r="G102" s="47">
        <v>40</v>
      </c>
      <c r="H102" s="44" t="s">
        <v>1643</v>
      </c>
      <c r="I102" s="44" t="s">
        <v>1643</v>
      </c>
      <c r="J102" s="44" t="s">
        <v>1644</v>
      </c>
      <c r="K102" s="44" t="s">
        <v>1643</v>
      </c>
      <c r="L102" s="44" t="s">
        <v>1643</v>
      </c>
      <c r="M102" s="44" t="s">
        <v>1643</v>
      </c>
      <c r="N102" s="44" t="s">
        <v>1643</v>
      </c>
      <c r="O102" s="44" t="s">
        <v>1643</v>
      </c>
      <c r="P102" s="44" t="s">
        <v>1643</v>
      </c>
      <c r="Q102" s="44" t="s">
        <v>1644</v>
      </c>
      <c r="R102" s="44" t="s">
        <v>1644</v>
      </c>
      <c r="S102" s="44" t="s">
        <v>1644</v>
      </c>
    </row>
    <row r="103" spans="1:19" ht="15.75" thickBot="1" x14ac:dyDescent="0.3">
      <c r="A103" s="44" t="s">
        <v>1197</v>
      </c>
      <c r="B103" s="48" t="s">
        <v>1198</v>
      </c>
      <c r="C103" s="44" t="s">
        <v>798</v>
      </c>
      <c r="D103" s="44" t="s">
        <v>3404</v>
      </c>
      <c r="E103" s="197">
        <v>33696</v>
      </c>
      <c r="F103" s="197">
        <v>33696</v>
      </c>
      <c r="G103" s="47">
        <v>36</v>
      </c>
      <c r="H103" s="44" t="s">
        <v>1644</v>
      </c>
      <c r="I103" s="44" t="s">
        <v>1644</v>
      </c>
      <c r="J103" s="44" t="s">
        <v>1644</v>
      </c>
      <c r="K103" s="44" t="s">
        <v>1644</v>
      </c>
      <c r="L103" s="44" t="s">
        <v>1644</v>
      </c>
      <c r="M103" s="44" t="s">
        <v>1643</v>
      </c>
      <c r="N103" s="44" t="s">
        <v>1643</v>
      </c>
      <c r="O103" s="44" t="s">
        <v>1643</v>
      </c>
      <c r="P103" s="44" t="s">
        <v>1643</v>
      </c>
      <c r="Q103" s="44" t="s">
        <v>1643</v>
      </c>
      <c r="R103" s="44" t="s">
        <v>1644</v>
      </c>
      <c r="S103" s="44" t="s">
        <v>1644</v>
      </c>
    </row>
    <row r="104" spans="1:19" ht="15.75" thickBot="1" x14ac:dyDescent="0.3">
      <c r="A104" s="44" t="s">
        <v>1211</v>
      </c>
      <c r="B104" s="48" t="s">
        <v>1212</v>
      </c>
      <c r="C104" s="44" t="s">
        <v>798</v>
      </c>
      <c r="D104" s="44" t="s">
        <v>1735</v>
      </c>
      <c r="E104" s="197">
        <v>30685</v>
      </c>
      <c r="F104" s="197">
        <v>33586</v>
      </c>
      <c r="G104" s="47">
        <v>30</v>
      </c>
      <c r="H104" s="44" t="s">
        <v>1644</v>
      </c>
      <c r="I104" s="44" t="s">
        <v>1644</v>
      </c>
      <c r="J104" s="44" t="s">
        <v>1644</v>
      </c>
      <c r="K104" s="44" t="s">
        <v>1644</v>
      </c>
      <c r="L104" s="44" t="s">
        <v>1644</v>
      </c>
      <c r="M104" s="44" t="s">
        <v>1644</v>
      </c>
      <c r="N104" s="44" t="s">
        <v>1643</v>
      </c>
      <c r="O104" s="44" t="s">
        <v>1644</v>
      </c>
      <c r="P104" s="44" t="s">
        <v>1643</v>
      </c>
      <c r="Q104" s="44" t="s">
        <v>1644</v>
      </c>
      <c r="R104" s="44" t="s">
        <v>1644</v>
      </c>
      <c r="S104" s="44" t="s">
        <v>1644</v>
      </c>
    </row>
    <row r="105" spans="1:19" ht="15.75" thickBot="1" x14ac:dyDescent="0.3">
      <c r="A105" s="44" t="s">
        <v>1213</v>
      </c>
      <c r="B105" s="48" t="s">
        <v>1214</v>
      </c>
      <c r="C105" s="44" t="s">
        <v>798</v>
      </c>
      <c r="D105" s="44" t="s">
        <v>3404</v>
      </c>
      <c r="E105" s="197">
        <v>41500</v>
      </c>
      <c r="F105" s="197">
        <v>43575</v>
      </c>
      <c r="G105" s="47">
        <v>40</v>
      </c>
      <c r="H105" s="44" t="s">
        <v>1643</v>
      </c>
      <c r="I105" s="44" t="s">
        <v>1644</v>
      </c>
      <c r="J105" s="44" t="s">
        <v>1644</v>
      </c>
      <c r="K105" s="44" t="s">
        <v>1644</v>
      </c>
      <c r="L105" s="44" t="s">
        <v>1644</v>
      </c>
      <c r="M105" s="44" t="s">
        <v>1643</v>
      </c>
      <c r="N105" s="44" t="s">
        <v>1643</v>
      </c>
      <c r="O105" s="44" t="s">
        <v>1644</v>
      </c>
      <c r="P105" s="44" t="s">
        <v>1643</v>
      </c>
      <c r="Q105" s="44" t="s">
        <v>1644</v>
      </c>
      <c r="R105" s="44" t="s">
        <v>1644</v>
      </c>
      <c r="S105" s="44" t="s">
        <v>1644</v>
      </c>
    </row>
    <row r="106" spans="1:19" ht="15.75" thickBot="1" x14ac:dyDescent="0.3">
      <c r="A106" s="44" t="s">
        <v>1233</v>
      </c>
      <c r="B106" s="48" t="s">
        <v>1234</v>
      </c>
      <c r="C106" s="44" t="s">
        <v>798</v>
      </c>
      <c r="D106" s="44" t="s">
        <v>850</v>
      </c>
      <c r="E106" s="197">
        <v>12000</v>
      </c>
      <c r="F106" s="197">
        <v>15000</v>
      </c>
      <c r="G106" s="47">
        <v>20</v>
      </c>
      <c r="H106" s="44" t="s">
        <v>1644</v>
      </c>
      <c r="I106" s="44" t="s">
        <v>1644</v>
      </c>
      <c r="J106" s="44" t="s">
        <v>1644</v>
      </c>
      <c r="K106" s="44" t="s">
        <v>1644</v>
      </c>
      <c r="L106" s="44" t="s">
        <v>1644</v>
      </c>
      <c r="M106" s="44" t="s">
        <v>1643</v>
      </c>
      <c r="N106" s="44" t="s">
        <v>1643</v>
      </c>
      <c r="O106" s="44" t="s">
        <v>1644</v>
      </c>
      <c r="P106" s="44" t="s">
        <v>1643</v>
      </c>
      <c r="Q106" s="44" t="s">
        <v>1644</v>
      </c>
      <c r="R106" s="44" t="s">
        <v>1644</v>
      </c>
      <c r="S106" s="44" t="s">
        <v>1644</v>
      </c>
    </row>
    <row r="107" spans="1:19" ht="15.75" thickBot="1" x14ac:dyDescent="0.3">
      <c r="A107" s="44" t="s">
        <v>1239</v>
      </c>
      <c r="B107" s="48" t="s">
        <v>1240</v>
      </c>
      <c r="C107" s="44" t="s">
        <v>798</v>
      </c>
      <c r="D107" s="44" t="s">
        <v>3404</v>
      </c>
      <c r="E107" s="197">
        <v>26426</v>
      </c>
      <c r="F107" s="197">
        <v>26426</v>
      </c>
      <c r="G107" s="47">
        <v>33</v>
      </c>
      <c r="H107" s="44" t="s">
        <v>1644</v>
      </c>
      <c r="I107" s="44" t="s">
        <v>1644</v>
      </c>
      <c r="J107" s="44" t="s">
        <v>1644</v>
      </c>
      <c r="K107" s="44" t="s">
        <v>1643</v>
      </c>
      <c r="L107" s="44" t="s">
        <v>1643</v>
      </c>
      <c r="M107" s="44" t="s">
        <v>1643</v>
      </c>
      <c r="N107" s="44" t="s">
        <v>1643</v>
      </c>
      <c r="O107" s="44" t="s">
        <v>1643</v>
      </c>
      <c r="P107" s="44" t="s">
        <v>1643</v>
      </c>
      <c r="Q107" s="44" t="s">
        <v>1644</v>
      </c>
      <c r="R107" s="44" t="s">
        <v>1644</v>
      </c>
      <c r="S107" s="44" t="s">
        <v>1644</v>
      </c>
    </row>
    <row r="108" spans="1:19" ht="15.75" thickBot="1" x14ac:dyDescent="0.3">
      <c r="A108" s="44" t="s">
        <v>1245</v>
      </c>
      <c r="B108" s="48" t="s">
        <v>1246</v>
      </c>
      <c r="C108" s="44" t="s">
        <v>798</v>
      </c>
      <c r="D108" s="44" t="s">
        <v>3404</v>
      </c>
      <c r="E108" s="197">
        <v>25000</v>
      </c>
      <c r="F108" s="197">
        <v>38584</v>
      </c>
      <c r="G108" s="47">
        <v>37</v>
      </c>
      <c r="H108" s="44" t="s">
        <v>1643</v>
      </c>
      <c r="I108" s="44" t="s">
        <v>1643</v>
      </c>
      <c r="J108" s="44" t="s">
        <v>1643</v>
      </c>
      <c r="K108" s="44" t="s">
        <v>1644</v>
      </c>
      <c r="L108" s="44" t="s">
        <v>1644</v>
      </c>
      <c r="M108" s="44" t="s">
        <v>1643</v>
      </c>
      <c r="N108" s="44" t="s">
        <v>1643</v>
      </c>
      <c r="O108" s="44" t="s">
        <v>1644</v>
      </c>
      <c r="P108" s="44" t="s">
        <v>1643</v>
      </c>
      <c r="Q108" s="44" t="s">
        <v>1644</v>
      </c>
      <c r="R108" s="44" t="s">
        <v>1644</v>
      </c>
      <c r="S108" s="44" t="s">
        <v>1644</v>
      </c>
    </row>
    <row r="109" spans="1:19" ht="15.75" thickBot="1" x14ac:dyDescent="0.3">
      <c r="A109" s="44" t="s">
        <v>1249</v>
      </c>
      <c r="B109" s="48" t="s">
        <v>1250</v>
      </c>
      <c r="C109" s="44" t="s">
        <v>798</v>
      </c>
      <c r="D109" s="44" t="s">
        <v>3404</v>
      </c>
      <c r="E109" s="197">
        <v>22000</v>
      </c>
      <c r="F109" s="197">
        <v>24370</v>
      </c>
      <c r="G109" s="47">
        <v>35</v>
      </c>
      <c r="H109" s="44" t="s">
        <v>1644</v>
      </c>
      <c r="I109" s="44" t="s">
        <v>1644</v>
      </c>
      <c r="J109" s="44" t="s">
        <v>1644</v>
      </c>
      <c r="K109" s="44" t="s">
        <v>1644</v>
      </c>
      <c r="L109" s="44" t="s">
        <v>1644</v>
      </c>
      <c r="M109" s="44" t="s">
        <v>1644</v>
      </c>
      <c r="N109" s="44" t="s">
        <v>1644</v>
      </c>
      <c r="O109" s="44" t="s">
        <v>1644</v>
      </c>
      <c r="P109" s="44" t="s">
        <v>1644</v>
      </c>
      <c r="Q109" s="44" t="s">
        <v>1644</v>
      </c>
      <c r="R109" s="44" t="s">
        <v>1644</v>
      </c>
      <c r="S109" s="44" t="s">
        <v>1644</v>
      </c>
    </row>
    <row r="110" spans="1:19" ht="15.75" thickBot="1" x14ac:dyDescent="0.3">
      <c r="A110" s="44" t="s">
        <v>1261</v>
      </c>
      <c r="B110" s="48" t="s">
        <v>1262</v>
      </c>
      <c r="C110" s="44" t="s">
        <v>798</v>
      </c>
      <c r="D110" s="44" t="s">
        <v>3402</v>
      </c>
      <c r="E110" s="197">
        <v>44290</v>
      </c>
      <c r="F110" s="197">
        <v>44290</v>
      </c>
      <c r="G110" s="47">
        <v>38</v>
      </c>
      <c r="H110" s="44" t="s">
        <v>1643</v>
      </c>
      <c r="I110" s="44" t="s">
        <v>1644</v>
      </c>
      <c r="J110" s="44" t="s">
        <v>1644</v>
      </c>
      <c r="K110" s="44" t="s">
        <v>1644</v>
      </c>
      <c r="L110" s="44" t="s">
        <v>1644</v>
      </c>
      <c r="M110" s="44" t="s">
        <v>1643</v>
      </c>
      <c r="N110" s="44" t="s">
        <v>1643</v>
      </c>
      <c r="O110" s="44" t="s">
        <v>1643</v>
      </c>
      <c r="P110" s="44" t="s">
        <v>1643</v>
      </c>
      <c r="Q110" s="44" t="s">
        <v>1644</v>
      </c>
      <c r="R110" s="44" t="s">
        <v>1644</v>
      </c>
      <c r="S110" s="44" t="s">
        <v>1644</v>
      </c>
    </row>
    <row r="111" spans="1:19" ht="15.75" thickBot="1" x14ac:dyDescent="0.3">
      <c r="A111" s="44" t="s">
        <v>1263</v>
      </c>
      <c r="B111" s="48" t="s">
        <v>1264</v>
      </c>
      <c r="C111" s="44" t="s">
        <v>798</v>
      </c>
      <c r="D111" s="44" t="s">
        <v>3404</v>
      </c>
      <c r="E111" s="197">
        <v>16000</v>
      </c>
      <c r="F111" s="197">
        <v>24000</v>
      </c>
      <c r="G111" s="47">
        <v>32</v>
      </c>
      <c r="H111" s="44" t="s">
        <v>1644</v>
      </c>
      <c r="I111" s="44" t="s">
        <v>1644</v>
      </c>
      <c r="J111" s="44" t="s">
        <v>1644</v>
      </c>
      <c r="K111" s="44" t="s">
        <v>1644</v>
      </c>
      <c r="L111" s="44" t="s">
        <v>1643</v>
      </c>
      <c r="M111" s="44" t="s">
        <v>1644</v>
      </c>
      <c r="N111" s="44" t="s">
        <v>1643</v>
      </c>
      <c r="O111" s="44" t="s">
        <v>1644</v>
      </c>
      <c r="P111" s="44" t="s">
        <v>1643</v>
      </c>
      <c r="Q111" s="44" t="s">
        <v>1644</v>
      </c>
      <c r="R111" s="44" t="s">
        <v>1644</v>
      </c>
      <c r="S111" s="44" t="s">
        <v>1644</v>
      </c>
    </row>
    <row r="112" spans="1:19" ht="15.75" thickBot="1" x14ac:dyDescent="0.3">
      <c r="A112" s="44" t="s">
        <v>1271</v>
      </c>
      <c r="B112" s="48" t="s">
        <v>1272</v>
      </c>
      <c r="C112" s="44" t="s">
        <v>798</v>
      </c>
      <c r="D112" s="44" t="s">
        <v>1735</v>
      </c>
      <c r="E112" s="197">
        <v>36700</v>
      </c>
      <c r="F112" s="197">
        <v>36700</v>
      </c>
      <c r="G112" s="47">
        <v>40</v>
      </c>
      <c r="H112" s="44" t="s">
        <v>1644</v>
      </c>
      <c r="I112" s="44" t="s">
        <v>1644</v>
      </c>
      <c r="J112" s="44" t="s">
        <v>1644</v>
      </c>
      <c r="K112" s="44" t="s">
        <v>1644</v>
      </c>
      <c r="L112" s="44" t="s">
        <v>1644</v>
      </c>
      <c r="M112" s="44" t="s">
        <v>1644</v>
      </c>
      <c r="N112" s="44" t="s">
        <v>1643</v>
      </c>
      <c r="O112" s="44" t="s">
        <v>1643</v>
      </c>
      <c r="P112" s="44" t="s">
        <v>1643</v>
      </c>
      <c r="Q112" s="44" t="s">
        <v>1644</v>
      </c>
      <c r="R112" s="44" t="s">
        <v>1644</v>
      </c>
      <c r="S112" s="44" t="s">
        <v>1644</v>
      </c>
    </row>
    <row r="113" spans="1:19" ht="15.75" thickBot="1" x14ac:dyDescent="0.3">
      <c r="A113" s="44" t="s">
        <v>1273</v>
      </c>
      <c r="B113" s="48" t="s">
        <v>1274</v>
      </c>
      <c r="C113" s="44" t="s">
        <v>798</v>
      </c>
      <c r="D113" s="44" t="s">
        <v>3404</v>
      </c>
      <c r="E113" s="197">
        <v>32203</v>
      </c>
      <c r="F113" s="197">
        <v>32203</v>
      </c>
      <c r="G113" s="47">
        <v>38</v>
      </c>
      <c r="H113" s="44" t="s">
        <v>1643</v>
      </c>
      <c r="I113" s="44" t="s">
        <v>1643</v>
      </c>
      <c r="J113" s="44" t="s">
        <v>1643</v>
      </c>
      <c r="K113" s="44" t="s">
        <v>1643</v>
      </c>
      <c r="L113" s="44" t="s">
        <v>1643</v>
      </c>
      <c r="M113" s="44" t="s">
        <v>1643</v>
      </c>
      <c r="N113" s="44" t="s">
        <v>1644</v>
      </c>
      <c r="O113" s="44" t="s">
        <v>1643</v>
      </c>
      <c r="P113" s="44" t="s">
        <v>1643</v>
      </c>
      <c r="Q113" s="44" t="s">
        <v>1644</v>
      </c>
      <c r="R113" s="44" t="s">
        <v>1643</v>
      </c>
      <c r="S113" s="44" t="s">
        <v>1643</v>
      </c>
    </row>
    <row r="114" spans="1:19" ht="15.75" thickBot="1" x14ac:dyDescent="0.3">
      <c r="A114" s="44" t="s">
        <v>1279</v>
      </c>
      <c r="B114" s="48" t="s">
        <v>1280</v>
      </c>
      <c r="C114" s="44" t="s">
        <v>798</v>
      </c>
      <c r="D114" s="44" t="s">
        <v>3404</v>
      </c>
      <c r="E114" s="197">
        <v>19050</v>
      </c>
      <c r="F114" s="197">
        <v>31459</v>
      </c>
      <c r="G114" s="47">
        <v>32</v>
      </c>
      <c r="H114" s="44" t="s">
        <v>1644</v>
      </c>
      <c r="I114" s="44" t="s">
        <v>1644</v>
      </c>
      <c r="J114" s="44" t="s">
        <v>1644</v>
      </c>
      <c r="K114" s="44" t="s">
        <v>1644</v>
      </c>
      <c r="L114" s="44" t="s">
        <v>1644</v>
      </c>
      <c r="M114" s="44" t="s">
        <v>1643</v>
      </c>
      <c r="N114" s="44" t="s">
        <v>1643</v>
      </c>
      <c r="O114" s="44" t="s">
        <v>1643</v>
      </c>
      <c r="P114" s="44" t="s">
        <v>1643</v>
      </c>
      <c r="Q114" s="44" t="s">
        <v>1644</v>
      </c>
      <c r="R114" s="44" t="s">
        <v>1644</v>
      </c>
      <c r="S114" s="44" t="s">
        <v>1644</v>
      </c>
    </row>
    <row r="115" spans="1:19" ht="15.75" thickBot="1" x14ac:dyDescent="0.3">
      <c r="A115" s="44" t="s">
        <v>1297</v>
      </c>
      <c r="B115" s="48" t="s">
        <v>1298</v>
      </c>
      <c r="C115" s="44" t="s">
        <v>798</v>
      </c>
      <c r="D115" s="44" t="s">
        <v>1735</v>
      </c>
      <c r="E115" s="197">
        <v>36193</v>
      </c>
      <c r="F115" s="197">
        <v>36193</v>
      </c>
      <c r="G115" s="47">
        <v>40</v>
      </c>
      <c r="H115" s="44" t="s">
        <v>1643</v>
      </c>
      <c r="I115" s="44" t="s">
        <v>1643</v>
      </c>
      <c r="J115" s="44" t="s">
        <v>1644</v>
      </c>
      <c r="K115" s="44" t="s">
        <v>1644</v>
      </c>
      <c r="L115" s="44" t="s">
        <v>1644</v>
      </c>
      <c r="M115" s="44" t="s">
        <v>1643</v>
      </c>
      <c r="N115" s="44" t="s">
        <v>1643</v>
      </c>
      <c r="O115" s="44" t="s">
        <v>1643</v>
      </c>
      <c r="P115" s="44" t="s">
        <v>1643</v>
      </c>
      <c r="Q115" s="44" t="s">
        <v>1644</v>
      </c>
      <c r="R115" s="44" t="s">
        <v>1644</v>
      </c>
      <c r="S115" s="44" t="s">
        <v>1643</v>
      </c>
    </row>
    <row r="116" spans="1:19" ht="15.75" thickBot="1" x14ac:dyDescent="0.3">
      <c r="A116" s="44" t="s">
        <v>1299</v>
      </c>
      <c r="B116" s="48" t="s">
        <v>1300</v>
      </c>
      <c r="C116" s="44" t="s">
        <v>798</v>
      </c>
      <c r="D116" s="44" t="s">
        <v>3404</v>
      </c>
      <c r="E116" s="197">
        <v>35000</v>
      </c>
      <c r="F116" s="197">
        <v>42000</v>
      </c>
      <c r="G116" s="47">
        <v>40</v>
      </c>
      <c r="H116" s="44" t="s">
        <v>1643</v>
      </c>
      <c r="I116" s="44" t="s">
        <v>1643</v>
      </c>
      <c r="J116" s="44" t="s">
        <v>1643</v>
      </c>
      <c r="K116" s="44" t="s">
        <v>1644</v>
      </c>
      <c r="L116" s="44" t="s">
        <v>1644</v>
      </c>
      <c r="M116" s="44" t="s">
        <v>1643</v>
      </c>
      <c r="N116" s="44" t="s">
        <v>1643</v>
      </c>
      <c r="O116" s="44" t="s">
        <v>1643</v>
      </c>
      <c r="P116" s="44" t="s">
        <v>1643</v>
      </c>
      <c r="Q116" s="44" t="s">
        <v>1643</v>
      </c>
      <c r="R116" s="44" t="s">
        <v>1644</v>
      </c>
      <c r="S116" s="44" t="s">
        <v>1644</v>
      </c>
    </row>
    <row r="117" spans="1:19" ht="15.75" thickBot="1" x14ac:dyDescent="0.3">
      <c r="A117" s="44" t="s">
        <v>1311</v>
      </c>
      <c r="B117" s="48" t="s">
        <v>1312</v>
      </c>
      <c r="C117" s="44" t="s">
        <v>798</v>
      </c>
      <c r="D117" s="44" t="s">
        <v>3404</v>
      </c>
      <c r="E117" s="197">
        <v>42400</v>
      </c>
      <c r="F117" s="197">
        <v>66500</v>
      </c>
      <c r="G117" s="47">
        <v>40</v>
      </c>
      <c r="H117" s="44" t="s">
        <v>1643</v>
      </c>
      <c r="I117" s="44" t="s">
        <v>1643</v>
      </c>
      <c r="J117" s="44" t="s">
        <v>1644</v>
      </c>
      <c r="K117" s="44" t="s">
        <v>1644</v>
      </c>
      <c r="L117" s="44" t="s">
        <v>1644</v>
      </c>
      <c r="M117" s="44" t="s">
        <v>1643</v>
      </c>
      <c r="N117" s="44" t="s">
        <v>1643</v>
      </c>
      <c r="O117" s="44" t="s">
        <v>1643</v>
      </c>
      <c r="P117" s="44" t="s">
        <v>1643</v>
      </c>
      <c r="Q117" s="44" t="s">
        <v>1644</v>
      </c>
      <c r="R117" s="44" t="s">
        <v>1644</v>
      </c>
      <c r="S117" s="44" t="s">
        <v>1644</v>
      </c>
    </row>
    <row r="118" spans="1:19" ht="15.75" thickBot="1" x14ac:dyDescent="0.3">
      <c r="A118" s="44" t="s">
        <v>1313</v>
      </c>
      <c r="B118" s="48" t="s">
        <v>1314</v>
      </c>
      <c r="C118" s="44" t="s">
        <v>798</v>
      </c>
      <c r="D118" s="44" t="s">
        <v>1735</v>
      </c>
      <c r="E118" s="197">
        <v>36904</v>
      </c>
      <c r="F118" s="197">
        <v>42000</v>
      </c>
      <c r="G118" s="47">
        <v>35</v>
      </c>
      <c r="H118" s="44" t="s">
        <v>1644</v>
      </c>
      <c r="I118" s="44" t="s">
        <v>1644</v>
      </c>
      <c r="J118" s="44" t="s">
        <v>1644</v>
      </c>
      <c r="K118" s="44" t="s">
        <v>1644</v>
      </c>
      <c r="L118" s="44" t="s">
        <v>1644</v>
      </c>
      <c r="M118" s="44" t="s">
        <v>1643</v>
      </c>
      <c r="N118" s="44" t="s">
        <v>1643</v>
      </c>
      <c r="O118" s="44" t="s">
        <v>1643</v>
      </c>
      <c r="P118" s="44" t="s">
        <v>1643</v>
      </c>
      <c r="Q118" s="44" t="s">
        <v>1644</v>
      </c>
      <c r="R118" s="44" t="s">
        <v>1644</v>
      </c>
      <c r="S118" s="44" t="s">
        <v>1644</v>
      </c>
    </row>
    <row r="119" spans="1:19" ht="15.75" thickBot="1" x14ac:dyDescent="0.3">
      <c r="A119" s="44" t="s">
        <v>1317</v>
      </c>
      <c r="B119" s="48" t="s">
        <v>1318</v>
      </c>
      <c r="C119" s="44" t="s">
        <v>798</v>
      </c>
      <c r="D119" s="44" t="s">
        <v>1735</v>
      </c>
      <c r="E119" s="197">
        <v>16900</v>
      </c>
      <c r="F119" s="197">
        <v>16900</v>
      </c>
      <c r="G119" s="47">
        <v>30</v>
      </c>
      <c r="H119" s="44" t="s">
        <v>1644</v>
      </c>
      <c r="I119" s="44" t="s">
        <v>1644</v>
      </c>
      <c r="J119" s="44" t="s">
        <v>1644</v>
      </c>
      <c r="K119" s="44" t="s">
        <v>1644</v>
      </c>
      <c r="L119" s="44" t="s">
        <v>1644</v>
      </c>
      <c r="M119" s="44" t="s">
        <v>1643</v>
      </c>
      <c r="N119" s="44" t="s">
        <v>1643</v>
      </c>
      <c r="O119" s="44" t="s">
        <v>1644</v>
      </c>
      <c r="P119" s="44" t="s">
        <v>1643</v>
      </c>
      <c r="Q119" s="44" t="s">
        <v>1644</v>
      </c>
      <c r="R119" s="44" t="s">
        <v>1644</v>
      </c>
      <c r="S119" s="44" t="s">
        <v>1644</v>
      </c>
    </row>
    <row r="120" spans="1:19" ht="15.75" thickBot="1" x14ac:dyDescent="0.3">
      <c r="A120" s="44" t="s">
        <v>1325</v>
      </c>
      <c r="B120" s="48" t="s">
        <v>1326</v>
      </c>
      <c r="C120" s="44" t="s">
        <v>798</v>
      </c>
      <c r="D120" s="44" t="s">
        <v>1735</v>
      </c>
      <c r="E120" s="197">
        <v>29500</v>
      </c>
      <c r="F120" s="197">
        <v>38000</v>
      </c>
      <c r="G120" s="47">
        <v>24</v>
      </c>
      <c r="H120" s="44" t="s">
        <v>1644</v>
      </c>
      <c r="I120" s="44" t="s">
        <v>1644</v>
      </c>
      <c r="J120" s="44" t="s">
        <v>1644</v>
      </c>
      <c r="K120" s="44" t="s">
        <v>1644</v>
      </c>
      <c r="L120" s="44" t="s">
        <v>1644</v>
      </c>
      <c r="M120" s="44" t="s">
        <v>1643</v>
      </c>
      <c r="N120" s="44" t="s">
        <v>1643</v>
      </c>
      <c r="O120" s="44" t="s">
        <v>1644</v>
      </c>
      <c r="P120" s="44" t="s">
        <v>1643</v>
      </c>
      <c r="Q120" s="44" t="s">
        <v>1644</v>
      </c>
      <c r="R120" s="44" t="s">
        <v>1644</v>
      </c>
      <c r="S120" s="44" t="s">
        <v>1644</v>
      </c>
    </row>
    <row r="121" spans="1:19" ht="15.75" thickBot="1" x14ac:dyDescent="0.3">
      <c r="A121" s="44" t="s">
        <v>1345</v>
      </c>
      <c r="B121" s="48" t="s">
        <v>1346</v>
      </c>
      <c r="C121" s="44" t="s">
        <v>798</v>
      </c>
      <c r="D121" s="44" t="s">
        <v>1735</v>
      </c>
      <c r="E121" s="197">
        <v>28082</v>
      </c>
      <c r="F121" s="197">
        <v>28082</v>
      </c>
      <c r="G121" s="47">
        <v>30</v>
      </c>
      <c r="H121" s="44" t="s">
        <v>1644</v>
      </c>
      <c r="I121" s="44" t="s">
        <v>1644</v>
      </c>
      <c r="J121" s="44" t="s">
        <v>1644</v>
      </c>
      <c r="K121" s="44" t="s">
        <v>1644</v>
      </c>
      <c r="L121" s="44" t="s">
        <v>1644</v>
      </c>
      <c r="M121" s="44" t="s">
        <v>1643</v>
      </c>
      <c r="N121" s="44" t="s">
        <v>1643</v>
      </c>
      <c r="O121" s="44" t="s">
        <v>1644</v>
      </c>
      <c r="P121" s="44" t="s">
        <v>1644</v>
      </c>
      <c r="Q121" s="44" t="s">
        <v>1644</v>
      </c>
      <c r="R121" s="44" t="s">
        <v>1644</v>
      </c>
      <c r="S121" s="44" t="s">
        <v>1644</v>
      </c>
    </row>
    <row r="122" spans="1:19" ht="15.75" thickBot="1" x14ac:dyDescent="0.3">
      <c r="A122" s="44" t="s">
        <v>1351</v>
      </c>
      <c r="B122" s="48" t="s">
        <v>1352</v>
      </c>
      <c r="C122" s="44" t="s">
        <v>798</v>
      </c>
      <c r="D122" s="44" t="s">
        <v>3404</v>
      </c>
      <c r="E122" s="197">
        <v>26000</v>
      </c>
      <c r="F122" s="197">
        <v>32000</v>
      </c>
      <c r="G122" s="47">
        <v>40</v>
      </c>
      <c r="H122" s="44" t="s">
        <v>1644</v>
      </c>
      <c r="I122" s="44" t="s">
        <v>1644</v>
      </c>
      <c r="J122" s="44" t="s">
        <v>1644</v>
      </c>
      <c r="K122" s="44" t="s">
        <v>1644</v>
      </c>
      <c r="L122" s="44" t="s">
        <v>1643</v>
      </c>
      <c r="M122" s="44" t="s">
        <v>1643</v>
      </c>
      <c r="N122" s="44" t="s">
        <v>1643</v>
      </c>
      <c r="O122" s="44" t="s">
        <v>1644</v>
      </c>
      <c r="P122" s="44" t="s">
        <v>1643</v>
      </c>
      <c r="Q122" s="44" t="s">
        <v>1644</v>
      </c>
      <c r="R122" s="44" t="s">
        <v>1644</v>
      </c>
      <c r="S122" s="44" t="s">
        <v>1644</v>
      </c>
    </row>
    <row r="123" spans="1:19" ht="15.75" thickBot="1" x14ac:dyDescent="0.3">
      <c r="A123" s="44" t="s">
        <v>1357</v>
      </c>
      <c r="B123" s="48" t="s">
        <v>1358</v>
      </c>
      <c r="C123" s="44" t="s">
        <v>798</v>
      </c>
      <c r="D123" s="44" t="s">
        <v>1735</v>
      </c>
      <c r="E123" s="197">
        <v>57899</v>
      </c>
      <c r="F123" s="197">
        <v>57899</v>
      </c>
      <c r="G123" s="47">
        <v>40</v>
      </c>
      <c r="H123" s="44" t="s">
        <v>1643</v>
      </c>
      <c r="I123" s="44" t="s">
        <v>1644</v>
      </c>
      <c r="J123" s="44" t="s">
        <v>1644</v>
      </c>
      <c r="K123" s="44" t="s">
        <v>1643</v>
      </c>
      <c r="L123" s="44" t="s">
        <v>1643</v>
      </c>
      <c r="M123" s="44" t="s">
        <v>1643</v>
      </c>
      <c r="N123" s="44" t="s">
        <v>1643</v>
      </c>
      <c r="O123" s="44" t="s">
        <v>1643</v>
      </c>
      <c r="P123" s="44" t="s">
        <v>1643</v>
      </c>
      <c r="Q123" s="44" t="s">
        <v>1643</v>
      </c>
      <c r="R123" s="44" t="s">
        <v>1644</v>
      </c>
      <c r="S123" s="44" t="s">
        <v>1644</v>
      </c>
    </row>
    <row r="124" spans="1:19" ht="15.75" thickBot="1" x14ac:dyDescent="0.3">
      <c r="A124" s="44" t="s">
        <v>1367</v>
      </c>
      <c r="B124" s="48" t="s">
        <v>1368</v>
      </c>
      <c r="C124" s="44" t="s">
        <v>798</v>
      </c>
      <c r="D124" s="44" t="s">
        <v>1735</v>
      </c>
      <c r="E124" s="197">
        <v>35000</v>
      </c>
      <c r="F124" s="197">
        <v>40000</v>
      </c>
      <c r="G124" s="47">
        <v>40</v>
      </c>
      <c r="H124" s="44" t="s">
        <v>1643</v>
      </c>
      <c r="I124" s="44" t="s">
        <v>1644</v>
      </c>
      <c r="J124" s="44" t="s">
        <v>1644</v>
      </c>
      <c r="K124" s="44" t="s">
        <v>1644</v>
      </c>
      <c r="L124" s="44" t="s">
        <v>1644</v>
      </c>
      <c r="M124" s="44" t="s">
        <v>1643</v>
      </c>
      <c r="N124" s="44" t="s">
        <v>1643</v>
      </c>
      <c r="O124" s="44" t="s">
        <v>1644</v>
      </c>
      <c r="P124" s="44" t="s">
        <v>1643</v>
      </c>
      <c r="Q124" s="44" t="s">
        <v>1644</v>
      </c>
      <c r="R124" s="44" t="s">
        <v>1644</v>
      </c>
      <c r="S124" s="44" t="s">
        <v>1644</v>
      </c>
    </row>
    <row r="125" spans="1:19" ht="15.75" thickBot="1" x14ac:dyDescent="0.3">
      <c r="A125" s="44" t="s">
        <v>1371</v>
      </c>
      <c r="B125" s="48" t="s">
        <v>1372</v>
      </c>
      <c r="C125" s="44" t="s">
        <v>798</v>
      </c>
      <c r="D125" s="44" t="s">
        <v>3404</v>
      </c>
      <c r="E125" s="197">
        <v>25000</v>
      </c>
      <c r="F125" s="197">
        <v>35000</v>
      </c>
      <c r="G125" s="47">
        <v>28</v>
      </c>
      <c r="H125" s="44" t="s">
        <v>1644</v>
      </c>
      <c r="I125" s="44" t="s">
        <v>1644</v>
      </c>
      <c r="J125" s="44" t="s">
        <v>1644</v>
      </c>
      <c r="K125" s="44" t="s">
        <v>1644</v>
      </c>
      <c r="L125" s="44" t="s">
        <v>1644</v>
      </c>
      <c r="M125" s="44" t="s">
        <v>1643</v>
      </c>
      <c r="N125" s="44" t="s">
        <v>1643</v>
      </c>
      <c r="O125" s="44" t="s">
        <v>1643</v>
      </c>
      <c r="P125" s="44" t="s">
        <v>1643</v>
      </c>
      <c r="Q125" s="44" t="s">
        <v>1644</v>
      </c>
      <c r="R125" s="44" t="s">
        <v>1644</v>
      </c>
      <c r="S125" s="44" t="s">
        <v>1644</v>
      </c>
    </row>
    <row r="126" spans="1:19" ht="15.75" thickBot="1" x14ac:dyDescent="0.3">
      <c r="A126" s="44" t="s">
        <v>1377</v>
      </c>
      <c r="B126" s="48" t="s">
        <v>1378</v>
      </c>
      <c r="C126" s="44" t="s">
        <v>798</v>
      </c>
      <c r="D126" s="44" t="s">
        <v>3404</v>
      </c>
      <c r="E126" s="197">
        <v>15000</v>
      </c>
      <c r="F126" s="197">
        <v>33200</v>
      </c>
      <c r="G126" s="47">
        <v>40</v>
      </c>
      <c r="H126" s="44" t="s">
        <v>1644</v>
      </c>
      <c r="I126" s="44" t="s">
        <v>1644</v>
      </c>
      <c r="J126" s="44" t="s">
        <v>1644</v>
      </c>
      <c r="K126" s="44" t="s">
        <v>1644</v>
      </c>
      <c r="L126" s="44" t="s">
        <v>1644</v>
      </c>
      <c r="M126" s="44" t="s">
        <v>1643</v>
      </c>
      <c r="N126" s="44" t="s">
        <v>1643</v>
      </c>
      <c r="O126" s="44" t="s">
        <v>1643</v>
      </c>
      <c r="P126" s="44" t="s">
        <v>1643</v>
      </c>
      <c r="Q126" s="44" t="s">
        <v>1644</v>
      </c>
      <c r="R126" s="44" t="s">
        <v>1644</v>
      </c>
      <c r="S126" s="44" t="s">
        <v>1644</v>
      </c>
    </row>
    <row r="127" spans="1:19" ht="15.75" thickBot="1" x14ac:dyDescent="0.3">
      <c r="A127" s="44" t="s">
        <v>1385</v>
      </c>
      <c r="B127" s="48" t="s">
        <v>1386</v>
      </c>
      <c r="C127" s="44" t="s">
        <v>798</v>
      </c>
      <c r="D127" s="44" t="s">
        <v>3404</v>
      </c>
      <c r="E127" s="197">
        <v>17197</v>
      </c>
      <c r="F127" s="197">
        <v>17197</v>
      </c>
      <c r="G127" s="47">
        <v>27</v>
      </c>
      <c r="H127" s="44" t="s">
        <v>1644</v>
      </c>
      <c r="I127" s="44" t="s">
        <v>1644</v>
      </c>
      <c r="J127" s="44" t="s">
        <v>1644</v>
      </c>
      <c r="K127" s="44" t="s">
        <v>1644</v>
      </c>
      <c r="L127" s="44" t="s">
        <v>1644</v>
      </c>
      <c r="M127" s="44" t="s">
        <v>1643</v>
      </c>
      <c r="N127" s="44" t="s">
        <v>1643</v>
      </c>
      <c r="O127" s="44" t="s">
        <v>1644</v>
      </c>
      <c r="P127" s="44" t="s">
        <v>1643</v>
      </c>
      <c r="Q127" s="44" t="s">
        <v>1644</v>
      </c>
      <c r="R127" s="44" t="s">
        <v>1644</v>
      </c>
      <c r="S127" s="44" t="s">
        <v>1644</v>
      </c>
    </row>
    <row r="128" spans="1:19" ht="15.75" thickBot="1" x14ac:dyDescent="0.3">
      <c r="A128" s="44" t="s">
        <v>1391</v>
      </c>
      <c r="B128" s="48" t="s">
        <v>1392</v>
      </c>
      <c r="C128" s="44" t="s">
        <v>798</v>
      </c>
      <c r="D128" s="44" t="s">
        <v>3404</v>
      </c>
      <c r="E128" s="197">
        <v>24000</v>
      </c>
      <c r="F128" s="197">
        <v>29000</v>
      </c>
      <c r="G128" s="47">
        <v>34</v>
      </c>
      <c r="H128" s="44" t="s">
        <v>1644</v>
      </c>
      <c r="I128" s="44" t="s">
        <v>1644</v>
      </c>
      <c r="J128" s="44" t="s">
        <v>1644</v>
      </c>
      <c r="K128" s="44" t="s">
        <v>1644</v>
      </c>
      <c r="L128" s="44" t="s">
        <v>1644</v>
      </c>
      <c r="M128" s="44" t="s">
        <v>1643</v>
      </c>
      <c r="N128" s="44" t="s">
        <v>1643</v>
      </c>
      <c r="O128" s="44" t="s">
        <v>1644</v>
      </c>
      <c r="P128" s="44" t="s">
        <v>1643</v>
      </c>
      <c r="Q128" s="44" t="s">
        <v>1644</v>
      </c>
      <c r="R128" s="44" t="s">
        <v>1644</v>
      </c>
      <c r="S128" s="44" t="s">
        <v>1644</v>
      </c>
    </row>
    <row r="129" spans="1:19" ht="15.75" thickBot="1" x14ac:dyDescent="0.3">
      <c r="A129" s="44" t="s">
        <v>1393</v>
      </c>
      <c r="B129" s="48" t="s">
        <v>1394</v>
      </c>
      <c r="C129" s="44" t="s">
        <v>798</v>
      </c>
      <c r="D129" s="44" t="s">
        <v>1735</v>
      </c>
      <c r="E129" s="197">
        <v>21000</v>
      </c>
      <c r="F129" s="197">
        <v>40000</v>
      </c>
      <c r="G129" s="47">
        <v>45</v>
      </c>
      <c r="H129" s="44" t="s">
        <v>1643</v>
      </c>
      <c r="I129" s="44" t="s">
        <v>1643</v>
      </c>
      <c r="J129" s="44" t="s">
        <v>1643</v>
      </c>
      <c r="K129" s="44" t="s">
        <v>1644</v>
      </c>
      <c r="L129" s="44" t="s">
        <v>1644</v>
      </c>
      <c r="M129" s="44" t="s">
        <v>1644</v>
      </c>
      <c r="N129" s="44" t="s">
        <v>1643</v>
      </c>
      <c r="O129" s="44" t="s">
        <v>1643</v>
      </c>
      <c r="P129" s="44" t="s">
        <v>1643</v>
      </c>
      <c r="Q129" s="44" t="s">
        <v>1644</v>
      </c>
      <c r="R129" s="44" t="s">
        <v>1644</v>
      </c>
      <c r="S129" s="44" t="s">
        <v>1644</v>
      </c>
    </row>
    <row r="130" spans="1:19" ht="15.75" thickBot="1" x14ac:dyDescent="0.3">
      <c r="A130" s="44" t="s">
        <v>1399</v>
      </c>
      <c r="B130" s="48" t="s">
        <v>1400</v>
      </c>
      <c r="C130" s="44" t="s">
        <v>798</v>
      </c>
      <c r="D130" s="44" t="s">
        <v>1735</v>
      </c>
      <c r="E130" s="197">
        <v>27300</v>
      </c>
      <c r="F130" s="197">
        <v>29120</v>
      </c>
      <c r="G130" s="47">
        <v>35</v>
      </c>
      <c r="H130" s="44" t="s">
        <v>1644</v>
      </c>
      <c r="I130" s="44" t="s">
        <v>1644</v>
      </c>
      <c r="J130" s="44" t="s">
        <v>1644</v>
      </c>
      <c r="K130" s="44" t="s">
        <v>1644</v>
      </c>
      <c r="L130" s="44" t="s">
        <v>1644</v>
      </c>
      <c r="M130" s="44" t="s">
        <v>1643</v>
      </c>
      <c r="N130" s="44" t="s">
        <v>1643</v>
      </c>
      <c r="O130" s="44" t="s">
        <v>1643</v>
      </c>
      <c r="P130" s="44" t="s">
        <v>1643</v>
      </c>
      <c r="Q130" s="44" t="s">
        <v>1644</v>
      </c>
      <c r="R130" s="44" t="s">
        <v>1644</v>
      </c>
      <c r="S130" s="44" t="s">
        <v>1644</v>
      </c>
    </row>
    <row r="131" spans="1:19" ht="15.75" thickBot="1" x14ac:dyDescent="0.3">
      <c r="A131" s="44" t="s">
        <v>1405</v>
      </c>
      <c r="B131" s="48" t="s">
        <v>1406</v>
      </c>
      <c r="C131" s="44" t="s">
        <v>798</v>
      </c>
      <c r="D131" s="44" t="s">
        <v>1735</v>
      </c>
      <c r="E131" s="197">
        <v>18000</v>
      </c>
      <c r="F131" s="197">
        <v>45000</v>
      </c>
      <c r="G131" s="47">
        <v>35</v>
      </c>
      <c r="H131" s="44" t="s">
        <v>1644</v>
      </c>
      <c r="I131" s="44" t="s">
        <v>1644</v>
      </c>
      <c r="J131" s="44" t="s">
        <v>1644</v>
      </c>
      <c r="K131" s="44" t="s">
        <v>1644</v>
      </c>
      <c r="L131" s="44" t="s">
        <v>1644</v>
      </c>
      <c r="M131" s="44" t="s">
        <v>1644</v>
      </c>
      <c r="N131" s="44" t="s">
        <v>1643</v>
      </c>
      <c r="O131" s="44" t="s">
        <v>1643</v>
      </c>
      <c r="P131" s="44" t="s">
        <v>1643</v>
      </c>
      <c r="Q131" s="44" t="s">
        <v>1644</v>
      </c>
      <c r="R131" s="44" t="s">
        <v>1644</v>
      </c>
      <c r="S131" s="44" t="s">
        <v>1644</v>
      </c>
    </row>
    <row r="132" spans="1:19" ht="15.75" thickBot="1" x14ac:dyDescent="0.3">
      <c r="A132" s="44" t="s">
        <v>1417</v>
      </c>
      <c r="B132" s="48" t="s">
        <v>1418</v>
      </c>
      <c r="C132" s="44" t="s">
        <v>798</v>
      </c>
      <c r="D132" s="44" t="s">
        <v>1735</v>
      </c>
      <c r="E132" s="197">
        <v>28000</v>
      </c>
      <c r="F132" s="197">
        <v>33000</v>
      </c>
      <c r="G132" s="47">
        <v>40</v>
      </c>
      <c r="H132" s="44" t="s">
        <v>1644</v>
      </c>
      <c r="I132" s="44" t="s">
        <v>1644</v>
      </c>
      <c r="J132" s="44" t="s">
        <v>1644</v>
      </c>
      <c r="K132" s="44" t="s">
        <v>1643</v>
      </c>
      <c r="L132" s="44" t="s">
        <v>1643</v>
      </c>
      <c r="M132" s="44" t="s">
        <v>1643</v>
      </c>
      <c r="N132" s="44" t="s">
        <v>1643</v>
      </c>
      <c r="O132" s="44" t="s">
        <v>1643</v>
      </c>
      <c r="P132" s="44" t="s">
        <v>1643</v>
      </c>
      <c r="Q132" s="44" t="s">
        <v>1644</v>
      </c>
      <c r="R132" s="44" t="s">
        <v>1644</v>
      </c>
      <c r="S132" s="44" t="s">
        <v>1644</v>
      </c>
    </row>
    <row r="133" spans="1:19" ht="15.75" thickBot="1" x14ac:dyDescent="0.3">
      <c r="A133" s="44" t="s">
        <v>1429</v>
      </c>
      <c r="B133" s="48" t="s">
        <v>1430</v>
      </c>
      <c r="C133" s="44" t="s">
        <v>798</v>
      </c>
      <c r="D133" s="44" t="s">
        <v>1735</v>
      </c>
      <c r="E133" s="197">
        <v>35500</v>
      </c>
      <c r="F133" s="197">
        <v>50000</v>
      </c>
      <c r="G133" s="47">
        <v>40</v>
      </c>
      <c r="H133" s="44" t="s">
        <v>1644</v>
      </c>
      <c r="I133" s="44" t="s">
        <v>1644</v>
      </c>
      <c r="J133" s="44" t="s">
        <v>1644</v>
      </c>
      <c r="K133" s="44" t="s">
        <v>1644</v>
      </c>
      <c r="L133" s="44" t="s">
        <v>1644</v>
      </c>
      <c r="M133" s="44" t="s">
        <v>1643</v>
      </c>
      <c r="N133" s="44" t="s">
        <v>1643</v>
      </c>
      <c r="O133" s="44" t="s">
        <v>1643</v>
      </c>
      <c r="P133" s="44" t="s">
        <v>1643</v>
      </c>
      <c r="Q133" s="44" t="s">
        <v>1644</v>
      </c>
      <c r="R133" s="44" t="s">
        <v>1644</v>
      </c>
      <c r="S133" s="44" t="s">
        <v>1644</v>
      </c>
    </row>
    <row r="134" spans="1:19" ht="15.75" thickBot="1" x14ac:dyDescent="0.3">
      <c r="A134" s="44" t="s">
        <v>1443</v>
      </c>
      <c r="B134" s="48" t="s">
        <v>1444</v>
      </c>
      <c r="C134" s="44" t="s">
        <v>798</v>
      </c>
      <c r="D134" s="44" t="s">
        <v>3404</v>
      </c>
      <c r="E134" s="197">
        <v>36000</v>
      </c>
      <c r="F134" s="197">
        <v>42000</v>
      </c>
      <c r="G134" s="47">
        <v>40</v>
      </c>
      <c r="H134" s="44" t="s">
        <v>1643</v>
      </c>
      <c r="I134" s="44" t="s">
        <v>1643</v>
      </c>
      <c r="J134" s="44" t="s">
        <v>1643</v>
      </c>
      <c r="K134" s="44" t="s">
        <v>1643</v>
      </c>
      <c r="L134" s="44" t="s">
        <v>1643</v>
      </c>
      <c r="M134" s="44" t="s">
        <v>1643</v>
      </c>
      <c r="N134" s="44" t="s">
        <v>1643</v>
      </c>
      <c r="O134" s="44" t="s">
        <v>1643</v>
      </c>
      <c r="P134" s="44" t="s">
        <v>1643</v>
      </c>
      <c r="Q134" s="44" t="s">
        <v>1643</v>
      </c>
      <c r="R134" s="44" t="s">
        <v>1643</v>
      </c>
      <c r="S134" s="44" t="s">
        <v>1643</v>
      </c>
    </row>
    <row r="135" spans="1:19" ht="15.75" thickBot="1" x14ac:dyDescent="0.3">
      <c r="A135" s="44" t="s">
        <v>1453</v>
      </c>
      <c r="B135" s="48" t="s">
        <v>1454</v>
      </c>
      <c r="C135" s="44" t="s">
        <v>798</v>
      </c>
      <c r="D135" s="44" t="s">
        <v>3404</v>
      </c>
      <c r="E135" s="197">
        <v>38000</v>
      </c>
      <c r="F135" s="197">
        <v>42000</v>
      </c>
      <c r="G135" s="47">
        <v>40</v>
      </c>
      <c r="H135" s="44" t="s">
        <v>1644</v>
      </c>
      <c r="I135" s="44" t="s">
        <v>1644</v>
      </c>
      <c r="J135" s="44" t="s">
        <v>1644</v>
      </c>
      <c r="K135" s="44" t="s">
        <v>1644</v>
      </c>
      <c r="L135" s="44" t="s">
        <v>1644</v>
      </c>
      <c r="M135" s="44" t="s">
        <v>1643</v>
      </c>
      <c r="N135" s="44" t="s">
        <v>1643</v>
      </c>
      <c r="O135" s="44" t="s">
        <v>1643</v>
      </c>
      <c r="P135" s="44" t="s">
        <v>1643</v>
      </c>
      <c r="Q135" s="44" t="s">
        <v>1644</v>
      </c>
      <c r="R135" s="44" t="s">
        <v>1644</v>
      </c>
      <c r="S135" s="44" t="s">
        <v>1643</v>
      </c>
    </row>
    <row r="136" spans="1:19" ht="15.75" thickBot="1" x14ac:dyDescent="0.3">
      <c r="A136" s="44" t="s">
        <v>1457</v>
      </c>
      <c r="B136" s="48" t="s">
        <v>1458</v>
      </c>
      <c r="C136" s="44" t="s">
        <v>798</v>
      </c>
      <c r="D136" s="44" t="s">
        <v>3402</v>
      </c>
      <c r="E136" s="197">
        <v>49274</v>
      </c>
      <c r="F136" s="197">
        <v>54730</v>
      </c>
      <c r="G136" s="47">
        <v>35</v>
      </c>
      <c r="H136" s="44" t="s">
        <v>1643</v>
      </c>
      <c r="I136" s="44" t="s">
        <v>1644</v>
      </c>
      <c r="J136" s="44" t="s">
        <v>1644</v>
      </c>
      <c r="K136" s="44" t="s">
        <v>1644</v>
      </c>
      <c r="L136" s="44" t="s">
        <v>1644</v>
      </c>
      <c r="M136" s="44" t="s">
        <v>1643</v>
      </c>
      <c r="N136" s="44" t="s">
        <v>1643</v>
      </c>
      <c r="O136" s="44" t="s">
        <v>1643</v>
      </c>
      <c r="P136" s="44" t="s">
        <v>1643</v>
      </c>
      <c r="Q136" s="44" t="s">
        <v>1643</v>
      </c>
      <c r="R136" s="44" t="s">
        <v>1643</v>
      </c>
      <c r="S136" s="44" t="s">
        <v>1644</v>
      </c>
    </row>
    <row r="137" spans="1:19" ht="15.75" thickBot="1" x14ac:dyDescent="0.3">
      <c r="A137" s="44" t="s">
        <v>1463</v>
      </c>
      <c r="B137" s="48" t="s">
        <v>1464</v>
      </c>
      <c r="C137" s="44" t="s">
        <v>798</v>
      </c>
      <c r="D137" s="44" t="s">
        <v>3404</v>
      </c>
      <c r="E137" s="197">
        <v>17000</v>
      </c>
      <c r="F137" s="197">
        <v>28000</v>
      </c>
      <c r="G137" s="47">
        <v>34</v>
      </c>
      <c r="H137" s="44" t="s">
        <v>1644</v>
      </c>
      <c r="I137" s="44" t="s">
        <v>1644</v>
      </c>
      <c r="J137" s="44" t="s">
        <v>1644</v>
      </c>
      <c r="K137" s="44" t="s">
        <v>1644</v>
      </c>
      <c r="L137" s="44" t="s">
        <v>1643</v>
      </c>
      <c r="M137" s="44" t="s">
        <v>1644</v>
      </c>
      <c r="N137" s="44" t="s">
        <v>1643</v>
      </c>
      <c r="O137" s="44" t="s">
        <v>1644</v>
      </c>
      <c r="P137" s="44" t="s">
        <v>1643</v>
      </c>
      <c r="Q137" s="44" t="s">
        <v>1644</v>
      </c>
      <c r="R137" s="44" t="s">
        <v>1644</v>
      </c>
      <c r="S137" s="44" t="s">
        <v>1644</v>
      </c>
    </row>
    <row r="138" spans="1:19" ht="15.75" thickBot="1" x14ac:dyDescent="0.3">
      <c r="A138" s="44" t="s">
        <v>1472</v>
      </c>
      <c r="B138" s="48" t="s">
        <v>1473</v>
      </c>
      <c r="C138" s="44" t="s">
        <v>798</v>
      </c>
      <c r="D138" s="44" t="s">
        <v>1735</v>
      </c>
      <c r="E138" s="197">
        <v>43264</v>
      </c>
      <c r="F138" s="197">
        <v>45240</v>
      </c>
      <c r="G138" s="47">
        <v>40</v>
      </c>
      <c r="H138" s="44" t="s">
        <v>1644</v>
      </c>
      <c r="I138" s="44" t="s">
        <v>1644</v>
      </c>
      <c r="J138" s="44" t="s">
        <v>1644</v>
      </c>
      <c r="K138" s="44" t="s">
        <v>1644</v>
      </c>
      <c r="L138" s="44" t="s">
        <v>1644</v>
      </c>
      <c r="M138" s="44" t="s">
        <v>1644</v>
      </c>
      <c r="N138" s="44" t="s">
        <v>1643</v>
      </c>
      <c r="O138" s="44" t="s">
        <v>1643</v>
      </c>
      <c r="P138" s="44" t="s">
        <v>1643</v>
      </c>
      <c r="Q138" s="44" t="s">
        <v>1644</v>
      </c>
      <c r="R138" s="44" t="s">
        <v>1644</v>
      </c>
      <c r="S138" s="44" t="s">
        <v>1644</v>
      </c>
    </row>
    <row r="139" spans="1:19" ht="15.75" thickBot="1" x14ac:dyDescent="0.3">
      <c r="A139" s="44" t="s">
        <v>1494</v>
      </c>
      <c r="B139" s="48" t="s">
        <v>1495</v>
      </c>
      <c r="C139" s="44" t="s">
        <v>798</v>
      </c>
      <c r="D139" s="44" t="s">
        <v>1735</v>
      </c>
      <c r="E139" s="197">
        <v>31930</v>
      </c>
      <c r="F139" s="197">
        <v>40000</v>
      </c>
      <c r="G139" s="47">
        <v>40</v>
      </c>
      <c r="H139" s="44" t="s">
        <v>1643</v>
      </c>
      <c r="I139" s="44" t="s">
        <v>1643</v>
      </c>
      <c r="J139" s="44" t="s">
        <v>1643</v>
      </c>
      <c r="K139" s="44" t="s">
        <v>1643</v>
      </c>
      <c r="L139" s="44" t="s">
        <v>1644</v>
      </c>
      <c r="M139" s="44" t="s">
        <v>1643</v>
      </c>
      <c r="N139" s="44" t="s">
        <v>1643</v>
      </c>
      <c r="O139" s="44" t="s">
        <v>1643</v>
      </c>
      <c r="P139" s="44" t="s">
        <v>1643</v>
      </c>
      <c r="Q139" s="44" t="s">
        <v>1644</v>
      </c>
      <c r="R139" s="44" t="s">
        <v>1643</v>
      </c>
      <c r="S139" s="44" t="s">
        <v>1644</v>
      </c>
    </row>
    <row r="140" spans="1:19" ht="15.75" thickBot="1" x14ac:dyDescent="0.3">
      <c r="A140" s="44" t="s">
        <v>1506</v>
      </c>
      <c r="B140" s="48" t="s">
        <v>1507</v>
      </c>
      <c r="C140" s="44" t="s">
        <v>798</v>
      </c>
      <c r="D140" s="44" t="s">
        <v>3402</v>
      </c>
      <c r="E140" s="197">
        <v>61000</v>
      </c>
      <c r="F140" s="197">
        <v>61000</v>
      </c>
      <c r="G140" s="47">
        <v>40</v>
      </c>
      <c r="H140" s="44" t="s">
        <v>1644</v>
      </c>
      <c r="I140" s="44" t="s">
        <v>1644</v>
      </c>
      <c r="J140" s="44" t="s">
        <v>1644</v>
      </c>
      <c r="K140" s="44" t="s">
        <v>1644</v>
      </c>
      <c r="L140" s="44" t="s">
        <v>1644</v>
      </c>
      <c r="M140" s="44" t="s">
        <v>1643</v>
      </c>
      <c r="N140" s="44" t="s">
        <v>1643</v>
      </c>
      <c r="O140" s="44" t="s">
        <v>1643</v>
      </c>
      <c r="P140" s="44" t="s">
        <v>1643</v>
      </c>
      <c r="Q140" s="44" t="s">
        <v>1643</v>
      </c>
      <c r="R140" s="44" t="s">
        <v>1644</v>
      </c>
      <c r="S140" s="44" t="s">
        <v>1644</v>
      </c>
    </row>
    <row r="141" spans="1:19" ht="15.75" thickBot="1" x14ac:dyDescent="0.3">
      <c r="A141" s="44" t="s">
        <v>1514</v>
      </c>
      <c r="B141" s="48" t="s">
        <v>1515</v>
      </c>
      <c r="C141" s="44" t="s">
        <v>798</v>
      </c>
      <c r="D141" s="44" t="s">
        <v>3404</v>
      </c>
      <c r="E141" s="197">
        <v>29000</v>
      </c>
      <c r="F141" s="197">
        <v>31395</v>
      </c>
      <c r="G141" s="47">
        <v>35</v>
      </c>
      <c r="H141" s="44" t="s">
        <v>1643</v>
      </c>
      <c r="I141" s="44" t="s">
        <v>1644</v>
      </c>
      <c r="J141" s="44" t="s">
        <v>1644</v>
      </c>
      <c r="K141" s="44" t="s">
        <v>1644</v>
      </c>
      <c r="L141" s="44" t="s">
        <v>1644</v>
      </c>
      <c r="M141" s="44" t="s">
        <v>1643</v>
      </c>
      <c r="N141" s="44" t="s">
        <v>1643</v>
      </c>
      <c r="O141" s="44" t="s">
        <v>1643</v>
      </c>
      <c r="P141" s="44" t="s">
        <v>1643</v>
      </c>
      <c r="Q141" s="44" t="s">
        <v>1643</v>
      </c>
      <c r="R141" s="44" t="s">
        <v>1644</v>
      </c>
      <c r="S141" s="44" t="s">
        <v>1644</v>
      </c>
    </row>
    <row r="142" spans="1:19" ht="15.75" thickBot="1" x14ac:dyDescent="0.3">
      <c r="A142" s="44" t="s">
        <v>1522</v>
      </c>
      <c r="B142" s="48" t="s">
        <v>1523</v>
      </c>
      <c r="C142" s="44" t="s">
        <v>798</v>
      </c>
      <c r="D142" s="44" t="s">
        <v>1735</v>
      </c>
      <c r="E142" s="197">
        <v>37699</v>
      </c>
      <c r="F142" s="197">
        <v>38756</v>
      </c>
      <c r="G142" s="47">
        <v>40</v>
      </c>
      <c r="H142" s="44" t="s">
        <v>1643</v>
      </c>
      <c r="I142" s="44" t="s">
        <v>1643</v>
      </c>
      <c r="J142" s="44" t="s">
        <v>1643</v>
      </c>
      <c r="K142" s="44" t="s">
        <v>1644</v>
      </c>
      <c r="L142" s="44" t="s">
        <v>1644</v>
      </c>
      <c r="M142" s="44" t="s">
        <v>1643</v>
      </c>
      <c r="N142" s="44" t="s">
        <v>1643</v>
      </c>
      <c r="O142" s="44" t="s">
        <v>1643</v>
      </c>
      <c r="P142" s="44" t="s">
        <v>1643</v>
      </c>
      <c r="Q142" s="44" t="s">
        <v>1643</v>
      </c>
      <c r="R142" s="44" t="s">
        <v>1644</v>
      </c>
      <c r="S142" s="44" t="s">
        <v>1644</v>
      </c>
    </row>
    <row r="143" spans="1:19" ht="15.75" thickBot="1" x14ac:dyDescent="0.3">
      <c r="A143" s="44" t="s">
        <v>1530</v>
      </c>
      <c r="B143" s="48" t="s">
        <v>1531</v>
      </c>
      <c r="C143" s="44" t="s">
        <v>798</v>
      </c>
      <c r="D143" s="44" t="s">
        <v>3404</v>
      </c>
      <c r="E143" s="197">
        <v>20384</v>
      </c>
      <c r="F143" s="197">
        <v>23400</v>
      </c>
      <c r="G143" s="47">
        <v>32</v>
      </c>
      <c r="H143" s="44" t="s">
        <v>1644</v>
      </c>
      <c r="I143" s="44" t="s">
        <v>1644</v>
      </c>
      <c r="J143" s="44" t="s">
        <v>1644</v>
      </c>
      <c r="K143" s="44" t="s">
        <v>1644</v>
      </c>
      <c r="L143" s="44" t="s">
        <v>1644</v>
      </c>
      <c r="M143" s="44" t="s">
        <v>1644</v>
      </c>
      <c r="N143" s="44" t="s">
        <v>1643</v>
      </c>
      <c r="O143" s="44" t="s">
        <v>1644</v>
      </c>
      <c r="P143" s="44" t="s">
        <v>1644</v>
      </c>
      <c r="Q143" s="44" t="s">
        <v>1644</v>
      </c>
      <c r="R143" s="44" t="s">
        <v>1644</v>
      </c>
      <c r="S143" s="44" t="s">
        <v>1644</v>
      </c>
    </row>
    <row r="144" spans="1:19" ht="15.75" thickBot="1" x14ac:dyDescent="0.3">
      <c r="A144" s="44" t="s">
        <v>1544</v>
      </c>
      <c r="B144" s="48" t="s">
        <v>1545</v>
      </c>
      <c r="C144" s="44" t="s">
        <v>798</v>
      </c>
      <c r="D144" s="44" t="s">
        <v>1735</v>
      </c>
      <c r="E144" s="197">
        <v>33470</v>
      </c>
      <c r="F144" s="197">
        <v>43626</v>
      </c>
      <c r="G144" s="47">
        <v>40</v>
      </c>
      <c r="H144" s="44" t="s">
        <v>1643</v>
      </c>
      <c r="I144" s="44" t="s">
        <v>1643</v>
      </c>
      <c r="J144" s="44" t="s">
        <v>1643</v>
      </c>
      <c r="K144" s="44" t="s">
        <v>1643</v>
      </c>
      <c r="L144" s="44" t="s">
        <v>1643</v>
      </c>
      <c r="M144" s="44" t="s">
        <v>1643</v>
      </c>
      <c r="N144" s="44" t="s">
        <v>1643</v>
      </c>
      <c r="O144" s="44" t="s">
        <v>1643</v>
      </c>
      <c r="P144" s="44" t="s">
        <v>1643</v>
      </c>
      <c r="Q144" s="44" t="s">
        <v>1644</v>
      </c>
      <c r="R144" s="44" t="s">
        <v>1643</v>
      </c>
      <c r="S144" s="44" t="s">
        <v>1643</v>
      </c>
    </row>
    <row r="145" spans="1:19" ht="15.75" thickBot="1" x14ac:dyDescent="0.3">
      <c r="A145" s="44" t="s">
        <v>1550</v>
      </c>
      <c r="B145" s="48" t="s">
        <v>1551</v>
      </c>
      <c r="C145" s="44" t="s">
        <v>798</v>
      </c>
      <c r="D145" s="44" t="s">
        <v>3404</v>
      </c>
      <c r="E145" s="197">
        <v>20000</v>
      </c>
      <c r="F145" s="197">
        <v>36000</v>
      </c>
      <c r="G145" s="47">
        <v>32</v>
      </c>
      <c r="H145" s="44" t="s">
        <v>1644</v>
      </c>
      <c r="I145" s="44" t="s">
        <v>1644</v>
      </c>
      <c r="J145" s="44" t="s">
        <v>1644</v>
      </c>
      <c r="K145" s="44" t="s">
        <v>1644</v>
      </c>
      <c r="L145" s="44" t="s">
        <v>1644</v>
      </c>
      <c r="M145" s="44" t="s">
        <v>1644</v>
      </c>
      <c r="N145" s="44" t="s">
        <v>1644</v>
      </c>
      <c r="O145" s="44" t="s">
        <v>1644</v>
      </c>
      <c r="P145" s="44" t="s">
        <v>1644</v>
      </c>
      <c r="Q145" s="44" t="s">
        <v>1644</v>
      </c>
      <c r="R145" s="44" t="s">
        <v>1644</v>
      </c>
      <c r="S145" s="44" t="s">
        <v>1644</v>
      </c>
    </row>
    <row r="146" spans="1:19" ht="15.75" thickBot="1" x14ac:dyDescent="0.3">
      <c r="A146" s="44" t="s">
        <v>1560</v>
      </c>
      <c r="B146" s="48" t="s">
        <v>1561</v>
      </c>
      <c r="C146" s="44" t="s">
        <v>798</v>
      </c>
      <c r="D146" s="44" t="s">
        <v>3402</v>
      </c>
      <c r="E146" s="197">
        <v>65000</v>
      </c>
      <c r="F146" s="197">
        <v>65000</v>
      </c>
      <c r="G146" s="47">
        <v>40</v>
      </c>
      <c r="H146" s="44" t="s">
        <v>1643</v>
      </c>
      <c r="I146" s="44" t="s">
        <v>1643</v>
      </c>
      <c r="J146" s="44" t="s">
        <v>1643</v>
      </c>
      <c r="K146" s="44" t="s">
        <v>1643</v>
      </c>
      <c r="L146" s="44" t="s">
        <v>1643</v>
      </c>
      <c r="M146" s="44" t="s">
        <v>1643</v>
      </c>
      <c r="N146" s="44" t="s">
        <v>1643</v>
      </c>
      <c r="O146" s="44" t="s">
        <v>1644</v>
      </c>
      <c r="P146" s="44" t="s">
        <v>1643</v>
      </c>
      <c r="Q146" s="44" t="s">
        <v>1644</v>
      </c>
      <c r="R146" s="44" t="s">
        <v>1643</v>
      </c>
      <c r="S146" s="44" t="s">
        <v>1644</v>
      </c>
    </row>
    <row r="147" spans="1:19" ht="15.75" thickBot="1" x14ac:dyDescent="0.3">
      <c r="A147" s="44" t="s">
        <v>1570</v>
      </c>
      <c r="B147" s="48" t="s">
        <v>1571</v>
      </c>
      <c r="C147" s="44" t="s">
        <v>798</v>
      </c>
      <c r="D147" s="44" t="s">
        <v>3403</v>
      </c>
      <c r="E147" s="197">
        <v>29000</v>
      </c>
      <c r="F147" s="197">
        <v>36000</v>
      </c>
      <c r="G147" s="47">
        <v>32</v>
      </c>
      <c r="H147" s="44" t="s">
        <v>1644</v>
      </c>
      <c r="I147" s="44" t="s">
        <v>1644</v>
      </c>
      <c r="J147" s="44" t="s">
        <v>1644</v>
      </c>
      <c r="K147" s="44" t="s">
        <v>1644</v>
      </c>
      <c r="L147" s="44" t="s">
        <v>1644</v>
      </c>
      <c r="M147" s="44" t="s">
        <v>1643</v>
      </c>
      <c r="N147" s="44" t="s">
        <v>1643</v>
      </c>
      <c r="O147" s="44" t="s">
        <v>1643</v>
      </c>
      <c r="P147" s="44" t="s">
        <v>1643</v>
      </c>
      <c r="Q147" s="44" t="s">
        <v>1644</v>
      </c>
      <c r="R147" s="44" t="s">
        <v>1644</v>
      </c>
      <c r="S147" s="44" t="s">
        <v>1644</v>
      </c>
    </row>
    <row r="148" spans="1:19" ht="15.75" thickBot="1" x14ac:dyDescent="0.3">
      <c r="A148" s="44" t="s">
        <v>1588</v>
      </c>
      <c r="B148" s="48" t="s">
        <v>1589</v>
      </c>
      <c r="C148" s="44" t="s">
        <v>798</v>
      </c>
      <c r="D148" s="44" t="s">
        <v>3404</v>
      </c>
      <c r="E148" s="197">
        <v>30000</v>
      </c>
      <c r="F148" s="197">
        <v>55000</v>
      </c>
      <c r="G148" s="47">
        <v>32</v>
      </c>
      <c r="H148" s="44" t="s">
        <v>1644</v>
      </c>
      <c r="I148" s="44" t="s">
        <v>1644</v>
      </c>
      <c r="J148" s="44" t="s">
        <v>1644</v>
      </c>
      <c r="K148" s="44" t="s">
        <v>1644</v>
      </c>
      <c r="L148" s="44" t="s">
        <v>1644</v>
      </c>
      <c r="M148" s="44" t="s">
        <v>1643</v>
      </c>
      <c r="N148" s="44" t="s">
        <v>1643</v>
      </c>
      <c r="O148" s="44" t="s">
        <v>1643</v>
      </c>
      <c r="P148" s="44" t="s">
        <v>1643</v>
      </c>
      <c r="Q148" s="44" t="s">
        <v>1643</v>
      </c>
      <c r="R148" s="44" t="s">
        <v>1644</v>
      </c>
      <c r="S148" s="44" t="s">
        <v>1644</v>
      </c>
    </row>
    <row r="149" spans="1:19" ht="15.75" thickBot="1" x14ac:dyDescent="0.3">
      <c r="A149" s="44" t="s">
        <v>806</v>
      </c>
      <c r="B149" s="48" t="s">
        <v>807</v>
      </c>
      <c r="C149" s="44" t="s">
        <v>808</v>
      </c>
      <c r="D149" s="44" t="s">
        <v>3403</v>
      </c>
      <c r="E149" s="197">
        <v>37296</v>
      </c>
      <c r="F149" s="197">
        <v>50429</v>
      </c>
      <c r="G149" s="47">
        <v>40</v>
      </c>
      <c r="H149" s="44" t="s">
        <v>1643</v>
      </c>
      <c r="I149" s="44" t="s">
        <v>1643</v>
      </c>
      <c r="J149" s="44" t="s">
        <v>1644</v>
      </c>
      <c r="K149" s="44" t="s">
        <v>1644</v>
      </c>
      <c r="L149" s="44" t="s">
        <v>1643</v>
      </c>
      <c r="M149" s="44" t="s">
        <v>1643</v>
      </c>
      <c r="N149" s="44" t="s">
        <v>1643</v>
      </c>
      <c r="O149" s="44" t="s">
        <v>1644</v>
      </c>
      <c r="P149" s="44" t="s">
        <v>1643</v>
      </c>
      <c r="Q149" s="44" t="s">
        <v>1644</v>
      </c>
      <c r="R149" s="44" t="s">
        <v>1644</v>
      </c>
      <c r="S149" s="44" t="s">
        <v>1644</v>
      </c>
    </row>
    <row r="150" spans="1:19" ht="15.75" thickBot="1" x14ac:dyDescent="0.3">
      <c r="A150" s="44" t="s">
        <v>809</v>
      </c>
      <c r="B150" s="48" t="s">
        <v>810</v>
      </c>
      <c r="C150" s="44" t="s">
        <v>808</v>
      </c>
      <c r="D150" s="44" t="s">
        <v>3402</v>
      </c>
      <c r="E150" s="197">
        <v>37615</v>
      </c>
      <c r="F150" s="197">
        <v>38592</v>
      </c>
      <c r="G150" s="47">
        <v>40</v>
      </c>
      <c r="H150" s="44" t="s">
        <v>1644</v>
      </c>
      <c r="I150" s="44" t="s">
        <v>1644</v>
      </c>
      <c r="J150" s="44" t="s">
        <v>1644</v>
      </c>
      <c r="K150" s="44" t="s">
        <v>1644</v>
      </c>
      <c r="L150" s="44" t="s">
        <v>1644</v>
      </c>
      <c r="M150" s="44" t="s">
        <v>1643</v>
      </c>
      <c r="N150" s="44" t="s">
        <v>1643</v>
      </c>
      <c r="O150" s="44" t="s">
        <v>1643</v>
      </c>
      <c r="P150" s="44" t="s">
        <v>1643</v>
      </c>
      <c r="Q150" s="44" t="s">
        <v>1644</v>
      </c>
      <c r="R150" s="44" t="s">
        <v>1643</v>
      </c>
      <c r="S150" s="44" t="s">
        <v>1644</v>
      </c>
    </row>
    <row r="151" spans="1:19" ht="15.75" thickBot="1" x14ac:dyDescent="0.3">
      <c r="A151" s="44" t="s">
        <v>811</v>
      </c>
      <c r="B151" s="48" t="s">
        <v>812</v>
      </c>
      <c r="C151" s="44" t="s">
        <v>808</v>
      </c>
      <c r="D151" s="44" t="s">
        <v>3402</v>
      </c>
      <c r="E151" s="197">
        <v>55000</v>
      </c>
      <c r="F151" s="197">
        <v>65000</v>
      </c>
      <c r="G151" s="47">
        <v>35</v>
      </c>
      <c r="H151" s="44" t="s">
        <v>1643</v>
      </c>
      <c r="I151" s="44" t="s">
        <v>1643</v>
      </c>
      <c r="J151" s="44" t="s">
        <v>1643</v>
      </c>
      <c r="K151" s="44" t="s">
        <v>1643</v>
      </c>
      <c r="L151" s="44" t="s">
        <v>1643</v>
      </c>
      <c r="M151" s="44" t="s">
        <v>1643</v>
      </c>
      <c r="N151" s="44" t="s">
        <v>1643</v>
      </c>
      <c r="O151" s="44" t="s">
        <v>1643</v>
      </c>
      <c r="P151" s="44" t="s">
        <v>1643</v>
      </c>
      <c r="Q151" s="44" t="s">
        <v>1643</v>
      </c>
      <c r="R151" s="44" t="s">
        <v>1643</v>
      </c>
      <c r="S151" s="44" t="s">
        <v>1643</v>
      </c>
    </row>
    <row r="152" spans="1:19" ht="15.75" thickBot="1" x14ac:dyDescent="0.3">
      <c r="A152" s="44" t="s">
        <v>813</v>
      </c>
      <c r="B152" s="48" t="s">
        <v>814</v>
      </c>
      <c r="C152" s="44" t="s">
        <v>808</v>
      </c>
      <c r="D152" s="44" t="s">
        <v>3402</v>
      </c>
      <c r="E152" s="197">
        <v>50000</v>
      </c>
      <c r="F152" s="197">
        <v>60000</v>
      </c>
      <c r="G152" s="47">
        <v>40</v>
      </c>
      <c r="H152" s="44" t="s">
        <v>1643</v>
      </c>
      <c r="I152" s="44" t="s">
        <v>1643</v>
      </c>
      <c r="J152" s="44" t="s">
        <v>1643</v>
      </c>
      <c r="K152" s="44" t="s">
        <v>1643</v>
      </c>
      <c r="L152" s="44" t="s">
        <v>1643</v>
      </c>
      <c r="M152" s="44" t="s">
        <v>1644</v>
      </c>
      <c r="N152" s="44" t="s">
        <v>1644</v>
      </c>
      <c r="O152" s="44" t="s">
        <v>1643</v>
      </c>
      <c r="P152" s="44" t="s">
        <v>1643</v>
      </c>
      <c r="Q152" s="44" t="s">
        <v>1643</v>
      </c>
      <c r="R152" s="44" t="s">
        <v>1643</v>
      </c>
      <c r="S152" s="44" t="s">
        <v>1644</v>
      </c>
    </row>
    <row r="153" spans="1:19" ht="15.75" thickBot="1" x14ac:dyDescent="0.3">
      <c r="A153" s="44" t="s">
        <v>825</v>
      </c>
      <c r="B153" s="48" t="s">
        <v>826</v>
      </c>
      <c r="C153" s="44" t="s">
        <v>808</v>
      </c>
      <c r="D153" s="44" t="s">
        <v>3402</v>
      </c>
      <c r="E153" s="197">
        <v>54453</v>
      </c>
      <c r="F153" s="197">
        <v>70806</v>
      </c>
      <c r="G153" s="47">
        <v>40</v>
      </c>
      <c r="H153" s="44" t="s">
        <v>1643</v>
      </c>
      <c r="I153" s="44" t="s">
        <v>1643</v>
      </c>
      <c r="J153" s="44" t="s">
        <v>1644</v>
      </c>
      <c r="K153" s="44" t="s">
        <v>1643</v>
      </c>
      <c r="L153" s="44" t="s">
        <v>1643</v>
      </c>
      <c r="M153" s="44" t="s">
        <v>1643</v>
      </c>
      <c r="N153" s="44" t="s">
        <v>1643</v>
      </c>
      <c r="O153" s="44" t="s">
        <v>1643</v>
      </c>
      <c r="P153" s="44" t="s">
        <v>1643</v>
      </c>
      <c r="Q153" s="44" t="s">
        <v>1644</v>
      </c>
      <c r="R153" s="44" t="s">
        <v>1644</v>
      </c>
      <c r="S153" s="44" t="s">
        <v>1644</v>
      </c>
    </row>
    <row r="154" spans="1:19" ht="15.75" thickBot="1" x14ac:dyDescent="0.3">
      <c r="A154" s="44" t="s">
        <v>833</v>
      </c>
      <c r="B154" s="48" t="s">
        <v>834</v>
      </c>
      <c r="C154" s="44" t="s">
        <v>808</v>
      </c>
      <c r="D154" s="44" t="s">
        <v>1735</v>
      </c>
      <c r="E154" s="197">
        <v>31000</v>
      </c>
      <c r="F154" s="197">
        <v>50186</v>
      </c>
      <c r="G154" s="47">
        <v>40</v>
      </c>
      <c r="H154" s="44" t="s">
        <v>1643</v>
      </c>
      <c r="I154" s="44" t="s">
        <v>1643</v>
      </c>
      <c r="J154" s="44" t="s">
        <v>1643</v>
      </c>
      <c r="K154" s="44" t="s">
        <v>1643</v>
      </c>
      <c r="L154" s="44" t="s">
        <v>1643</v>
      </c>
      <c r="M154" s="44" t="s">
        <v>1643</v>
      </c>
      <c r="N154" s="44" t="s">
        <v>1643</v>
      </c>
      <c r="O154" s="44" t="s">
        <v>1643</v>
      </c>
      <c r="P154" s="44" t="s">
        <v>1643</v>
      </c>
      <c r="Q154" s="44" t="s">
        <v>1644</v>
      </c>
      <c r="R154" s="44" t="s">
        <v>1643</v>
      </c>
      <c r="S154" s="44" t="s">
        <v>1643</v>
      </c>
    </row>
    <row r="155" spans="1:19" ht="15.75" thickBot="1" x14ac:dyDescent="0.3">
      <c r="A155" s="44" t="s">
        <v>848</v>
      </c>
      <c r="B155" s="48" t="s">
        <v>849</v>
      </c>
      <c r="C155" s="44" t="s">
        <v>808</v>
      </c>
      <c r="D155" s="44" t="s">
        <v>1735</v>
      </c>
      <c r="E155" s="197">
        <v>61000</v>
      </c>
      <c r="F155" s="197">
        <v>69000</v>
      </c>
      <c r="G155" s="47">
        <v>44</v>
      </c>
      <c r="H155" s="44" t="s">
        <v>1643</v>
      </c>
      <c r="I155" s="44" t="s">
        <v>1644</v>
      </c>
      <c r="J155" s="44" t="s">
        <v>1644</v>
      </c>
      <c r="K155" s="44" t="s">
        <v>1644</v>
      </c>
      <c r="L155" s="44" t="s">
        <v>1644</v>
      </c>
      <c r="M155" s="44" t="s">
        <v>1643</v>
      </c>
      <c r="N155" s="44" t="s">
        <v>1643</v>
      </c>
      <c r="O155" s="44" t="s">
        <v>1643</v>
      </c>
      <c r="P155" s="44" t="s">
        <v>1643</v>
      </c>
      <c r="Q155" s="44" t="s">
        <v>1644</v>
      </c>
      <c r="R155" s="44" t="s">
        <v>1644</v>
      </c>
      <c r="S155" s="44" t="s">
        <v>1644</v>
      </c>
    </row>
    <row r="156" spans="1:19" ht="15.75" thickBot="1" x14ac:dyDescent="0.3">
      <c r="A156" s="44" t="s">
        <v>859</v>
      </c>
      <c r="B156" s="48" t="s">
        <v>860</v>
      </c>
      <c r="C156" s="44" t="s">
        <v>808</v>
      </c>
      <c r="D156" s="44" t="s">
        <v>3402</v>
      </c>
      <c r="E156" s="197">
        <v>45000</v>
      </c>
      <c r="F156" s="197">
        <v>45000</v>
      </c>
      <c r="G156" s="47">
        <v>40</v>
      </c>
      <c r="H156" s="44" t="s">
        <v>1644</v>
      </c>
      <c r="I156" s="44" t="s">
        <v>1644</v>
      </c>
      <c r="J156" s="44" t="s">
        <v>1644</v>
      </c>
      <c r="K156" s="44" t="s">
        <v>1644</v>
      </c>
      <c r="L156" s="44" t="s">
        <v>1644</v>
      </c>
      <c r="M156" s="44" t="s">
        <v>1644</v>
      </c>
      <c r="N156" s="44" t="s">
        <v>1644</v>
      </c>
      <c r="O156" s="44" t="s">
        <v>1644</v>
      </c>
      <c r="P156" s="44" t="s">
        <v>1643</v>
      </c>
      <c r="Q156" s="44" t="s">
        <v>1644</v>
      </c>
      <c r="R156" s="44" t="s">
        <v>1644</v>
      </c>
      <c r="S156" s="44" t="s">
        <v>1644</v>
      </c>
    </row>
    <row r="157" spans="1:19" ht="15.75" thickBot="1" x14ac:dyDescent="0.3">
      <c r="A157" s="44" t="s">
        <v>879</v>
      </c>
      <c r="B157" s="48" t="s">
        <v>880</v>
      </c>
      <c r="C157" s="44" t="s">
        <v>808</v>
      </c>
      <c r="D157" s="44" t="s">
        <v>1735</v>
      </c>
      <c r="E157" s="197">
        <v>33000</v>
      </c>
      <c r="F157" s="197">
        <v>50000</v>
      </c>
      <c r="G157" s="47">
        <v>40</v>
      </c>
      <c r="H157" s="44" t="s">
        <v>1643</v>
      </c>
      <c r="I157" s="44" t="s">
        <v>1644</v>
      </c>
      <c r="J157" s="44" t="s">
        <v>1644</v>
      </c>
      <c r="K157" s="44" t="s">
        <v>1644</v>
      </c>
      <c r="L157" s="44" t="s">
        <v>1643</v>
      </c>
      <c r="M157" s="44" t="s">
        <v>1643</v>
      </c>
      <c r="N157" s="44" t="s">
        <v>1643</v>
      </c>
      <c r="O157" s="44" t="s">
        <v>1643</v>
      </c>
      <c r="P157" s="44" t="s">
        <v>1643</v>
      </c>
      <c r="Q157" s="44" t="s">
        <v>1644</v>
      </c>
      <c r="R157" s="44" t="s">
        <v>1644</v>
      </c>
      <c r="S157" s="44" t="s">
        <v>1643</v>
      </c>
    </row>
    <row r="158" spans="1:19" ht="15.75" thickBot="1" x14ac:dyDescent="0.3">
      <c r="A158" s="44" t="s">
        <v>889</v>
      </c>
      <c r="B158" s="48" t="s">
        <v>890</v>
      </c>
      <c r="C158" s="44" t="s">
        <v>808</v>
      </c>
      <c r="D158" s="44" t="s">
        <v>3402</v>
      </c>
      <c r="E158" s="197">
        <v>55119</v>
      </c>
      <c r="F158" s="197">
        <v>71058</v>
      </c>
      <c r="G158" s="47">
        <v>36</v>
      </c>
      <c r="H158" s="44" t="s">
        <v>1643</v>
      </c>
      <c r="I158" s="44" t="s">
        <v>1643</v>
      </c>
      <c r="J158" s="44" t="s">
        <v>1643</v>
      </c>
      <c r="K158" s="44" t="s">
        <v>1643</v>
      </c>
      <c r="L158" s="44" t="s">
        <v>1644</v>
      </c>
      <c r="M158" s="44" t="s">
        <v>1643</v>
      </c>
      <c r="N158" s="44" t="s">
        <v>1643</v>
      </c>
      <c r="O158" s="44" t="s">
        <v>1643</v>
      </c>
      <c r="P158" s="44" t="s">
        <v>1643</v>
      </c>
      <c r="Q158" s="44" t="s">
        <v>1643</v>
      </c>
      <c r="R158" s="44" t="s">
        <v>1643</v>
      </c>
      <c r="S158" s="44" t="s">
        <v>1644</v>
      </c>
    </row>
    <row r="159" spans="1:19" ht="15.75" thickBot="1" x14ac:dyDescent="0.3">
      <c r="A159" s="44" t="s">
        <v>893</v>
      </c>
      <c r="B159" s="48" t="s">
        <v>894</v>
      </c>
      <c r="C159" s="44" t="s">
        <v>808</v>
      </c>
      <c r="D159" s="44" t="s">
        <v>3403</v>
      </c>
      <c r="E159" s="197">
        <v>51000</v>
      </c>
      <c r="F159" s="197">
        <v>64000</v>
      </c>
      <c r="G159" s="47">
        <v>40</v>
      </c>
      <c r="H159" s="44" t="s">
        <v>1643</v>
      </c>
      <c r="I159" s="44" t="s">
        <v>1643</v>
      </c>
      <c r="J159" s="44" t="s">
        <v>1643</v>
      </c>
      <c r="K159" s="44" t="s">
        <v>1643</v>
      </c>
      <c r="L159" s="44" t="s">
        <v>1644</v>
      </c>
      <c r="M159" s="44" t="s">
        <v>1643</v>
      </c>
      <c r="N159" s="44" t="s">
        <v>1643</v>
      </c>
      <c r="O159" s="44" t="s">
        <v>1643</v>
      </c>
      <c r="P159" s="44" t="s">
        <v>1643</v>
      </c>
      <c r="Q159" s="44" t="s">
        <v>1644</v>
      </c>
      <c r="R159" s="44" t="s">
        <v>1644</v>
      </c>
      <c r="S159" s="44" t="s">
        <v>1644</v>
      </c>
    </row>
    <row r="160" spans="1:19" ht="15.75" thickBot="1" x14ac:dyDescent="0.3">
      <c r="A160" s="44" t="s">
        <v>911</v>
      </c>
      <c r="B160" s="48" t="s">
        <v>912</v>
      </c>
      <c r="C160" s="44" t="s">
        <v>808</v>
      </c>
      <c r="D160" s="44" t="s">
        <v>850</v>
      </c>
      <c r="E160" s="197">
        <v>35000</v>
      </c>
      <c r="F160" s="197">
        <v>55000</v>
      </c>
      <c r="G160" s="47">
        <v>40</v>
      </c>
      <c r="H160" s="44" t="s">
        <v>1643</v>
      </c>
      <c r="I160" s="44" t="s">
        <v>1643</v>
      </c>
      <c r="J160" s="44" t="s">
        <v>1643</v>
      </c>
      <c r="K160" s="44" t="s">
        <v>1643</v>
      </c>
      <c r="L160" s="44" t="s">
        <v>1643</v>
      </c>
      <c r="M160" s="44" t="s">
        <v>1643</v>
      </c>
      <c r="N160" s="44" t="s">
        <v>1643</v>
      </c>
      <c r="O160" s="44" t="s">
        <v>1643</v>
      </c>
      <c r="P160" s="44" t="s">
        <v>1643</v>
      </c>
      <c r="Q160" s="44" t="s">
        <v>1643</v>
      </c>
      <c r="R160" s="44" t="s">
        <v>1643</v>
      </c>
      <c r="S160" s="44" t="s">
        <v>1644</v>
      </c>
    </row>
    <row r="161" spans="1:19" ht="15.75" thickBot="1" x14ac:dyDescent="0.3">
      <c r="A161" s="44" t="s">
        <v>913</v>
      </c>
      <c r="B161" s="48" t="s">
        <v>914</v>
      </c>
      <c r="C161" s="44" t="s">
        <v>808</v>
      </c>
      <c r="D161" s="44" t="s">
        <v>3402</v>
      </c>
      <c r="E161" s="197">
        <v>21500</v>
      </c>
      <c r="F161" s="197">
        <v>75000</v>
      </c>
      <c r="G161" s="47">
        <v>40</v>
      </c>
      <c r="H161" s="44" t="s">
        <v>1643</v>
      </c>
      <c r="I161" s="44" t="s">
        <v>1643</v>
      </c>
      <c r="J161" s="44" t="s">
        <v>1643</v>
      </c>
      <c r="K161" s="44" t="s">
        <v>1644</v>
      </c>
      <c r="L161" s="44" t="s">
        <v>1644</v>
      </c>
      <c r="M161" s="44" t="s">
        <v>1644</v>
      </c>
      <c r="N161" s="44" t="s">
        <v>1643</v>
      </c>
      <c r="O161" s="44" t="s">
        <v>1644</v>
      </c>
      <c r="P161" s="44" t="s">
        <v>1643</v>
      </c>
      <c r="Q161" s="44" t="s">
        <v>1643</v>
      </c>
      <c r="R161" s="44" t="s">
        <v>1644</v>
      </c>
      <c r="S161" s="44" t="s">
        <v>1644</v>
      </c>
    </row>
    <row r="162" spans="1:19" ht="15.75" thickBot="1" x14ac:dyDescent="0.3">
      <c r="A162" s="44" t="s">
        <v>919</v>
      </c>
      <c r="B162" s="48" t="s">
        <v>920</v>
      </c>
      <c r="C162" s="44" t="s">
        <v>808</v>
      </c>
      <c r="D162" s="44" t="s">
        <v>1735</v>
      </c>
      <c r="E162" s="197">
        <v>45996</v>
      </c>
      <c r="F162" s="197">
        <v>50563</v>
      </c>
      <c r="G162" s="47">
        <v>38</v>
      </c>
      <c r="H162" s="44" t="s">
        <v>1643</v>
      </c>
      <c r="I162" s="44" t="s">
        <v>1643</v>
      </c>
      <c r="J162" s="44" t="s">
        <v>1643</v>
      </c>
      <c r="K162" s="44" t="s">
        <v>1643</v>
      </c>
      <c r="L162" s="44" t="s">
        <v>1643</v>
      </c>
      <c r="M162" s="44" t="s">
        <v>1643</v>
      </c>
      <c r="N162" s="44" t="s">
        <v>1643</v>
      </c>
      <c r="O162" s="44" t="s">
        <v>1643</v>
      </c>
      <c r="P162" s="44" t="s">
        <v>1643</v>
      </c>
      <c r="Q162" s="44" t="s">
        <v>1644</v>
      </c>
      <c r="R162" s="44" t="s">
        <v>1644</v>
      </c>
      <c r="S162" s="44" t="s">
        <v>1643</v>
      </c>
    </row>
    <row r="163" spans="1:19" ht="15.75" thickBot="1" x14ac:dyDescent="0.3">
      <c r="A163" s="44" t="s">
        <v>927</v>
      </c>
      <c r="B163" s="48" t="s">
        <v>928</v>
      </c>
      <c r="C163" s="44" t="s">
        <v>808</v>
      </c>
      <c r="D163" s="44" t="s">
        <v>3402</v>
      </c>
      <c r="E163" s="197">
        <v>53878</v>
      </c>
      <c r="F163" s="197">
        <v>57298</v>
      </c>
      <c r="G163" s="47">
        <v>40</v>
      </c>
      <c r="H163" s="44" t="s">
        <v>1643</v>
      </c>
      <c r="I163" s="44" t="s">
        <v>1644</v>
      </c>
      <c r="J163" s="44" t="s">
        <v>1644</v>
      </c>
      <c r="K163" s="44" t="s">
        <v>1644</v>
      </c>
      <c r="L163" s="44" t="s">
        <v>1644</v>
      </c>
      <c r="M163" s="44" t="s">
        <v>1643</v>
      </c>
      <c r="N163" s="44" t="s">
        <v>1643</v>
      </c>
      <c r="O163" s="44" t="s">
        <v>1643</v>
      </c>
      <c r="P163" s="44" t="s">
        <v>1643</v>
      </c>
      <c r="Q163" s="44" t="s">
        <v>1643</v>
      </c>
      <c r="R163" s="44" t="s">
        <v>1644</v>
      </c>
      <c r="S163" s="44" t="s">
        <v>1644</v>
      </c>
    </row>
    <row r="164" spans="1:19" ht="15.75" thickBot="1" x14ac:dyDescent="0.3">
      <c r="A164" s="44" t="s">
        <v>931</v>
      </c>
      <c r="B164" s="48" t="s">
        <v>932</v>
      </c>
      <c r="C164" s="44" t="s">
        <v>808</v>
      </c>
      <c r="D164" s="44" t="s">
        <v>1735</v>
      </c>
      <c r="E164" s="197">
        <v>50407</v>
      </c>
      <c r="F164" s="197">
        <v>50407</v>
      </c>
      <c r="G164" s="47">
        <v>40</v>
      </c>
      <c r="H164" s="44" t="s">
        <v>1644</v>
      </c>
      <c r="I164" s="44" t="s">
        <v>1644</v>
      </c>
      <c r="J164" s="44" t="s">
        <v>1644</v>
      </c>
      <c r="K164" s="44" t="s">
        <v>1644</v>
      </c>
      <c r="L164" s="44" t="s">
        <v>1644</v>
      </c>
      <c r="M164" s="44" t="s">
        <v>1643</v>
      </c>
      <c r="N164" s="44" t="s">
        <v>1643</v>
      </c>
      <c r="O164" s="44" t="s">
        <v>1643</v>
      </c>
      <c r="P164" s="44" t="s">
        <v>1643</v>
      </c>
      <c r="Q164" s="44" t="s">
        <v>1644</v>
      </c>
      <c r="R164" s="44" t="s">
        <v>1644</v>
      </c>
      <c r="S164" s="44" t="s">
        <v>1644</v>
      </c>
    </row>
    <row r="165" spans="1:19" ht="15.75" thickBot="1" x14ac:dyDescent="0.3">
      <c r="A165" s="44" t="s">
        <v>935</v>
      </c>
      <c r="B165" s="48" t="s">
        <v>936</v>
      </c>
      <c r="C165" s="44" t="s">
        <v>808</v>
      </c>
      <c r="D165" s="44" t="s">
        <v>1735</v>
      </c>
      <c r="E165" s="197">
        <v>37370</v>
      </c>
      <c r="F165" s="197">
        <v>37370</v>
      </c>
      <c r="G165" s="47">
        <v>45</v>
      </c>
      <c r="H165" s="44" t="s">
        <v>1643</v>
      </c>
      <c r="I165" s="44" t="s">
        <v>1644</v>
      </c>
      <c r="J165" s="44" t="s">
        <v>1644</v>
      </c>
      <c r="K165" s="44" t="s">
        <v>1644</v>
      </c>
      <c r="L165" s="44" t="s">
        <v>1644</v>
      </c>
      <c r="M165" s="44" t="s">
        <v>1643</v>
      </c>
      <c r="N165" s="44" t="s">
        <v>1643</v>
      </c>
      <c r="O165" s="44" t="s">
        <v>1643</v>
      </c>
      <c r="P165" s="44" t="s">
        <v>1643</v>
      </c>
      <c r="Q165" s="44" t="s">
        <v>1644</v>
      </c>
      <c r="R165" s="44" t="s">
        <v>1644</v>
      </c>
      <c r="S165" s="44" t="s">
        <v>1644</v>
      </c>
    </row>
    <row r="166" spans="1:19" ht="15.75" thickBot="1" x14ac:dyDescent="0.3">
      <c r="A166" s="44" t="s">
        <v>937</v>
      </c>
      <c r="B166" s="48" t="s">
        <v>938</v>
      </c>
      <c r="C166" s="44" t="s">
        <v>808</v>
      </c>
      <c r="D166" s="44" t="s">
        <v>3402</v>
      </c>
      <c r="E166" s="197">
        <v>60458</v>
      </c>
      <c r="F166" s="197">
        <v>60458</v>
      </c>
      <c r="G166" s="47">
        <v>40</v>
      </c>
      <c r="H166" s="44" t="s">
        <v>1643</v>
      </c>
      <c r="I166" s="44" t="s">
        <v>1643</v>
      </c>
      <c r="J166" s="44" t="s">
        <v>1643</v>
      </c>
      <c r="K166" s="44" t="s">
        <v>1643</v>
      </c>
      <c r="L166" s="44" t="s">
        <v>1644</v>
      </c>
      <c r="M166" s="44" t="s">
        <v>1643</v>
      </c>
      <c r="N166" s="44" t="s">
        <v>1643</v>
      </c>
      <c r="O166" s="44" t="s">
        <v>1644</v>
      </c>
      <c r="P166" s="44" t="s">
        <v>1643</v>
      </c>
      <c r="Q166" s="44" t="s">
        <v>1643</v>
      </c>
      <c r="R166" s="44" t="s">
        <v>1643</v>
      </c>
      <c r="S166" s="44" t="s">
        <v>1644</v>
      </c>
    </row>
    <row r="167" spans="1:19" ht="15.75" thickBot="1" x14ac:dyDescent="0.3">
      <c r="A167" s="44" t="s">
        <v>943</v>
      </c>
      <c r="B167" s="48" t="s">
        <v>944</v>
      </c>
      <c r="C167" s="44" t="s">
        <v>808</v>
      </c>
      <c r="D167" s="44" t="s">
        <v>3402</v>
      </c>
      <c r="E167" s="197">
        <v>60000</v>
      </c>
      <c r="F167" s="197">
        <v>78000</v>
      </c>
      <c r="G167" s="47">
        <v>38</v>
      </c>
      <c r="H167" s="44" t="s">
        <v>1643</v>
      </c>
      <c r="I167" s="44" t="s">
        <v>1643</v>
      </c>
      <c r="J167" s="44" t="s">
        <v>1643</v>
      </c>
      <c r="K167" s="44" t="s">
        <v>1643</v>
      </c>
      <c r="L167" s="44" t="s">
        <v>1644</v>
      </c>
      <c r="M167" s="44" t="s">
        <v>1643</v>
      </c>
      <c r="N167" s="44" t="s">
        <v>1643</v>
      </c>
      <c r="O167" s="44" t="s">
        <v>1643</v>
      </c>
      <c r="P167" s="44" t="s">
        <v>1643</v>
      </c>
      <c r="Q167" s="44" t="s">
        <v>1643</v>
      </c>
      <c r="R167" s="44" t="s">
        <v>1643</v>
      </c>
      <c r="S167" s="44" t="s">
        <v>1644</v>
      </c>
    </row>
    <row r="168" spans="1:19" ht="15.75" thickBot="1" x14ac:dyDescent="0.3">
      <c r="A168" s="44" t="s">
        <v>979</v>
      </c>
      <c r="B168" s="48" t="s">
        <v>980</v>
      </c>
      <c r="C168" s="44" t="s">
        <v>808</v>
      </c>
      <c r="D168" s="44" t="s">
        <v>1735</v>
      </c>
      <c r="E168" s="197">
        <v>44720</v>
      </c>
      <c r="F168" s="197">
        <v>48000</v>
      </c>
      <c r="G168" s="47">
        <v>40</v>
      </c>
      <c r="H168" s="44" t="s">
        <v>1643</v>
      </c>
      <c r="I168" s="44" t="s">
        <v>1644</v>
      </c>
      <c r="J168" s="44" t="s">
        <v>1644</v>
      </c>
      <c r="K168" s="44" t="s">
        <v>1644</v>
      </c>
      <c r="L168" s="44" t="s">
        <v>1643</v>
      </c>
      <c r="M168" s="44" t="s">
        <v>1643</v>
      </c>
      <c r="N168" s="44" t="s">
        <v>1643</v>
      </c>
      <c r="O168" s="44" t="s">
        <v>1643</v>
      </c>
      <c r="P168" s="44" t="s">
        <v>1643</v>
      </c>
      <c r="Q168" s="44" t="s">
        <v>1644</v>
      </c>
      <c r="R168" s="44" t="s">
        <v>1644</v>
      </c>
      <c r="S168" s="44" t="s">
        <v>1644</v>
      </c>
    </row>
    <row r="169" spans="1:19" ht="15.75" thickBot="1" x14ac:dyDescent="0.3">
      <c r="A169" s="44" t="s">
        <v>1003</v>
      </c>
      <c r="B169" s="48" t="s">
        <v>1004</v>
      </c>
      <c r="C169" s="44" t="s">
        <v>808</v>
      </c>
      <c r="D169" s="44" t="s">
        <v>1735</v>
      </c>
      <c r="E169" s="197">
        <v>29000</v>
      </c>
      <c r="F169" s="197">
        <v>35000</v>
      </c>
      <c r="G169" s="47">
        <v>36</v>
      </c>
      <c r="H169" s="44" t="s">
        <v>1644</v>
      </c>
      <c r="I169" s="44" t="s">
        <v>1644</v>
      </c>
      <c r="J169" s="44" t="s">
        <v>1644</v>
      </c>
      <c r="K169" s="44" t="s">
        <v>1644</v>
      </c>
      <c r="L169" s="44" t="s">
        <v>1643</v>
      </c>
      <c r="M169" s="44" t="s">
        <v>1644</v>
      </c>
      <c r="N169" s="44" t="s">
        <v>1643</v>
      </c>
      <c r="O169" s="44" t="s">
        <v>1644</v>
      </c>
      <c r="P169" s="44" t="s">
        <v>1644</v>
      </c>
      <c r="Q169" s="44" t="s">
        <v>1644</v>
      </c>
      <c r="R169" s="44" t="s">
        <v>1644</v>
      </c>
      <c r="S169" s="44" t="s">
        <v>1644</v>
      </c>
    </row>
    <row r="170" spans="1:19" ht="15.75" thickBot="1" x14ac:dyDescent="0.3">
      <c r="A170" s="44" t="s">
        <v>1015</v>
      </c>
      <c r="B170" s="48" t="s">
        <v>1016</v>
      </c>
      <c r="C170" s="44" t="s">
        <v>808</v>
      </c>
      <c r="D170" s="44" t="s">
        <v>3403</v>
      </c>
      <c r="E170" s="197">
        <v>2000</v>
      </c>
      <c r="F170" s="197">
        <v>2000</v>
      </c>
      <c r="G170" s="47">
        <v>40</v>
      </c>
      <c r="H170" s="44" t="s">
        <v>1644</v>
      </c>
      <c r="I170" s="44" t="s">
        <v>1644</v>
      </c>
      <c r="J170" s="44" t="s">
        <v>1644</v>
      </c>
      <c r="K170" s="44" t="s">
        <v>1644</v>
      </c>
      <c r="L170" s="44" t="s">
        <v>1644</v>
      </c>
      <c r="M170" s="44" t="s">
        <v>1643</v>
      </c>
      <c r="N170" s="44" t="s">
        <v>1643</v>
      </c>
      <c r="O170" s="44" t="s">
        <v>1644</v>
      </c>
      <c r="P170" s="44" t="s">
        <v>1643</v>
      </c>
      <c r="Q170" s="44" t="s">
        <v>1644</v>
      </c>
      <c r="R170" s="44" t="s">
        <v>1644</v>
      </c>
      <c r="S170" s="44" t="s">
        <v>1644</v>
      </c>
    </row>
    <row r="171" spans="1:19" ht="15.75" thickBot="1" x14ac:dyDescent="0.3">
      <c r="A171" s="44" t="s">
        <v>1029</v>
      </c>
      <c r="B171" s="48" t="s">
        <v>1030</v>
      </c>
      <c r="C171" s="44" t="s">
        <v>808</v>
      </c>
      <c r="D171" s="44" t="s">
        <v>3402</v>
      </c>
      <c r="E171" s="197">
        <v>49810</v>
      </c>
      <c r="F171" s="197">
        <v>50500</v>
      </c>
      <c r="G171" s="47">
        <v>40</v>
      </c>
      <c r="H171" s="44" t="s">
        <v>1643</v>
      </c>
      <c r="I171" s="44" t="s">
        <v>1643</v>
      </c>
      <c r="J171" s="44" t="s">
        <v>1643</v>
      </c>
      <c r="K171" s="44" t="s">
        <v>1643</v>
      </c>
      <c r="L171" s="44" t="s">
        <v>850</v>
      </c>
      <c r="M171" s="44" t="s">
        <v>1643</v>
      </c>
      <c r="N171" s="44" t="s">
        <v>1643</v>
      </c>
      <c r="O171" s="44" t="s">
        <v>1643</v>
      </c>
      <c r="P171" s="44" t="s">
        <v>1643</v>
      </c>
      <c r="Q171" s="44" t="s">
        <v>1644</v>
      </c>
      <c r="R171" s="44" t="s">
        <v>1644</v>
      </c>
      <c r="S171" s="44" t="s">
        <v>1644</v>
      </c>
    </row>
    <row r="172" spans="1:19" ht="15.75" thickBot="1" x14ac:dyDescent="0.3">
      <c r="A172" s="44" t="s">
        <v>1033</v>
      </c>
      <c r="B172" s="48" t="s">
        <v>1034</v>
      </c>
      <c r="C172" s="44" t="s">
        <v>808</v>
      </c>
      <c r="D172" s="44" t="s">
        <v>3402</v>
      </c>
      <c r="E172" s="197">
        <v>44928</v>
      </c>
      <c r="F172" s="197">
        <v>46000</v>
      </c>
      <c r="G172" s="47">
        <v>29</v>
      </c>
      <c r="H172" s="44" t="s">
        <v>1644</v>
      </c>
      <c r="I172" s="44" t="s">
        <v>1644</v>
      </c>
      <c r="J172" s="44" t="s">
        <v>1644</v>
      </c>
      <c r="K172" s="44" t="s">
        <v>1644</v>
      </c>
      <c r="L172" s="44" t="s">
        <v>1644</v>
      </c>
      <c r="M172" s="44" t="s">
        <v>1643</v>
      </c>
      <c r="N172" s="44" t="s">
        <v>1643</v>
      </c>
      <c r="O172" s="44" t="s">
        <v>1644</v>
      </c>
      <c r="P172" s="44" t="s">
        <v>1643</v>
      </c>
      <c r="Q172" s="44" t="s">
        <v>1644</v>
      </c>
      <c r="R172" s="44" t="s">
        <v>1644</v>
      </c>
      <c r="S172" s="44" t="s">
        <v>1644</v>
      </c>
    </row>
    <row r="173" spans="1:19" ht="15.75" thickBot="1" x14ac:dyDescent="0.3">
      <c r="A173" s="44" t="s">
        <v>1045</v>
      </c>
      <c r="B173" s="48" t="s">
        <v>1046</v>
      </c>
      <c r="C173" s="44" t="s">
        <v>808</v>
      </c>
      <c r="D173" s="44" t="s">
        <v>3404</v>
      </c>
      <c r="E173" s="197">
        <v>30000</v>
      </c>
      <c r="F173" s="197">
        <v>35000</v>
      </c>
      <c r="G173" s="47">
        <v>38</v>
      </c>
      <c r="H173" s="44" t="s">
        <v>1644</v>
      </c>
      <c r="I173" s="44" t="s">
        <v>1644</v>
      </c>
      <c r="J173" s="44" t="s">
        <v>1644</v>
      </c>
      <c r="K173" s="44" t="s">
        <v>1644</v>
      </c>
      <c r="L173" s="44" t="s">
        <v>1643</v>
      </c>
      <c r="M173" s="44" t="s">
        <v>1644</v>
      </c>
      <c r="N173" s="44" t="s">
        <v>1643</v>
      </c>
      <c r="O173" s="44" t="s">
        <v>1643</v>
      </c>
      <c r="P173" s="44" t="s">
        <v>1644</v>
      </c>
      <c r="Q173" s="44" t="s">
        <v>1644</v>
      </c>
      <c r="R173" s="44" t="s">
        <v>1644</v>
      </c>
      <c r="S173" s="44" t="s">
        <v>1644</v>
      </c>
    </row>
    <row r="174" spans="1:19" ht="15.75" thickBot="1" x14ac:dyDescent="0.3">
      <c r="A174" s="44" t="s">
        <v>1069</v>
      </c>
      <c r="B174" s="48" t="s">
        <v>1070</v>
      </c>
      <c r="C174" s="44" t="s">
        <v>808</v>
      </c>
      <c r="D174" s="44" t="s">
        <v>1735</v>
      </c>
      <c r="E174" s="197">
        <v>52000</v>
      </c>
      <c r="F174" s="197">
        <v>62000</v>
      </c>
      <c r="G174" s="47">
        <v>40</v>
      </c>
      <c r="H174" s="44" t="s">
        <v>1644</v>
      </c>
      <c r="I174" s="44" t="s">
        <v>1644</v>
      </c>
      <c r="J174" s="44" t="s">
        <v>1644</v>
      </c>
      <c r="K174" s="44" t="s">
        <v>1644</v>
      </c>
      <c r="L174" s="44" t="s">
        <v>1644</v>
      </c>
      <c r="M174" s="44" t="s">
        <v>1643</v>
      </c>
      <c r="N174" s="44" t="s">
        <v>1643</v>
      </c>
      <c r="O174" s="44" t="s">
        <v>1643</v>
      </c>
      <c r="P174" s="44" t="s">
        <v>1643</v>
      </c>
      <c r="Q174" s="44" t="s">
        <v>1643</v>
      </c>
      <c r="R174" s="44" t="s">
        <v>1644</v>
      </c>
      <c r="S174" s="44" t="s">
        <v>1644</v>
      </c>
    </row>
    <row r="175" spans="1:19" ht="15.75" thickBot="1" x14ac:dyDescent="0.3">
      <c r="A175" s="44" t="s">
        <v>1081</v>
      </c>
      <c r="B175" s="48" t="s">
        <v>1082</v>
      </c>
      <c r="C175" s="44" t="s">
        <v>808</v>
      </c>
      <c r="D175" s="44" t="s">
        <v>3402</v>
      </c>
      <c r="E175" s="197">
        <v>37500</v>
      </c>
      <c r="F175" s="197">
        <v>37500</v>
      </c>
      <c r="G175" s="47">
        <v>32</v>
      </c>
      <c r="H175" s="44" t="s">
        <v>1644</v>
      </c>
      <c r="I175" s="44" t="s">
        <v>1644</v>
      </c>
      <c r="J175" s="44" t="s">
        <v>1644</v>
      </c>
      <c r="K175" s="44" t="s">
        <v>1644</v>
      </c>
      <c r="L175" s="44" t="s">
        <v>1644</v>
      </c>
      <c r="M175" s="44" t="s">
        <v>1644</v>
      </c>
      <c r="N175" s="44" t="s">
        <v>1643</v>
      </c>
      <c r="O175" s="44" t="s">
        <v>1644</v>
      </c>
      <c r="P175" s="44" t="s">
        <v>1643</v>
      </c>
      <c r="Q175" s="44" t="s">
        <v>1644</v>
      </c>
      <c r="R175" s="44" t="s">
        <v>1644</v>
      </c>
      <c r="S175" s="44" t="s">
        <v>1644</v>
      </c>
    </row>
    <row r="176" spans="1:19" ht="15.75" thickBot="1" x14ac:dyDescent="0.3">
      <c r="A176" s="44" t="s">
        <v>1087</v>
      </c>
      <c r="B176" s="48" t="s">
        <v>1088</v>
      </c>
      <c r="C176" s="44" t="s">
        <v>808</v>
      </c>
      <c r="D176" s="44" t="s">
        <v>3402</v>
      </c>
      <c r="E176" s="197">
        <v>51314</v>
      </c>
      <c r="F176" s="197">
        <v>69139</v>
      </c>
      <c r="G176" s="47">
        <v>40</v>
      </c>
      <c r="H176" s="44" t="s">
        <v>1643</v>
      </c>
      <c r="I176" s="44" t="s">
        <v>1643</v>
      </c>
      <c r="J176" s="44" t="s">
        <v>1643</v>
      </c>
      <c r="K176" s="44" t="s">
        <v>1643</v>
      </c>
      <c r="L176" s="44" t="s">
        <v>1644</v>
      </c>
      <c r="M176" s="44" t="s">
        <v>1643</v>
      </c>
      <c r="N176" s="44" t="s">
        <v>1643</v>
      </c>
      <c r="O176" s="44" t="s">
        <v>1643</v>
      </c>
      <c r="P176" s="44" t="s">
        <v>1643</v>
      </c>
      <c r="Q176" s="44" t="s">
        <v>1643</v>
      </c>
      <c r="R176" s="44" t="s">
        <v>1643</v>
      </c>
      <c r="S176" s="44" t="s">
        <v>1644</v>
      </c>
    </row>
    <row r="177" spans="1:19" ht="15.75" thickBot="1" x14ac:dyDescent="0.3">
      <c r="A177" s="44" t="s">
        <v>1095</v>
      </c>
      <c r="B177" s="48" t="s">
        <v>1096</v>
      </c>
      <c r="C177" s="44" t="s">
        <v>808</v>
      </c>
      <c r="D177" s="44" t="s">
        <v>1735</v>
      </c>
      <c r="E177" s="197">
        <v>52000</v>
      </c>
      <c r="F177" s="197">
        <v>90500</v>
      </c>
      <c r="G177" s="47">
        <v>40</v>
      </c>
      <c r="H177" s="44" t="s">
        <v>1643</v>
      </c>
      <c r="I177" s="44" t="s">
        <v>1643</v>
      </c>
      <c r="J177" s="44" t="s">
        <v>1643</v>
      </c>
      <c r="K177" s="44" t="s">
        <v>1643</v>
      </c>
      <c r="L177" s="44" t="s">
        <v>1643</v>
      </c>
      <c r="M177" s="44" t="s">
        <v>1643</v>
      </c>
      <c r="N177" s="44" t="s">
        <v>1644</v>
      </c>
      <c r="O177" s="44" t="s">
        <v>1643</v>
      </c>
      <c r="P177" s="44" t="s">
        <v>1644</v>
      </c>
      <c r="Q177" s="44" t="s">
        <v>1644</v>
      </c>
      <c r="R177" s="44" t="s">
        <v>1643</v>
      </c>
      <c r="S177" s="44" t="s">
        <v>1644</v>
      </c>
    </row>
    <row r="178" spans="1:19" ht="15.75" thickBot="1" x14ac:dyDescent="0.3">
      <c r="A178" s="44" t="s">
        <v>1109</v>
      </c>
      <c r="B178" s="48" t="s">
        <v>1110</v>
      </c>
      <c r="C178" s="44" t="s">
        <v>808</v>
      </c>
      <c r="D178" s="44" t="s">
        <v>3403</v>
      </c>
      <c r="E178" s="197">
        <v>45000</v>
      </c>
      <c r="F178" s="197">
        <v>62200</v>
      </c>
      <c r="G178" s="47">
        <v>42</v>
      </c>
      <c r="H178" s="44" t="s">
        <v>1644</v>
      </c>
      <c r="I178" s="44" t="s">
        <v>1644</v>
      </c>
      <c r="J178" s="44" t="s">
        <v>1644</v>
      </c>
      <c r="K178" s="44" t="s">
        <v>1644</v>
      </c>
      <c r="L178" s="44" t="s">
        <v>1644</v>
      </c>
      <c r="M178" s="44" t="s">
        <v>1643</v>
      </c>
      <c r="N178" s="44" t="s">
        <v>1643</v>
      </c>
      <c r="O178" s="44" t="s">
        <v>1644</v>
      </c>
      <c r="P178" s="44" t="s">
        <v>1643</v>
      </c>
      <c r="Q178" s="44" t="s">
        <v>1644</v>
      </c>
      <c r="R178" s="44" t="s">
        <v>1644</v>
      </c>
      <c r="S178" s="44" t="s">
        <v>1644</v>
      </c>
    </row>
    <row r="179" spans="1:19" ht="15.75" thickBot="1" x14ac:dyDescent="0.3">
      <c r="A179" s="44" t="s">
        <v>1127</v>
      </c>
      <c r="B179" s="48" t="s">
        <v>1128</v>
      </c>
      <c r="C179" s="44" t="s">
        <v>808</v>
      </c>
      <c r="D179" s="44" t="s">
        <v>1735</v>
      </c>
      <c r="E179" s="197">
        <v>31000</v>
      </c>
      <c r="F179" s="197">
        <v>34000</v>
      </c>
      <c r="G179" s="47">
        <v>30</v>
      </c>
      <c r="H179" s="44" t="s">
        <v>1644</v>
      </c>
      <c r="I179" s="44" t="s">
        <v>1644</v>
      </c>
      <c r="J179" s="44" t="s">
        <v>1644</v>
      </c>
      <c r="K179" s="44" t="s">
        <v>1644</v>
      </c>
      <c r="L179" s="44" t="s">
        <v>1644</v>
      </c>
      <c r="M179" s="44" t="s">
        <v>1643</v>
      </c>
      <c r="N179" s="44" t="s">
        <v>1643</v>
      </c>
      <c r="O179" s="44" t="s">
        <v>1643</v>
      </c>
      <c r="P179" s="44" t="s">
        <v>1643</v>
      </c>
      <c r="Q179" s="44" t="s">
        <v>1643</v>
      </c>
      <c r="R179" s="44" t="s">
        <v>1644</v>
      </c>
      <c r="S179" s="44" t="s">
        <v>1643</v>
      </c>
    </row>
    <row r="180" spans="1:19" ht="15.75" thickBot="1" x14ac:dyDescent="0.3">
      <c r="A180" s="44" t="s">
        <v>1135</v>
      </c>
      <c r="B180" s="48" t="s">
        <v>1136</v>
      </c>
      <c r="C180" s="44" t="s">
        <v>808</v>
      </c>
      <c r="D180" s="44" t="s">
        <v>3403</v>
      </c>
      <c r="E180" s="197">
        <v>38000</v>
      </c>
      <c r="F180" s="197">
        <v>45000</v>
      </c>
      <c r="G180" s="47">
        <v>40</v>
      </c>
      <c r="H180" s="44" t="s">
        <v>1643</v>
      </c>
      <c r="I180" s="44" t="s">
        <v>1643</v>
      </c>
      <c r="J180" s="44" t="s">
        <v>1643</v>
      </c>
      <c r="K180" s="44" t="s">
        <v>1643</v>
      </c>
      <c r="L180" s="44" t="s">
        <v>1643</v>
      </c>
      <c r="M180" s="44" t="s">
        <v>1643</v>
      </c>
      <c r="N180" s="44" t="s">
        <v>1643</v>
      </c>
      <c r="O180" s="44" t="s">
        <v>1643</v>
      </c>
      <c r="P180" s="44" t="s">
        <v>1643</v>
      </c>
      <c r="Q180" s="44" t="s">
        <v>1644</v>
      </c>
      <c r="R180" s="44" t="s">
        <v>1643</v>
      </c>
      <c r="S180" s="44" t="s">
        <v>1644</v>
      </c>
    </row>
    <row r="181" spans="1:19" ht="15.75" thickBot="1" x14ac:dyDescent="0.3">
      <c r="A181" s="44" t="s">
        <v>1143</v>
      </c>
      <c r="B181" s="48" t="s">
        <v>1144</v>
      </c>
      <c r="C181" s="44" t="s">
        <v>808</v>
      </c>
      <c r="D181" s="44" t="s">
        <v>3402</v>
      </c>
      <c r="E181" s="197">
        <v>53000</v>
      </c>
      <c r="F181" s="197">
        <v>65000</v>
      </c>
      <c r="G181" s="47">
        <v>40</v>
      </c>
      <c r="H181" s="44" t="s">
        <v>1643</v>
      </c>
      <c r="I181" s="44" t="s">
        <v>1643</v>
      </c>
      <c r="J181" s="44" t="s">
        <v>1643</v>
      </c>
      <c r="K181" s="44" t="s">
        <v>1643</v>
      </c>
      <c r="L181" s="44" t="s">
        <v>1643</v>
      </c>
      <c r="M181" s="44" t="s">
        <v>1643</v>
      </c>
      <c r="N181" s="44" t="s">
        <v>1643</v>
      </c>
      <c r="O181" s="44" t="s">
        <v>1643</v>
      </c>
      <c r="P181" s="44" t="s">
        <v>1643</v>
      </c>
      <c r="Q181" s="44" t="s">
        <v>1643</v>
      </c>
      <c r="R181" s="44" t="s">
        <v>1643</v>
      </c>
      <c r="S181" s="44" t="s">
        <v>1644</v>
      </c>
    </row>
    <row r="182" spans="1:19" ht="15.75" thickBot="1" x14ac:dyDescent="0.3">
      <c r="A182" s="44" t="s">
        <v>1163</v>
      </c>
      <c r="B182" s="48" t="s">
        <v>1164</v>
      </c>
      <c r="C182" s="44" t="s">
        <v>808</v>
      </c>
      <c r="D182" s="44" t="s">
        <v>3402</v>
      </c>
      <c r="E182" s="197">
        <v>60175</v>
      </c>
      <c r="F182" s="197">
        <v>78225</v>
      </c>
      <c r="G182" s="47">
        <v>40</v>
      </c>
      <c r="H182" s="44" t="s">
        <v>1643</v>
      </c>
      <c r="I182" s="44" t="s">
        <v>1643</v>
      </c>
      <c r="J182" s="44" t="s">
        <v>1643</v>
      </c>
      <c r="K182" s="44" t="s">
        <v>1643</v>
      </c>
      <c r="L182" s="44" t="s">
        <v>1643</v>
      </c>
      <c r="M182" s="44" t="s">
        <v>1643</v>
      </c>
      <c r="N182" s="44" t="s">
        <v>1643</v>
      </c>
      <c r="O182" s="44" t="s">
        <v>1643</v>
      </c>
      <c r="P182" s="44" t="s">
        <v>1643</v>
      </c>
      <c r="Q182" s="44" t="s">
        <v>1644</v>
      </c>
      <c r="R182" s="44" t="s">
        <v>1643</v>
      </c>
      <c r="S182" s="44" t="s">
        <v>1644</v>
      </c>
    </row>
    <row r="183" spans="1:19" ht="15.75" thickBot="1" x14ac:dyDescent="0.3">
      <c r="A183" s="44" t="s">
        <v>1193</v>
      </c>
      <c r="B183" s="48" t="s">
        <v>1194</v>
      </c>
      <c r="C183" s="44" t="s">
        <v>808</v>
      </c>
      <c r="D183" s="44" t="s">
        <v>3404</v>
      </c>
      <c r="E183" s="197">
        <v>35838</v>
      </c>
      <c r="F183" s="197">
        <v>35838</v>
      </c>
      <c r="G183" s="47">
        <v>40</v>
      </c>
      <c r="H183" s="44" t="s">
        <v>1643</v>
      </c>
      <c r="I183" s="44" t="s">
        <v>1644</v>
      </c>
      <c r="J183" s="44" t="s">
        <v>1644</v>
      </c>
      <c r="K183" s="44" t="s">
        <v>1643</v>
      </c>
      <c r="L183" s="44" t="s">
        <v>1643</v>
      </c>
      <c r="M183" s="44" t="s">
        <v>1643</v>
      </c>
      <c r="N183" s="44" t="s">
        <v>1643</v>
      </c>
      <c r="O183" s="44" t="s">
        <v>1643</v>
      </c>
      <c r="P183" s="44" t="s">
        <v>1643</v>
      </c>
      <c r="Q183" s="44" t="s">
        <v>1643</v>
      </c>
      <c r="R183" s="44" t="s">
        <v>1643</v>
      </c>
      <c r="S183" s="44" t="s">
        <v>1643</v>
      </c>
    </row>
    <row r="184" spans="1:19" ht="15.75" thickBot="1" x14ac:dyDescent="0.3">
      <c r="A184" s="44" t="s">
        <v>1199</v>
      </c>
      <c r="B184" s="48" t="s">
        <v>1200</v>
      </c>
      <c r="C184" s="44" t="s">
        <v>808</v>
      </c>
      <c r="D184" s="44" t="s">
        <v>1735</v>
      </c>
      <c r="E184" s="197">
        <v>13759</v>
      </c>
      <c r="F184" s="197">
        <v>15550</v>
      </c>
      <c r="G184" s="47">
        <v>18</v>
      </c>
      <c r="H184" s="44" t="s">
        <v>1644</v>
      </c>
      <c r="I184" s="44" t="s">
        <v>1644</v>
      </c>
      <c r="J184" s="44" t="s">
        <v>1644</v>
      </c>
      <c r="K184" s="44" t="s">
        <v>1643</v>
      </c>
      <c r="L184" s="44" t="s">
        <v>1643</v>
      </c>
      <c r="M184" s="44" t="s">
        <v>1643</v>
      </c>
      <c r="N184" s="44" t="s">
        <v>1644</v>
      </c>
      <c r="O184" s="44" t="s">
        <v>1643</v>
      </c>
      <c r="P184" s="44" t="s">
        <v>1643</v>
      </c>
      <c r="Q184" s="44" t="s">
        <v>1644</v>
      </c>
      <c r="R184" s="44" t="s">
        <v>1644</v>
      </c>
      <c r="S184" s="44" t="s">
        <v>1644</v>
      </c>
    </row>
    <row r="185" spans="1:19" ht="15.75" thickBot="1" x14ac:dyDescent="0.3">
      <c r="A185" s="44" t="s">
        <v>1217</v>
      </c>
      <c r="B185" s="48" t="s">
        <v>1218</v>
      </c>
      <c r="C185" s="44" t="s">
        <v>808</v>
      </c>
      <c r="D185" s="44" t="s">
        <v>3402</v>
      </c>
      <c r="E185" s="197">
        <v>38500</v>
      </c>
      <c r="F185" s="197">
        <v>51000</v>
      </c>
      <c r="G185" s="47">
        <v>40</v>
      </c>
      <c r="H185" s="44" t="s">
        <v>1643</v>
      </c>
      <c r="I185" s="44" t="s">
        <v>1644</v>
      </c>
      <c r="J185" s="44" t="s">
        <v>1644</v>
      </c>
      <c r="K185" s="44" t="s">
        <v>1644</v>
      </c>
      <c r="L185" s="44" t="s">
        <v>1644</v>
      </c>
      <c r="M185" s="44" t="s">
        <v>1643</v>
      </c>
      <c r="N185" s="44" t="s">
        <v>1643</v>
      </c>
      <c r="O185" s="44" t="s">
        <v>1644</v>
      </c>
      <c r="P185" s="44" t="s">
        <v>1643</v>
      </c>
      <c r="Q185" s="44" t="s">
        <v>1644</v>
      </c>
      <c r="R185" s="44" t="s">
        <v>1644</v>
      </c>
      <c r="S185" s="44" t="s">
        <v>1644</v>
      </c>
    </row>
    <row r="186" spans="1:19" ht="15.75" thickBot="1" x14ac:dyDescent="0.3">
      <c r="A186" s="44" t="s">
        <v>1229</v>
      </c>
      <c r="B186" s="48" t="s">
        <v>1230</v>
      </c>
      <c r="C186" s="44" t="s">
        <v>808</v>
      </c>
      <c r="D186" s="44" t="s">
        <v>3403</v>
      </c>
      <c r="E186" s="197">
        <v>37530</v>
      </c>
      <c r="F186" s="197">
        <v>54777</v>
      </c>
      <c r="G186" s="47">
        <v>40</v>
      </c>
      <c r="H186" s="44" t="s">
        <v>1643</v>
      </c>
      <c r="I186" s="44" t="s">
        <v>1643</v>
      </c>
      <c r="J186" s="44" t="s">
        <v>1643</v>
      </c>
      <c r="K186" s="44" t="s">
        <v>1643</v>
      </c>
      <c r="L186" s="44" t="s">
        <v>1644</v>
      </c>
      <c r="M186" s="44" t="s">
        <v>1643</v>
      </c>
      <c r="N186" s="44" t="s">
        <v>1643</v>
      </c>
      <c r="O186" s="44" t="s">
        <v>1643</v>
      </c>
      <c r="P186" s="44" t="s">
        <v>1643</v>
      </c>
      <c r="Q186" s="44" t="s">
        <v>1643</v>
      </c>
      <c r="R186" s="44" t="s">
        <v>1643</v>
      </c>
      <c r="S186" s="44" t="s">
        <v>1644</v>
      </c>
    </row>
    <row r="187" spans="1:19" ht="15.75" thickBot="1" x14ac:dyDescent="0.3">
      <c r="A187" s="44" t="s">
        <v>1251</v>
      </c>
      <c r="B187" s="48" t="s">
        <v>1252</v>
      </c>
      <c r="C187" s="44" t="s">
        <v>808</v>
      </c>
      <c r="D187" s="44" t="s">
        <v>1735</v>
      </c>
      <c r="E187" s="197">
        <v>40000</v>
      </c>
      <c r="F187" s="197">
        <v>53000</v>
      </c>
      <c r="G187" s="47">
        <v>38</v>
      </c>
      <c r="H187" s="44" t="s">
        <v>1643</v>
      </c>
      <c r="I187" s="44" t="s">
        <v>1643</v>
      </c>
      <c r="J187" s="44" t="s">
        <v>1643</v>
      </c>
      <c r="K187" s="44" t="s">
        <v>1644</v>
      </c>
      <c r="L187" s="44" t="s">
        <v>1644</v>
      </c>
      <c r="M187" s="44" t="s">
        <v>1643</v>
      </c>
      <c r="N187" s="44" t="s">
        <v>1643</v>
      </c>
      <c r="O187" s="44" t="s">
        <v>1644</v>
      </c>
      <c r="P187" s="44" t="s">
        <v>1644</v>
      </c>
      <c r="Q187" s="44" t="s">
        <v>1644</v>
      </c>
      <c r="R187" s="44" t="s">
        <v>1644</v>
      </c>
      <c r="S187" s="44" t="s">
        <v>1644</v>
      </c>
    </row>
    <row r="188" spans="1:19" ht="15.75" thickBot="1" x14ac:dyDescent="0.3">
      <c r="A188" s="44" t="s">
        <v>1257</v>
      </c>
      <c r="B188" s="48" t="s">
        <v>1258</v>
      </c>
      <c r="C188" s="44" t="s">
        <v>808</v>
      </c>
      <c r="D188" s="44" t="s">
        <v>1735</v>
      </c>
      <c r="E188" s="197">
        <v>25643</v>
      </c>
      <c r="F188" s="197">
        <v>55000</v>
      </c>
      <c r="G188" s="47">
        <v>40</v>
      </c>
      <c r="H188" s="44" t="s">
        <v>1643</v>
      </c>
      <c r="I188" s="44" t="s">
        <v>1643</v>
      </c>
      <c r="J188" s="44" t="s">
        <v>1643</v>
      </c>
      <c r="K188" s="44" t="s">
        <v>1643</v>
      </c>
      <c r="L188" s="44" t="s">
        <v>1643</v>
      </c>
      <c r="M188" s="44" t="s">
        <v>1643</v>
      </c>
      <c r="N188" s="44" t="s">
        <v>1643</v>
      </c>
      <c r="O188" s="44" t="s">
        <v>1643</v>
      </c>
      <c r="P188" s="44" t="s">
        <v>1643</v>
      </c>
      <c r="Q188" s="44" t="s">
        <v>1643</v>
      </c>
      <c r="R188" s="44" t="s">
        <v>1643</v>
      </c>
      <c r="S188" s="44" t="s">
        <v>1643</v>
      </c>
    </row>
    <row r="189" spans="1:19" ht="15.75" thickBot="1" x14ac:dyDescent="0.3">
      <c r="A189" s="44" t="s">
        <v>1277</v>
      </c>
      <c r="B189" s="48" t="s">
        <v>1278</v>
      </c>
      <c r="C189" s="44" t="s">
        <v>808</v>
      </c>
      <c r="D189" s="44" t="s">
        <v>3402</v>
      </c>
      <c r="E189" s="197">
        <v>36750</v>
      </c>
      <c r="F189" s="197">
        <v>36750</v>
      </c>
      <c r="G189" s="47">
        <v>35</v>
      </c>
      <c r="H189" s="44" t="s">
        <v>1644</v>
      </c>
      <c r="I189" s="44" t="s">
        <v>1644</v>
      </c>
      <c r="J189" s="44" t="s">
        <v>1644</v>
      </c>
      <c r="K189" s="44" t="s">
        <v>1644</v>
      </c>
      <c r="L189" s="44" t="s">
        <v>1644</v>
      </c>
      <c r="M189" s="44" t="s">
        <v>1643</v>
      </c>
      <c r="N189" s="44" t="s">
        <v>1644</v>
      </c>
      <c r="O189" s="44" t="s">
        <v>1644</v>
      </c>
      <c r="P189" s="44" t="s">
        <v>1644</v>
      </c>
      <c r="Q189" s="44" t="s">
        <v>1643</v>
      </c>
      <c r="R189" s="44" t="s">
        <v>1644</v>
      </c>
      <c r="S189" s="44" t="s">
        <v>1644</v>
      </c>
    </row>
    <row r="190" spans="1:19" ht="15.75" thickBot="1" x14ac:dyDescent="0.3">
      <c r="A190" s="44" t="s">
        <v>1289</v>
      </c>
      <c r="B190" s="48" t="s">
        <v>1290</v>
      </c>
      <c r="C190" s="44" t="s">
        <v>808</v>
      </c>
      <c r="D190" s="44" t="s">
        <v>1735</v>
      </c>
      <c r="E190" s="197">
        <v>36000</v>
      </c>
      <c r="F190" s="197">
        <v>36000</v>
      </c>
      <c r="G190" s="47">
        <v>40</v>
      </c>
      <c r="H190" s="44" t="s">
        <v>1643</v>
      </c>
      <c r="I190" s="44" t="s">
        <v>1644</v>
      </c>
      <c r="J190" s="44" t="s">
        <v>1644</v>
      </c>
      <c r="K190" s="44" t="s">
        <v>1644</v>
      </c>
      <c r="L190" s="44" t="s">
        <v>1644</v>
      </c>
      <c r="M190" s="44" t="s">
        <v>1643</v>
      </c>
      <c r="N190" s="44" t="s">
        <v>1643</v>
      </c>
      <c r="O190" s="44" t="s">
        <v>1644</v>
      </c>
      <c r="P190" s="44" t="s">
        <v>1643</v>
      </c>
      <c r="Q190" s="44" t="s">
        <v>1643</v>
      </c>
      <c r="R190" s="44" t="s">
        <v>1644</v>
      </c>
      <c r="S190" s="44" t="s">
        <v>1644</v>
      </c>
    </row>
    <row r="191" spans="1:19" ht="15.75" thickBot="1" x14ac:dyDescent="0.3">
      <c r="A191" s="44" t="s">
        <v>1295</v>
      </c>
      <c r="B191" s="48" t="s">
        <v>1296</v>
      </c>
      <c r="C191" s="44" t="s">
        <v>808</v>
      </c>
      <c r="D191" s="44" t="s">
        <v>3402</v>
      </c>
      <c r="E191" s="197">
        <v>37818</v>
      </c>
      <c r="F191" s="197">
        <v>51000</v>
      </c>
      <c r="G191" s="47">
        <v>40</v>
      </c>
      <c r="H191" s="44" t="s">
        <v>1644</v>
      </c>
      <c r="I191" s="44" t="s">
        <v>1644</v>
      </c>
      <c r="J191" s="44" t="s">
        <v>1644</v>
      </c>
      <c r="K191" s="44" t="s">
        <v>1643</v>
      </c>
      <c r="L191" s="44" t="s">
        <v>1643</v>
      </c>
      <c r="M191" s="44" t="s">
        <v>1643</v>
      </c>
      <c r="N191" s="44" t="s">
        <v>1643</v>
      </c>
      <c r="O191" s="44" t="s">
        <v>1643</v>
      </c>
      <c r="P191" s="44" t="s">
        <v>1643</v>
      </c>
      <c r="Q191" s="44" t="s">
        <v>1644</v>
      </c>
      <c r="R191" s="44" t="s">
        <v>1643</v>
      </c>
      <c r="S191" s="44" t="s">
        <v>1643</v>
      </c>
    </row>
    <row r="192" spans="1:19" ht="15.75" thickBot="1" x14ac:dyDescent="0.3">
      <c r="A192" s="44" t="s">
        <v>1305</v>
      </c>
      <c r="B192" s="48" t="s">
        <v>1306</v>
      </c>
      <c r="C192" s="44" t="s">
        <v>808</v>
      </c>
      <c r="D192" s="44" t="s">
        <v>1735</v>
      </c>
      <c r="E192" s="197">
        <v>41858</v>
      </c>
      <c r="F192" s="197">
        <v>41858</v>
      </c>
      <c r="G192" s="47">
        <v>40</v>
      </c>
      <c r="H192" s="44" t="s">
        <v>1643</v>
      </c>
      <c r="I192" s="44" t="s">
        <v>1643</v>
      </c>
      <c r="J192" s="44" t="s">
        <v>1643</v>
      </c>
      <c r="K192" s="44" t="s">
        <v>1643</v>
      </c>
      <c r="L192" s="44" t="s">
        <v>1643</v>
      </c>
      <c r="M192" s="44" t="s">
        <v>1643</v>
      </c>
      <c r="N192" s="44" t="s">
        <v>1643</v>
      </c>
      <c r="O192" s="44" t="s">
        <v>1643</v>
      </c>
      <c r="P192" s="44" t="s">
        <v>1643</v>
      </c>
      <c r="Q192" s="44" t="s">
        <v>1643</v>
      </c>
      <c r="R192" s="44" t="s">
        <v>1643</v>
      </c>
      <c r="S192" s="44" t="s">
        <v>1644</v>
      </c>
    </row>
    <row r="193" spans="1:19" ht="15.75" thickBot="1" x14ac:dyDescent="0.3">
      <c r="A193" s="44" t="s">
        <v>1309</v>
      </c>
      <c r="B193" s="48" t="s">
        <v>1310</v>
      </c>
      <c r="C193" s="44" t="s">
        <v>808</v>
      </c>
      <c r="D193" s="44" t="s">
        <v>3402</v>
      </c>
      <c r="E193" s="197">
        <v>27949</v>
      </c>
      <c r="F193" s="197">
        <v>31054</v>
      </c>
      <c r="G193" s="47">
        <v>37</v>
      </c>
      <c r="H193" s="44" t="s">
        <v>1643</v>
      </c>
      <c r="I193" s="44" t="s">
        <v>1643</v>
      </c>
      <c r="J193" s="44" t="s">
        <v>1644</v>
      </c>
      <c r="K193" s="44" t="s">
        <v>1644</v>
      </c>
      <c r="L193" s="44" t="s">
        <v>1644</v>
      </c>
      <c r="M193" s="44" t="s">
        <v>1643</v>
      </c>
      <c r="N193" s="44" t="s">
        <v>1643</v>
      </c>
      <c r="O193" s="44" t="s">
        <v>1644</v>
      </c>
      <c r="P193" s="44" t="s">
        <v>1643</v>
      </c>
      <c r="Q193" s="44" t="s">
        <v>1644</v>
      </c>
      <c r="R193" s="44" t="s">
        <v>1644</v>
      </c>
      <c r="S193" s="44" t="s">
        <v>1644</v>
      </c>
    </row>
    <row r="194" spans="1:19" ht="15.75" thickBot="1" x14ac:dyDescent="0.3">
      <c r="A194" s="44" t="s">
        <v>1321</v>
      </c>
      <c r="B194" s="48" t="s">
        <v>1322</v>
      </c>
      <c r="C194" s="44" t="s">
        <v>808</v>
      </c>
      <c r="D194" s="44" t="s">
        <v>1735</v>
      </c>
      <c r="E194" s="197">
        <v>38500</v>
      </c>
      <c r="F194" s="197">
        <v>57000</v>
      </c>
      <c r="G194" s="47">
        <v>40</v>
      </c>
      <c r="H194" s="44" t="s">
        <v>1644</v>
      </c>
      <c r="I194" s="44" t="s">
        <v>1643</v>
      </c>
      <c r="J194" s="44" t="s">
        <v>1643</v>
      </c>
      <c r="K194" s="44" t="s">
        <v>1643</v>
      </c>
      <c r="L194" s="44" t="s">
        <v>1643</v>
      </c>
      <c r="M194" s="44" t="s">
        <v>1643</v>
      </c>
      <c r="N194" s="44" t="s">
        <v>1643</v>
      </c>
      <c r="O194" s="44" t="s">
        <v>1644</v>
      </c>
      <c r="P194" s="44" t="s">
        <v>1643</v>
      </c>
      <c r="Q194" s="44" t="s">
        <v>1644</v>
      </c>
      <c r="R194" s="44" t="s">
        <v>1643</v>
      </c>
      <c r="S194" s="44" t="s">
        <v>1644</v>
      </c>
    </row>
    <row r="195" spans="1:19" ht="15.75" thickBot="1" x14ac:dyDescent="0.3">
      <c r="A195" s="44" t="s">
        <v>1339</v>
      </c>
      <c r="B195" s="48" t="s">
        <v>1340</v>
      </c>
      <c r="C195" s="44" t="s">
        <v>808</v>
      </c>
      <c r="D195" s="44" t="s">
        <v>3402</v>
      </c>
      <c r="E195" s="197">
        <v>41200</v>
      </c>
      <c r="F195" s="197">
        <v>41200</v>
      </c>
      <c r="G195" s="47">
        <v>40</v>
      </c>
      <c r="H195" s="44" t="s">
        <v>1643</v>
      </c>
      <c r="I195" s="44" t="s">
        <v>1643</v>
      </c>
      <c r="J195" s="44" t="s">
        <v>1643</v>
      </c>
      <c r="K195" s="44" t="s">
        <v>1643</v>
      </c>
      <c r="L195" s="44" t="s">
        <v>1643</v>
      </c>
      <c r="M195" s="44" t="s">
        <v>1644</v>
      </c>
      <c r="N195" s="44" t="s">
        <v>1643</v>
      </c>
      <c r="O195" s="44" t="s">
        <v>1643</v>
      </c>
      <c r="P195" s="44" t="s">
        <v>1643</v>
      </c>
      <c r="Q195" s="44" t="s">
        <v>1644</v>
      </c>
      <c r="R195" s="44" t="s">
        <v>1643</v>
      </c>
      <c r="S195" s="44" t="s">
        <v>1644</v>
      </c>
    </row>
    <row r="196" spans="1:19" ht="15.75" thickBot="1" x14ac:dyDescent="0.3">
      <c r="A196" s="44" t="s">
        <v>1349</v>
      </c>
      <c r="B196" s="48" t="s">
        <v>1350</v>
      </c>
      <c r="C196" s="44" t="s">
        <v>808</v>
      </c>
      <c r="D196" s="44" t="s">
        <v>3402</v>
      </c>
      <c r="E196" s="197">
        <v>59987</v>
      </c>
      <c r="F196" s="197">
        <v>59987</v>
      </c>
      <c r="G196" s="47">
        <v>40</v>
      </c>
      <c r="H196" s="44" t="s">
        <v>1643</v>
      </c>
      <c r="I196" s="44" t="s">
        <v>1643</v>
      </c>
      <c r="J196" s="44" t="s">
        <v>1643</v>
      </c>
      <c r="K196" s="44" t="s">
        <v>1644</v>
      </c>
      <c r="L196" s="44" t="s">
        <v>1644</v>
      </c>
      <c r="M196" s="44" t="s">
        <v>1643</v>
      </c>
      <c r="N196" s="44" t="s">
        <v>1643</v>
      </c>
      <c r="O196" s="44" t="s">
        <v>1644</v>
      </c>
      <c r="P196" s="44" t="s">
        <v>1643</v>
      </c>
      <c r="Q196" s="44" t="s">
        <v>1644</v>
      </c>
      <c r="R196" s="44" t="s">
        <v>1644</v>
      </c>
      <c r="S196" s="44" t="s">
        <v>1644</v>
      </c>
    </row>
    <row r="197" spans="1:19" ht="15.75" thickBot="1" x14ac:dyDescent="0.3">
      <c r="A197" s="44" t="s">
        <v>1353</v>
      </c>
      <c r="B197" s="48" t="s">
        <v>1354</v>
      </c>
      <c r="C197" s="44" t="s">
        <v>808</v>
      </c>
      <c r="D197" s="44" t="s">
        <v>3403</v>
      </c>
      <c r="E197" s="197">
        <v>42000</v>
      </c>
      <c r="F197" s="197">
        <v>45000</v>
      </c>
      <c r="G197" s="47">
        <v>30</v>
      </c>
      <c r="H197" s="44" t="s">
        <v>1644</v>
      </c>
      <c r="I197" s="44" t="s">
        <v>1644</v>
      </c>
      <c r="J197" s="44" t="s">
        <v>1644</v>
      </c>
      <c r="K197" s="44" t="s">
        <v>1644</v>
      </c>
      <c r="L197" s="44" t="s">
        <v>1643</v>
      </c>
      <c r="M197" s="44" t="s">
        <v>1643</v>
      </c>
      <c r="N197" s="44" t="s">
        <v>1643</v>
      </c>
      <c r="O197" s="44" t="s">
        <v>1644</v>
      </c>
      <c r="P197" s="44" t="s">
        <v>1644</v>
      </c>
      <c r="Q197" s="44" t="s">
        <v>1644</v>
      </c>
      <c r="R197" s="44" t="s">
        <v>1644</v>
      </c>
      <c r="S197" s="44" t="s">
        <v>1644</v>
      </c>
    </row>
    <row r="198" spans="1:19" ht="15.75" thickBot="1" x14ac:dyDescent="0.3">
      <c r="A198" s="44" t="s">
        <v>1361</v>
      </c>
      <c r="B198" s="48" t="s">
        <v>1362</v>
      </c>
      <c r="C198" s="44" t="s">
        <v>808</v>
      </c>
      <c r="D198" s="44" t="s">
        <v>3402</v>
      </c>
      <c r="E198" s="197">
        <v>24500</v>
      </c>
      <c r="F198" s="197">
        <v>55000</v>
      </c>
      <c r="G198" s="47">
        <v>40</v>
      </c>
      <c r="H198" s="44" t="s">
        <v>1644</v>
      </c>
      <c r="I198" s="44" t="s">
        <v>1644</v>
      </c>
      <c r="J198" s="44" t="s">
        <v>1644</v>
      </c>
      <c r="K198" s="44" t="s">
        <v>1643</v>
      </c>
      <c r="L198" s="44" t="s">
        <v>1643</v>
      </c>
      <c r="M198" s="44" t="s">
        <v>1643</v>
      </c>
      <c r="N198" s="44" t="s">
        <v>1643</v>
      </c>
      <c r="O198" s="44" t="s">
        <v>1643</v>
      </c>
      <c r="P198" s="44" t="s">
        <v>1643</v>
      </c>
      <c r="Q198" s="44" t="s">
        <v>1643</v>
      </c>
      <c r="R198" s="44" t="s">
        <v>1643</v>
      </c>
      <c r="S198" s="44" t="s">
        <v>1644</v>
      </c>
    </row>
    <row r="199" spans="1:19" ht="15.75" thickBot="1" x14ac:dyDescent="0.3">
      <c r="A199" s="44" t="s">
        <v>1369</v>
      </c>
      <c r="B199" s="48" t="s">
        <v>1370</v>
      </c>
      <c r="C199" s="44" t="s">
        <v>808</v>
      </c>
      <c r="D199" s="44" t="s">
        <v>3402</v>
      </c>
      <c r="E199" s="197">
        <v>92785</v>
      </c>
      <c r="F199" s="197">
        <v>92785</v>
      </c>
      <c r="G199" s="47">
        <v>40</v>
      </c>
      <c r="H199" s="44" t="s">
        <v>1643</v>
      </c>
      <c r="I199" s="44" t="s">
        <v>1643</v>
      </c>
      <c r="J199" s="44" t="s">
        <v>1643</v>
      </c>
      <c r="K199" s="44" t="s">
        <v>1644</v>
      </c>
      <c r="L199" s="44" t="s">
        <v>1644</v>
      </c>
      <c r="M199" s="44" t="s">
        <v>1643</v>
      </c>
      <c r="N199" s="44" t="s">
        <v>1643</v>
      </c>
      <c r="O199" s="44" t="s">
        <v>1643</v>
      </c>
      <c r="P199" s="44" t="s">
        <v>1643</v>
      </c>
      <c r="Q199" s="44" t="s">
        <v>1644</v>
      </c>
      <c r="R199" s="44" t="s">
        <v>1644</v>
      </c>
      <c r="S199" s="44" t="s">
        <v>1644</v>
      </c>
    </row>
    <row r="200" spans="1:19" ht="15.75" thickBot="1" x14ac:dyDescent="0.3">
      <c r="A200" s="44" t="s">
        <v>1395</v>
      </c>
      <c r="B200" s="48" t="s">
        <v>1396</v>
      </c>
      <c r="C200" s="44" t="s">
        <v>808</v>
      </c>
      <c r="D200" s="44" t="s">
        <v>3402</v>
      </c>
      <c r="E200" s="197">
        <v>35000</v>
      </c>
      <c r="F200" s="197">
        <v>55000</v>
      </c>
      <c r="G200" s="47">
        <v>45</v>
      </c>
      <c r="H200" s="44" t="s">
        <v>1643</v>
      </c>
      <c r="I200" s="44" t="s">
        <v>1644</v>
      </c>
      <c r="J200" s="44" t="s">
        <v>1644</v>
      </c>
      <c r="K200" s="44" t="s">
        <v>1644</v>
      </c>
      <c r="L200" s="44" t="s">
        <v>1643</v>
      </c>
      <c r="M200" s="44" t="s">
        <v>1643</v>
      </c>
      <c r="N200" s="44" t="s">
        <v>1643</v>
      </c>
      <c r="O200" s="44" t="s">
        <v>1643</v>
      </c>
      <c r="P200" s="44" t="s">
        <v>1643</v>
      </c>
      <c r="Q200" s="44" t="s">
        <v>1644</v>
      </c>
      <c r="R200" s="44" t="s">
        <v>1644</v>
      </c>
      <c r="S200" s="44" t="s">
        <v>1644</v>
      </c>
    </row>
    <row r="201" spans="1:19" ht="15.75" thickBot="1" x14ac:dyDescent="0.3">
      <c r="A201" s="44" t="s">
        <v>1403</v>
      </c>
      <c r="B201" s="48" t="s">
        <v>1404</v>
      </c>
      <c r="C201" s="44" t="s">
        <v>808</v>
      </c>
      <c r="D201" s="44" t="s">
        <v>1735</v>
      </c>
      <c r="E201" s="198">
        <v>0</v>
      </c>
      <c r="F201" s="198">
        <v>0</v>
      </c>
      <c r="G201" s="44">
        <v>0</v>
      </c>
      <c r="H201" s="44" t="s">
        <v>1644</v>
      </c>
      <c r="I201" s="44" t="s">
        <v>1644</v>
      </c>
      <c r="J201" s="44" t="s">
        <v>1644</v>
      </c>
      <c r="K201" s="44" t="s">
        <v>1644</v>
      </c>
      <c r="L201" s="44" t="s">
        <v>1644</v>
      </c>
      <c r="M201" s="44" t="s">
        <v>1644</v>
      </c>
      <c r="N201" s="44" t="s">
        <v>1643</v>
      </c>
      <c r="O201" s="44" t="s">
        <v>1644</v>
      </c>
      <c r="P201" s="44" t="s">
        <v>1643</v>
      </c>
      <c r="Q201" s="44" t="s">
        <v>1644</v>
      </c>
      <c r="R201" s="44" t="s">
        <v>1644</v>
      </c>
      <c r="S201" s="44" t="s">
        <v>1644</v>
      </c>
    </row>
    <row r="202" spans="1:19" ht="15.75" thickBot="1" x14ac:dyDescent="0.3">
      <c r="A202" s="44" t="s">
        <v>1411</v>
      </c>
      <c r="B202" s="48" t="s">
        <v>1412</v>
      </c>
      <c r="C202" s="44" t="s">
        <v>808</v>
      </c>
      <c r="D202" s="44" t="s">
        <v>1735</v>
      </c>
      <c r="E202" s="197">
        <v>36000</v>
      </c>
      <c r="F202" s="197">
        <v>60000</v>
      </c>
      <c r="G202" s="47">
        <v>38</v>
      </c>
      <c r="H202" s="44" t="s">
        <v>1644</v>
      </c>
      <c r="I202" s="44" t="s">
        <v>1644</v>
      </c>
      <c r="J202" s="44" t="s">
        <v>1644</v>
      </c>
      <c r="K202" s="44" t="s">
        <v>1644</v>
      </c>
      <c r="L202" s="44" t="s">
        <v>1644</v>
      </c>
      <c r="M202" s="44" t="s">
        <v>1644</v>
      </c>
      <c r="N202" s="44" t="s">
        <v>1643</v>
      </c>
      <c r="O202" s="44" t="s">
        <v>1643</v>
      </c>
      <c r="P202" s="44" t="s">
        <v>1643</v>
      </c>
      <c r="Q202" s="44" t="s">
        <v>1643</v>
      </c>
      <c r="R202" s="44" t="s">
        <v>1644</v>
      </c>
      <c r="S202" s="44" t="s">
        <v>1644</v>
      </c>
    </row>
    <row r="203" spans="1:19" ht="15.75" thickBot="1" x14ac:dyDescent="0.3">
      <c r="A203" s="44" t="s">
        <v>1419</v>
      </c>
      <c r="B203" s="48" t="s">
        <v>1420</v>
      </c>
      <c r="C203" s="44" t="s">
        <v>808</v>
      </c>
      <c r="D203" s="44" t="s">
        <v>3402</v>
      </c>
      <c r="E203" s="197">
        <v>64854</v>
      </c>
      <c r="F203" s="197">
        <v>64854</v>
      </c>
      <c r="G203" s="47">
        <v>38</v>
      </c>
      <c r="H203" s="44" t="s">
        <v>1643</v>
      </c>
      <c r="I203" s="44" t="s">
        <v>1643</v>
      </c>
      <c r="J203" s="44" t="s">
        <v>1643</v>
      </c>
      <c r="K203" s="44" t="s">
        <v>1643</v>
      </c>
      <c r="L203" s="44" t="s">
        <v>1644</v>
      </c>
      <c r="M203" s="44" t="s">
        <v>1643</v>
      </c>
      <c r="N203" s="44" t="s">
        <v>1643</v>
      </c>
      <c r="O203" s="44" t="s">
        <v>1644</v>
      </c>
      <c r="P203" s="44" t="s">
        <v>1643</v>
      </c>
      <c r="Q203" s="44" t="s">
        <v>1643</v>
      </c>
      <c r="R203" s="44" t="s">
        <v>1644</v>
      </c>
      <c r="S203" s="44" t="s">
        <v>1643</v>
      </c>
    </row>
    <row r="204" spans="1:19" ht="15.75" thickBot="1" x14ac:dyDescent="0.3">
      <c r="A204" s="44" t="s">
        <v>1435</v>
      </c>
      <c r="B204" s="48" t="s">
        <v>1436</v>
      </c>
      <c r="C204" s="44" t="s">
        <v>808</v>
      </c>
      <c r="D204" s="44" t="s">
        <v>3402</v>
      </c>
      <c r="E204" s="197">
        <v>51500</v>
      </c>
      <c r="F204" s="197">
        <v>61500</v>
      </c>
      <c r="G204" s="47">
        <v>40</v>
      </c>
      <c r="H204" s="44" t="s">
        <v>1643</v>
      </c>
      <c r="I204" s="44" t="s">
        <v>1643</v>
      </c>
      <c r="J204" s="44" t="s">
        <v>1643</v>
      </c>
      <c r="K204" s="44" t="s">
        <v>1643</v>
      </c>
      <c r="L204" s="44" t="s">
        <v>1644</v>
      </c>
      <c r="M204" s="44" t="s">
        <v>1643</v>
      </c>
      <c r="N204" s="44" t="s">
        <v>1643</v>
      </c>
      <c r="O204" s="44" t="s">
        <v>1643</v>
      </c>
      <c r="P204" s="44" t="s">
        <v>1643</v>
      </c>
      <c r="Q204" s="44" t="s">
        <v>1644</v>
      </c>
      <c r="R204" s="44" t="s">
        <v>1643</v>
      </c>
      <c r="S204" s="44" t="s">
        <v>1644</v>
      </c>
    </row>
    <row r="205" spans="1:19" ht="15.75" thickBot="1" x14ac:dyDescent="0.3">
      <c r="A205" s="44" t="s">
        <v>1437</v>
      </c>
      <c r="B205" s="48" t="s">
        <v>1438</v>
      </c>
      <c r="C205" s="44" t="s">
        <v>808</v>
      </c>
      <c r="D205" s="44" t="s">
        <v>1735</v>
      </c>
      <c r="E205" s="197">
        <v>50733</v>
      </c>
      <c r="F205" s="197">
        <v>55262</v>
      </c>
      <c r="G205" s="47">
        <v>45</v>
      </c>
      <c r="H205" s="44" t="s">
        <v>1644</v>
      </c>
      <c r="I205" s="44" t="s">
        <v>1644</v>
      </c>
      <c r="J205" s="44" t="s">
        <v>1644</v>
      </c>
      <c r="K205" s="44" t="s">
        <v>1644</v>
      </c>
      <c r="L205" s="44" t="s">
        <v>1644</v>
      </c>
      <c r="M205" s="44" t="s">
        <v>1644</v>
      </c>
      <c r="N205" s="44" t="s">
        <v>1643</v>
      </c>
      <c r="O205" s="44" t="s">
        <v>1643</v>
      </c>
      <c r="P205" s="44" t="s">
        <v>1643</v>
      </c>
      <c r="Q205" s="44" t="s">
        <v>1644</v>
      </c>
      <c r="R205" s="44" t="s">
        <v>1644</v>
      </c>
      <c r="S205" s="44" t="s">
        <v>1644</v>
      </c>
    </row>
    <row r="206" spans="1:19" ht="15.75" thickBot="1" x14ac:dyDescent="0.3">
      <c r="A206" s="44" t="s">
        <v>1445</v>
      </c>
      <c r="B206" s="48" t="s">
        <v>1446</v>
      </c>
      <c r="C206" s="44" t="s">
        <v>808</v>
      </c>
      <c r="D206" s="44" t="s">
        <v>3404</v>
      </c>
      <c r="E206" s="197">
        <v>22955</v>
      </c>
      <c r="F206" s="197">
        <v>36559</v>
      </c>
      <c r="G206" s="47">
        <v>27</v>
      </c>
      <c r="H206" s="44" t="s">
        <v>1644</v>
      </c>
      <c r="I206" s="44" t="s">
        <v>1644</v>
      </c>
      <c r="J206" s="44" t="s">
        <v>1644</v>
      </c>
      <c r="K206" s="44" t="s">
        <v>1644</v>
      </c>
      <c r="L206" s="44" t="s">
        <v>1644</v>
      </c>
      <c r="M206" s="44" t="s">
        <v>1644</v>
      </c>
      <c r="N206" s="44" t="s">
        <v>1643</v>
      </c>
      <c r="O206" s="44" t="s">
        <v>1644</v>
      </c>
      <c r="P206" s="44" t="s">
        <v>1643</v>
      </c>
      <c r="Q206" s="44" t="s">
        <v>1644</v>
      </c>
      <c r="R206" s="44" t="s">
        <v>1644</v>
      </c>
      <c r="S206" s="44" t="s">
        <v>1644</v>
      </c>
    </row>
    <row r="207" spans="1:19" ht="15.75" thickBot="1" x14ac:dyDescent="0.3">
      <c r="A207" s="44" t="s">
        <v>1451</v>
      </c>
      <c r="B207" s="48" t="s">
        <v>1452</v>
      </c>
      <c r="C207" s="44" t="s">
        <v>808</v>
      </c>
      <c r="D207" s="44" t="s">
        <v>1735</v>
      </c>
      <c r="E207" s="197">
        <v>50000</v>
      </c>
      <c r="F207" s="197">
        <v>50000</v>
      </c>
      <c r="G207" s="47">
        <v>40</v>
      </c>
      <c r="H207" s="44" t="s">
        <v>1644</v>
      </c>
      <c r="I207" s="44" t="s">
        <v>1644</v>
      </c>
      <c r="J207" s="44" t="s">
        <v>1644</v>
      </c>
      <c r="K207" s="44" t="s">
        <v>1644</v>
      </c>
      <c r="L207" s="44" t="s">
        <v>1643</v>
      </c>
      <c r="M207" s="44" t="s">
        <v>1643</v>
      </c>
      <c r="N207" s="44" t="s">
        <v>1643</v>
      </c>
      <c r="O207" s="44" t="s">
        <v>1643</v>
      </c>
      <c r="P207" s="44" t="s">
        <v>1643</v>
      </c>
      <c r="Q207" s="44" t="s">
        <v>1644</v>
      </c>
      <c r="R207" s="44" t="s">
        <v>1644</v>
      </c>
      <c r="S207" s="44" t="s">
        <v>1644</v>
      </c>
    </row>
    <row r="208" spans="1:19" ht="15.75" thickBot="1" x14ac:dyDescent="0.3">
      <c r="A208" s="44" t="s">
        <v>1455</v>
      </c>
      <c r="B208" s="48" t="s">
        <v>1456</v>
      </c>
      <c r="C208" s="44" t="s">
        <v>808</v>
      </c>
      <c r="D208" s="44" t="s">
        <v>1735</v>
      </c>
      <c r="E208" s="197">
        <v>38000</v>
      </c>
      <c r="F208" s="197">
        <v>55000</v>
      </c>
      <c r="G208" s="47">
        <v>40</v>
      </c>
      <c r="H208" s="44" t="s">
        <v>1643</v>
      </c>
      <c r="I208" s="44" t="s">
        <v>1643</v>
      </c>
      <c r="J208" s="44" t="s">
        <v>1643</v>
      </c>
      <c r="K208" s="44" t="s">
        <v>1644</v>
      </c>
      <c r="L208" s="44" t="s">
        <v>1643</v>
      </c>
      <c r="M208" s="44" t="s">
        <v>1644</v>
      </c>
      <c r="N208" s="44" t="s">
        <v>1644</v>
      </c>
      <c r="O208" s="44" t="s">
        <v>1643</v>
      </c>
      <c r="P208" s="44" t="s">
        <v>1643</v>
      </c>
      <c r="Q208" s="44" t="s">
        <v>1644</v>
      </c>
      <c r="R208" s="44" t="s">
        <v>1643</v>
      </c>
      <c r="S208" s="44" t="s">
        <v>1644</v>
      </c>
    </row>
    <row r="209" spans="1:19" ht="15.75" thickBot="1" x14ac:dyDescent="0.3">
      <c r="A209" s="44" t="s">
        <v>1461</v>
      </c>
      <c r="B209" s="48" t="s">
        <v>1462</v>
      </c>
      <c r="C209" s="44" t="s">
        <v>808</v>
      </c>
      <c r="D209" s="44" t="s">
        <v>1735</v>
      </c>
      <c r="E209" s="197">
        <v>48940</v>
      </c>
      <c r="F209" s="197">
        <v>48940</v>
      </c>
      <c r="G209" s="47">
        <v>40</v>
      </c>
      <c r="H209" s="44" t="s">
        <v>1643</v>
      </c>
      <c r="I209" s="44" t="s">
        <v>1643</v>
      </c>
      <c r="J209" s="44" t="s">
        <v>1644</v>
      </c>
      <c r="K209" s="44" t="s">
        <v>1644</v>
      </c>
      <c r="L209" s="44" t="s">
        <v>1643</v>
      </c>
      <c r="M209" s="44" t="s">
        <v>1644</v>
      </c>
      <c r="N209" s="44" t="s">
        <v>1644</v>
      </c>
      <c r="O209" s="44" t="s">
        <v>1643</v>
      </c>
      <c r="P209" s="44" t="s">
        <v>1643</v>
      </c>
      <c r="Q209" s="44" t="s">
        <v>1644</v>
      </c>
      <c r="R209" s="44" t="s">
        <v>1644</v>
      </c>
      <c r="S209" s="44" t="s">
        <v>1643</v>
      </c>
    </row>
    <row r="210" spans="1:19" ht="15.75" thickBot="1" x14ac:dyDescent="0.3">
      <c r="A210" s="44" t="s">
        <v>1467</v>
      </c>
      <c r="B210" s="48" t="s">
        <v>1468</v>
      </c>
      <c r="C210" s="44" t="s">
        <v>808</v>
      </c>
      <c r="D210" s="44" t="s">
        <v>1735</v>
      </c>
      <c r="E210" s="197">
        <v>35000</v>
      </c>
      <c r="F210" s="197">
        <v>38000</v>
      </c>
      <c r="G210" s="47">
        <v>35</v>
      </c>
      <c r="H210" s="44" t="s">
        <v>1643</v>
      </c>
      <c r="I210" s="44" t="s">
        <v>1644</v>
      </c>
      <c r="J210" s="44" t="s">
        <v>1643</v>
      </c>
      <c r="K210" s="44" t="s">
        <v>1644</v>
      </c>
      <c r="L210" s="44" t="s">
        <v>1644</v>
      </c>
      <c r="M210" s="44" t="s">
        <v>1643</v>
      </c>
      <c r="N210" s="44" t="s">
        <v>1643</v>
      </c>
      <c r="O210" s="44" t="s">
        <v>1643</v>
      </c>
      <c r="P210" s="44" t="s">
        <v>1643</v>
      </c>
      <c r="Q210" s="44" t="s">
        <v>1643</v>
      </c>
      <c r="R210" s="44" t="s">
        <v>1644</v>
      </c>
      <c r="S210" s="44" t="s">
        <v>1643</v>
      </c>
    </row>
    <row r="211" spans="1:19" ht="15.75" thickBot="1" x14ac:dyDescent="0.3">
      <c r="A211" s="44" t="s">
        <v>1480</v>
      </c>
      <c r="B211" s="48" t="s">
        <v>1481</v>
      </c>
      <c r="C211" s="44" t="s">
        <v>808</v>
      </c>
      <c r="D211" s="44" t="s">
        <v>3402</v>
      </c>
      <c r="E211" s="197">
        <v>42000</v>
      </c>
      <c r="F211" s="197">
        <v>60000</v>
      </c>
      <c r="G211" s="47">
        <v>40</v>
      </c>
      <c r="H211" s="44" t="s">
        <v>1643</v>
      </c>
      <c r="I211" s="44" t="s">
        <v>1644</v>
      </c>
      <c r="J211" s="44" t="s">
        <v>1644</v>
      </c>
      <c r="K211" s="44" t="s">
        <v>1643</v>
      </c>
      <c r="L211" s="44" t="s">
        <v>1643</v>
      </c>
      <c r="M211" s="44" t="s">
        <v>1643</v>
      </c>
      <c r="N211" s="44" t="s">
        <v>1643</v>
      </c>
      <c r="O211" s="44" t="s">
        <v>1644</v>
      </c>
      <c r="P211" s="44" t="s">
        <v>1643</v>
      </c>
      <c r="Q211" s="44" t="s">
        <v>1644</v>
      </c>
      <c r="R211" s="44" t="s">
        <v>1643</v>
      </c>
      <c r="S211" s="44" t="s">
        <v>1644</v>
      </c>
    </row>
    <row r="212" spans="1:19" ht="15.75" thickBot="1" x14ac:dyDescent="0.3">
      <c r="A212" s="44" t="s">
        <v>1486</v>
      </c>
      <c r="B212" s="48" t="s">
        <v>1487</v>
      </c>
      <c r="C212" s="44" t="s">
        <v>808</v>
      </c>
      <c r="D212" s="44" t="s">
        <v>1735</v>
      </c>
      <c r="E212" s="197">
        <v>35000</v>
      </c>
      <c r="F212" s="197">
        <v>40000</v>
      </c>
      <c r="G212" s="47">
        <v>36</v>
      </c>
      <c r="H212" s="44" t="s">
        <v>1644</v>
      </c>
      <c r="I212" s="44" t="s">
        <v>1644</v>
      </c>
      <c r="J212" s="44" t="s">
        <v>1644</v>
      </c>
      <c r="K212" s="44" t="s">
        <v>1644</v>
      </c>
      <c r="L212" s="44" t="s">
        <v>1644</v>
      </c>
      <c r="M212" s="44" t="s">
        <v>1643</v>
      </c>
      <c r="N212" s="44" t="s">
        <v>1643</v>
      </c>
      <c r="O212" s="44" t="s">
        <v>1643</v>
      </c>
      <c r="P212" s="44" t="s">
        <v>1643</v>
      </c>
      <c r="Q212" s="44" t="s">
        <v>1644</v>
      </c>
      <c r="R212" s="44" t="s">
        <v>1644</v>
      </c>
      <c r="S212" s="44" t="s">
        <v>1644</v>
      </c>
    </row>
    <row r="213" spans="1:19" ht="15.75" thickBot="1" x14ac:dyDescent="0.3">
      <c r="A213" s="44" t="s">
        <v>1488</v>
      </c>
      <c r="B213" s="48" t="s">
        <v>1489</v>
      </c>
      <c r="C213" s="44" t="s">
        <v>808</v>
      </c>
      <c r="D213" s="44" t="s">
        <v>3402</v>
      </c>
      <c r="E213" s="197">
        <v>57803</v>
      </c>
      <c r="F213" s="197">
        <v>57803</v>
      </c>
      <c r="G213" s="47">
        <v>40</v>
      </c>
      <c r="H213" s="44" t="s">
        <v>1643</v>
      </c>
      <c r="I213" s="44" t="s">
        <v>1643</v>
      </c>
      <c r="J213" s="44" t="s">
        <v>1643</v>
      </c>
      <c r="K213" s="44" t="s">
        <v>1643</v>
      </c>
      <c r="L213" s="44" t="s">
        <v>1643</v>
      </c>
      <c r="M213" s="44" t="s">
        <v>1643</v>
      </c>
      <c r="N213" s="44" t="s">
        <v>1643</v>
      </c>
      <c r="O213" s="44" t="s">
        <v>1643</v>
      </c>
      <c r="P213" s="44" t="s">
        <v>1643</v>
      </c>
      <c r="Q213" s="44" t="s">
        <v>1643</v>
      </c>
      <c r="R213" s="44" t="s">
        <v>1644</v>
      </c>
      <c r="S213" s="44" t="s">
        <v>1643</v>
      </c>
    </row>
    <row r="214" spans="1:19" ht="15.75" thickBot="1" x14ac:dyDescent="0.3">
      <c r="A214" s="44" t="s">
        <v>1504</v>
      </c>
      <c r="B214" s="48" t="s">
        <v>1505</v>
      </c>
      <c r="C214" s="44" t="s">
        <v>808</v>
      </c>
      <c r="D214" s="44" t="s">
        <v>3402</v>
      </c>
      <c r="E214" s="197">
        <v>30000</v>
      </c>
      <c r="F214" s="197">
        <v>50000</v>
      </c>
      <c r="G214" s="47">
        <v>40</v>
      </c>
      <c r="H214" s="44" t="s">
        <v>1644</v>
      </c>
      <c r="I214" s="44" t="s">
        <v>1644</v>
      </c>
      <c r="J214" s="44" t="s">
        <v>1644</v>
      </c>
      <c r="K214" s="44" t="s">
        <v>1644</v>
      </c>
      <c r="L214" s="44" t="s">
        <v>1644</v>
      </c>
      <c r="M214" s="44" t="s">
        <v>1643</v>
      </c>
      <c r="N214" s="44" t="s">
        <v>1643</v>
      </c>
      <c r="O214" s="44" t="s">
        <v>1643</v>
      </c>
      <c r="P214" s="44" t="s">
        <v>1643</v>
      </c>
      <c r="Q214" s="44" t="s">
        <v>1644</v>
      </c>
      <c r="R214" s="44" t="s">
        <v>1644</v>
      </c>
      <c r="S214" s="44" t="s">
        <v>1644</v>
      </c>
    </row>
    <row r="215" spans="1:19" ht="15.75" thickBot="1" x14ac:dyDescent="0.3">
      <c r="A215" s="44" t="s">
        <v>1508</v>
      </c>
      <c r="B215" s="48" t="s">
        <v>1509</v>
      </c>
      <c r="C215" s="44" t="s">
        <v>808</v>
      </c>
      <c r="D215" s="44" t="s">
        <v>1735</v>
      </c>
      <c r="E215" s="197">
        <v>30000</v>
      </c>
      <c r="F215" s="197">
        <v>49000</v>
      </c>
      <c r="G215" s="47">
        <v>40</v>
      </c>
      <c r="H215" s="44" t="s">
        <v>1644</v>
      </c>
      <c r="I215" s="44" t="s">
        <v>1644</v>
      </c>
      <c r="J215" s="44" t="s">
        <v>1644</v>
      </c>
      <c r="K215" s="44" t="s">
        <v>1644</v>
      </c>
      <c r="L215" s="44" t="s">
        <v>1644</v>
      </c>
      <c r="M215" s="44" t="s">
        <v>1644</v>
      </c>
      <c r="N215" s="44" t="s">
        <v>1643</v>
      </c>
      <c r="O215" s="44" t="s">
        <v>1644</v>
      </c>
      <c r="P215" s="44" t="s">
        <v>1643</v>
      </c>
      <c r="Q215" s="44" t="s">
        <v>1644</v>
      </c>
      <c r="R215" s="44" t="s">
        <v>1644</v>
      </c>
      <c r="S215" s="44" t="s">
        <v>1644</v>
      </c>
    </row>
    <row r="216" spans="1:19" ht="15.75" thickBot="1" x14ac:dyDescent="0.3">
      <c r="A216" s="44" t="s">
        <v>1510</v>
      </c>
      <c r="B216" s="48" t="s">
        <v>1511</v>
      </c>
      <c r="C216" s="44" t="s">
        <v>808</v>
      </c>
      <c r="D216" s="44" t="s">
        <v>3402</v>
      </c>
      <c r="E216" s="197">
        <v>45000</v>
      </c>
      <c r="F216" s="197">
        <v>65000</v>
      </c>
      <c r="G216" s="47">
        <v>40</v>
      </c>
      <c r="H216" s="44" t="s">
        <v>1643</v>
      </c>
      <c r="I216" s="44" t="s">
        <v>1644</v>
      </c>
      <c r="J216" s="44" t="s">
        <v>1644</v>
      </c>
      <c r="K216" s="44" t="s">
        <v>1644</v>
      </c>
      <c r="L216" s="44" t="s">
        <v>1643</v>
      </c>
      <c r="M216" s="44" t="s">
        <v>1643</v>
      </c>
      <c r="N216" s="44" t="s">
        <v>1643</v>
      </c>
      <c r="O216" s="44" t="s">
        <v>1643</v>
      </c>
      <c r="P216" s="44" t="s">
        <v>1643</v>
      </c>
      <c r="Q216" s="44" t="s">
        <v>1644</v>
      </c>
      <c r="R216" s="44" t="s">
        <v>1644</v>
      </c>
      <c r="S216" s="44" t="s">
        <v>1644</v>
      </c>
    </row>
    <row r="217" spans="1:19" ht="15.75" thickBot="1" x14ac:dyDescent="0.3">
      <c r="A217" s="44" t="s">
        <v>1520</v>
      </c>
      <c r="B217" s="48" t="s">
        <v>1521</v>
      </c>
      <c r="C217" s="44" t="s">
        <v>808</v>
      </c>
      <c r="D217" s="44" t="s">
        <v>3402</v>
      </c>
      <c r="E217" s="197">
        <v>50074</v>
      </c>
      <c r="F217" s="197">
        <v>50074</v>
      </c>
      <c r="G217" s="47">
        <v>40</v>
      </c>
      <c r="H217" s="44" t="s">
        <v>1643</v>
      </c>
      <c r="I217" s="44" t="s">
        <v>1643</v>
      </c>
      <c r="J217" s="44" t="s">
        <v>1644</v>
      </c>
      <c r="K217" s="44" t="s">
        <v>1643</v>
      </c>
      <c r="L217" s="44" t="s">
        <v>1644</v>
      </c>
      <c r="M217" s="44" t="s">
        <v>1643</v>
      </c>
      <c r="N217" s="44" t="s">
        <v>1643</v>
      </c>
      <c r="O217" s="44" t="s">
        <v>1643</v>
      </c>
      <c r="P217" s="44" t="s">
        <v>1643</v>
      </c>
      <c r="Q217" s="44" t="s">
        <v>1644</v>
      </c>
      <c r="R217" s="44" t="s">
        <v>1643</v>
      </c>
      <c r="S217" s="44" t="s">
        <v>1644</v>
      </c>
    </row>
    <row r="218" spans="1:19" ht="15.75" thickBot="1" x14ac:dyDescent="0.3">
      <c r="A218" s="44" t="s">
        <v>1524</v>
      </c>
      <c r="B218" s="48" t="s">
        <v>1525</v>
      </c>
      <c r="C218" s="44" t="s">
        <v>808</v>
      </c>
      <c r="D218" s="44" t="s">
        <v>1735</v>
      </c>
      <c r="E218" s="197">
        <v>40000</v>
      </c>
      <c r="F218" s="197">
        <v>68232</v>
      </c>
      <c r="G218" s="47">
        <v>40</v>
      </c>
      <c r="H218" s="44" t="s">
        <v>1643</v>
      </c>
      <c r="I218" s="44" t="s">
        <v>1643</v>
      </c>
      <c r="J218" s="44" t="s">
        <v>1643</v>
      </c>
      <c r="K218" s="44" t="s">
        <v>1644</v>
      </c>
      <c r="L218" s="44" t="s">
        <v>1644</v>
      </c>
      <c r="M218" s="44" t="s">
        <v>1643</v>
      </c>
      <c r="N218" s="44" t="s">
        <v>1643</v>
      </c>
      <c r="O218" s="44" t="s">
        <v>1644</v>
      </c>
      <c r="P218" s="44" t="s">
        <v>1643</v>
      </c>
      <c r="Q218" s="44" t="s">
        <v>1643</v>
      </c>
      <c r="R218" s="44" t="s">
        <v>1643</v>
      </c>
      <c r="S218" s="44" t="s">
        <v>1644</v>
      </c>
    </row>
    <row r="219" spans="1:19" ht="15.75" thickBot="1" x14ac:dyDescent="0.3">
      <c r="A219" s="44" t="s">
        <v>1526</v>
      </c>
      <c r="B219" s="48" t="s">
        <v>1527</v>
      </c>
      <c r="C219" s="44" t="s">
        <v>808</v>
      </c>
      <c r="D219" s="44" t="s">
        <v>1735</v>
      </c>
      <c r="E219" s="197">
        <v>37450</v>
      </c>
      <c r="F219" s="197">
        <v>37450</v>
      </c>
      <c r="G219" s="47">
        <v>40</v>
      </c>
      <c r="H219" s="44" t="s">
        <v>1643</v>
      </c>
      <c r="I219" s="44" t="s">
        <v>1643</v>
      </c>
      <c r="J219" s="44" t="s">
        <v>1643</v>
      </c>
      <c r="K219" s="44" t="s">
        <v>1643</v>
      </c>
      <c r="L219" s="44" t="s">
        <v>1643</v>
      </c>
      <c r="M219" s="44" t="s">
        <v>1643</v>
      </c>
      <c r="N219" s="44" t="s">
        <v>1643</v>
      </c>
      <c r="O219" s="44" t="s">
        <v>1643</v>
      </c>
      <c r="P219" s="44" t="s">
        <v>1643</v>
      </c>
      <c r="Q219" s="44" t="s">
        <v>1644</v>
      </c>
      <c r="R219" s="44" t="s">
        <v>1643</v>
      </c>
      <c r="S219" s="44" t="s">
        <v>1644</v>
      </c>
    </row>
    <row r="220" spans="1:19" ht="15.75" thickBot="1" x14ac:dyDescent="0.3">
      <c r="A220" s="44" t="s">
        <v>1534</v>
      </c>
      <c r="B220" s="48" t="s">
        <v>1535</v>
      </c>
      <c r="C220" s="44" t="s">
        <v>808</v>
      </c>
      <c r="D220" s="44" t="s">
        <v>1735</v>
      </c>
      <c r="E220" s="197">
        <v>50466</v>
      </c>
      <c r="F220" s="197">
        <v>50466</v>
      </c>
      <c r="G220" s="47">
        <v>40</v>
      </c>
      <c r="H220" s="44" t="s">
        <v>1643</v>
      </c>
      <c r="I220" s="44" t="s">
        <v>1643</v>
      </c>
      <c r="J220" s="44" t="s">
        <v>1643</v>
      </c>
      <c r="K220" s="44" t="s">
        <v>1644</v>
      </c>
      <c r="L220" s="44" t="s">
        <v>1644</v>
      </c>
      <c r="M220" s="44" t="s">
        <v>1644</v>
      </c>
      <c r="N220" s="44" t="s">
        <v>1643</v>
      </c>
      <c r="O220" s="44" t="s">
        <v>1643</v>
      </c>
      <c r="P220" s="44" t="s">
        <v>1643</v>
      </c>
      <c r="Q220" s="44" t="s">
        <v>1644</v>
      </c>
      <c r="R220" s="44" t="s">
        <v>1644</v>
      </c>
      <c r="S220" s="44" t="s">
        <v>1644</v>
      </c>
    </row>
    <row r="221" spans="1:19" ht="15.75" thickBot="1" x14ac:dyDescent="0.3">
      <c r="A221" s="44" t="s">
        <v>1562</v>
      </c>
      <c r="B221" s="48" t="s">
        <v>1563</v>
      </c>
      <c r="C221" s="44" t="s">
        <v>808</v>
      </c>
      <c r="D221" s="44" t="s">
        <v>3404</v>
      </c>
      <c r="E221" s="197">
        <v>26000</v>
      </c>
      <c r="F221" s="197">
        <v>28500</v>
      </c>
      <c r="G221" s="47">
        <v>37</v>
      </c>
      <c r="H221" s="44" t="s">
        <v>1644</v>
      </c>
      <c r="I221" s="44" t="s">
        <v>1644</v>
      </c>
      <c r="J221" s="44" t="s">
        <v>1644</v>
      </c>
      <c r="K221" s="44" t="s">
        <v>1643</v>
      </c>
      <c r="L221" s="44" t="s">
        <v>1643</v>
      </c>
      <c r="M221" s="44" t="s">
        <v>1643</v>
      </c>
      <c r="N221" s="44" t="s">
        <v>1643</v>
      </c>
      <c r="O221" s="44" t="s">
        <v>1644</v>
      </c>
      <c r="P221" s="44" t="s">
        <v>1644</v>
      </c>
      <c r="Q221" s="44" t="s">
        <v>1644</v>
      </c>
      <c r="R221" s="44" t="s">
        <v>1644</v>
      </c>
      <c r="S221" s="44" t="s">
        <v>1644</v>
      </c>
    </row>
    <row r="222" spans="1:19" ht="15.75" thickBot="1" x14ac:dyDescent="0.3">
      <c r="A222" s="44" t="s">
        <v>1576</v>
      </c>
      <c r="B222" s="48" t="s">
        <v>1577</v>
      </c>
      <c r="C222" s="44" t="s">
        <v>808</v>
      </c>
      <c r="D222" s="44" t="s">
        <v>3402</v>
      </c>
      <c r="E222" s="197">
        <v>43500</v>
      </c>
      <c r="F222" s="197">
        <v>45000</v>
      </c>
      <c r="G222" s="47">
        <v>40</v>
      </c>
      <c r="H222" s="44" t="s">
        <v>1643</v>
      </c>
      <c r="I222" s="44" t="s">
        <v>1643</v>
      </c>
      <c r="J222" s="44" t="s">
        <v>1643</v>
      </c>
      <c r="K222" s="44" t="s">
        <v>1643</v>
      </c>
      <c r="L222" s="44" t="s">
        <v>1643</v>
      </c>
      <c r="M222" s="44" t="s">
        <v>1643</v>
      </c>
      <c r="N222" s="44" t="s">
        <v>1643</v>
      </c>
      <c r="O222" s="44" t="s">
        <v>1643</v>
      </c>
      <c r="P222" s="44" t="s">
        <v>1643</v>
      </c>
      <c r="Q222" s="44" t="s">
        <v>1643</v>
      </c>
      <c r="R222" s="44" t="s">
        <v>1643</v>
      </c>
      <c r="S222" s="44" t="s">
        <v>1644</v>
      </c>
    </row>
    <row r="223" spans="1:19" ht="15.75" thickBot="1" x14ac:dyDescent="0.3">
      <c r="A223" s="44" t="s">
        <v>1578</v>
      </c>
      <c r="B223" s="48" t="s">
        <v>1579</v>
      </c>
      <c r="C223" s="44" t="s">
        <v>808</v>
      </c>
      <c r="D223" s="44" t="s">
        <v>1735</v>
      </c>
      <c r="E223" s="197">
        <v>30000</v>
      </c>
      <c r="F223" s="197">
        <v>55000</v>
      </c>
      <c r="G223" s="47">
        <v>40</v>
      </c>
      <c r="H223" s="44" t="s">
        <v>1643</v>
      </c>
      <c r="I223" s="44" t="s">
        <v>1643</v>
      </c>
      <c r="J223" s="44" t="s">
        <v>1643</v>
      </c>
      <c r="K223" s="44" t="s">
        <v>1644</v>
      </c>
      <c r="L223" s="44" t="s">
        <v>1643</v>
      </c>
      <c r="M223" s="44" t="s">
        <v>1643</v>
      </c>
      <c r="N223" s="44" t="s">
        <v>1643</v>
      </c>
      <c r="O223" s="44" t="s">
        <v>1643</v>
      </c>
      <c r="P223" s="44" t="s">
        <v>1643</v>
      </c>
      <c r="Q223" s="44" t="s">
        <v>1644</v>
      </c>
      <c r="R223" s="44" t="s">
        <v>1644</v>
      </c>
      <c r="S223" s="44" t="s">
        <v>1644</v>
      </c>
    </row>
    <row r="224" spans="1:19" ht="15.75" thickBot="1" x14ac:dyDescent="0.3">
      <c r="A224" s="44" t="s">
        <v>1582</v>
      </c>
      <c r="B224" s="48" t="s">
        <v>1583</v>
      </c>
      <c r="C224" s="44" t="s">
        <v>808</v>
      </c>
      <c r="D224" s="44" t="s">
        <v>3404</v>
      </c>
      <c r="E224" s="197">
        <v>47725</v>
      </c>
      <c r="F224" s="197">
        <v>47725</v>
      </c>
      <c r="G224" s="47">
        <v>38</v>
      </c>
      <c r="H224" s="44" t="s">
        <v>1644</v>
      </c>
      <c r="I224" s="44" t="s">
        <v>1644</v>
      </c>
      <c r="J224" s="44" t="s">
        <v>1644</v>
      </c>
      <c r="K224" s="44" t="s">
        <v>1643</v>
      </c>
      <c r="L224" s="44" t="s">
        <v>1643</v>
      </c>
      <c r="M224" s="44" t="s">
        <v>1643</v>
      </c>
      <c r="N224" s="44" t="s">
        <v>1643</v>
      </c>
      <c r="O224" s="44" t="s">
        <v>1643</v>
      </c>
      <c r="P224" s="44" t="s">
        <v>1643</v>
      </c>
      <c r="Q224" s="44" t="s">
        <v>1643</v>
      </c>
      <c r="R224" s="44" t="s">
        <v>1643</v>
      </c>
      <c r="S224" s="44" t="s">
        <v>1644</v>
      </c>
    </row>
    <row r="225" spans="1:19" ht="15.75" thickBot="1" x14ac:dyDescent="0.3">
      <c r="A225" s="44" t="s">
        <v>1584</v>
      </c>
      <c r="B225" s="48" t="s">
        <v>1585</v>
      </c>
      <c r="C225" s="44" t="s">
        <v>808</v>
      </c>
      <c r="D225" s="44" t="s">
        <v>1735</v>
      </c>
      <c r="E225" s="197">
        <v>47400</v>
      </c>
      <c r="F225" s="197">
        <v>57934</v>
      </c>
      <c r="G225" s="47">
        <v>45</v>
      </c>
      <c r="H225" s="44" t="s">
        <v>1644</v>
      </c>
      <c r="I225" s="44" t="s">
        <v>1644</v>
      </c>
      <c r="J225" s="44" t="s">
        <v>1644</v>
      </c>
      <c r="K225" s="44" t="s">
        <v>1644</v>
      </c>
      <c r="L225" s="44" t="s">
        <v>1644</v>
      </c>
      <c r="M225" s="44" t="s">
        <v>1643</v>
      </c>
      <c r="N225" s="44" t="s">
        <v>1643</v>
      </c>
      <c r="O225" s="44" t="s">
        <v>1643</v>
      </c>
      <c r="P225" s="44" t="s">
        <v>1643</v>
      </c>
      <c r="Q225" s="44" t="s">
        <v>1644</v>
      </c>
      <c r="R225" s="44" t="s">
        <v>1644</v>
      </c>
      <c r="S225" s="44" t="s">
        <v>1644</v>
      </c>
    </row>
    <row r="226" spans="1:19" ht="15.75" thickBot="1" x14ac:dyDescent="0.3">
      <c r="A226" s="44" t="s">
        <v>1590</v>
      </c>
      <c r="B226" s="48" t="s">
        <v>1591</v>
      </c>
      <c r="C226" s="44" t="s">
        <v>808</v>
      </c>
      <c r="D226" s="44" t="s">
        <v>1735</v>
      </c>
      <c r="E226" s="197">
        <v>31512</v>
      </c>
      <c r="F226" s="197">
        <v>31512</v>
      </c>
      <c r="G226" s="47">
        <v>30</v>
      </c>
      <c r="H226" s="44" t="s">
        <v>1644</v>
      </c>
      <c r="I226" s="44" t="s">
        <v>1644</v>
      </c>
      <c r="J226" s="44" t="s">
        <v>1644</v>
      </c>
      <c r="K226" s="44" t="s">
        <v>1644</v>
      </c>
      <c r="L226" s="44" t="s">
        <v>1644</v>
      </c>
      <c r="M226" s="44" t="s">
        <v>1643</v>
      </c>
      <c r="N226" s="44" t="s">
        <v>1643</v>
      </c>
      <c r="O226" s="44" t="s">
        <v>1643</v>
      </c>
      <c r="P226" s="44" t="s">
        <v>1643</v>
      </c>
      <c r="Q226" s="44" t="s">
        <v>1643</v>
      </c>
      <c r="R226" s="44" t="s">
        <v>1644</v>
      </c>
      <c r="S226" s="44" t="s">
        <v>1644</v>
      </c>
    </row>
    <row r="227" spans="1:19" ht="15.75" thickBot="1" x14ac:dyDescent="0.3">
      <c r="A227" s="44" t="s">
        <v>801</v>
      </c>
      <c r="B227" s="48" t="s">
        <v>802</v>
      </c>
      <c r="C227" s="44" t="s">
        <v>803</v>
      </c>
      <c r="D227" s="44" t="s">
        <v>3402</v>
      </c>
      <c r="E227" s="197">
        <v>64000</v>
      </c>
      <c r="F227" s="197">
        <v>78000</v>
      </c>
      <c r="G227" s="47">
        <v>40</v>
      </c>
      <c r="H227" s="44" t="s">
        <v>1643</v>
      </c>
      <c r="I227" s="44" t="s">
        <v>1643</v>
      </c>
      <c r="J227" s="44" t="s">
        <v>1643</v>
      </c>
      <c r="K227" s="44" t="s">
        <v>1644</v>
      </c>
      <c r="L227" s="44" t="s">
        <v>1644</v>
      </c>
      <c r="M227" s="44" t="s">
        <v>1643</v>
      </c>
      <c r="N227" s="44" t="s">
        <v>1643</v>
      </c>
      <c r="O227" s="44" t="s">
        <v>1644</v>
      </c>
      <c r="P227" s="44" t="s">
        <v>1643</v>
      </c>
      <c r="Q227" s="44" t="s">
        <v>1643</v>
      </c>
      <c r="R227" s="44" t="s">
        <v>1644</v>
      </c>
      <c r="S227" s="44" t="s">
        <v>1644</v>
      </c>
    </row>
    <row r="228" spans="1:19" ht="15.75" thickBot="1" x14ac:dyDescent="0.3">
      <c r="A228" s="44" t="s">
        <v>818</v>
      </c>
      <c r="B228" s="48" t="s">
        <v>819</v>
      </c>
      <c r="C228" s="44" t="s">
        <v>803</v>
      </c>
      <c r="D228" s="44" t="s">
        <v>3402</v>
      </c>
      <c r="E228" s="197">
        <v>50000</v>
      </c>
      <c r="F228" s="197">
        <v>70000</v>
      </c>
      <c r="G228" s="47">
        <v>40</v>
      </c>
      <c r="H228" s="44" t="s">
        <v>1643</v>
      </c>
      <c r="I228" s="44" t="s">
        <v>1644</v>
      </c>
      <c r="J228" s="44" t="s">
        <v>1644</v>
      </c>
      <c r="K228" s="44" t="s">
        <v>1643</v>
      </c>
      <c r="L228" s="44" t="s">
        <v>1644</v>
      </c>
      <c r="M228" s="44" t="s">
        <v>1643</v>
      </c>
      <c r="N228" s="44" t="s">
        <v>1643</v>
      </c>
      <c r="O228" s="44" t="s">
        <v>1643</v>
      </c>
      <c r="P228" s="44" t="s">
        <v>1643</v>
      </c>
      <c r="Q228" s="44" t="s">
        <v>1643</v>
      </c>
      <c r="R228" s="44" t="s">
        <v>1643</v>
      </c>
      <c r="S228" s="44" t="s">
        <v>1644</v>
      </c>
    </row>
    <row r="229" spans="1:19" ht="15.75" thickBot="1" x14ac:dyDescent="0.3">
      <c r="A229" s="44" t="s">
        <v>846</v>
      </c>
      <c r="B229" s="48" t="s">
        <v>847</v>
      </c>
      <c r="C229" s="44" t="s">
        <v>803</v>
      </c>
      <c r="D229" s="44" t="s">
        <v>3402</v>
      </c>
      <c r="E229" s="197">
        <v>65000</v>
      </c>
      <c r="F229" s="197">
        <v>80000</v>
      </c>
      <c r="G229" s="47">
        <v>40</v>
      </c>
      <c r="H229" s="44" t="s">
        <v>1643</v>
      </c>
      <c r="I229" s="44" t="s">
        <v>1643</v>
      </c>
      <c r="J229" s="44" t="s">
        <v>1643</v>
      </c>
      <c r="K229" s="44" t="s">
        <v>1643</v>
      </c>
      <c r="L229" s="44" t="s">
        <v>1644</v>
      </c>
      <c r="M229" s="44" t="s">
        <v>1643</v>
      </c>
      <c r="N229" s="44" t="s">
        <v>1643</v>
      </c>
      <c r="O229" s="44" t="s">
        <v>1643</v>
      </c>
      <c r="P229" s="44" t="s">
        <v>1643</v>
      </c>
      <c r="Q229" s="44" t="s">
        <v>1643</v>
      </c>
      <c r="R229" s="44" t="s">
        <v>1643</v>
      </c>
      <c r="S229" s="44" t="s">
        <v>1644</v>
      </c>
    </row>
    <row r="230" spans="1:19" ht="15.75" thickBot="1" x14ac:dyDescent="0.3">
      <c r="A230" s="44" t="s">
        <v>851</v>
      </c>
      <c r="B230" s="48" t="s">
        <v>852</v>
      </c>
      <c r="C230" s="44" t="s">
        <v>803</v>
      </c>
      <c r="D230" s="44" t="s">
        <v>3402</v>
      </c>
      <c r="E230" s="197">
        <v>62100</v>
      </c>
      <c r="F230" s="197">
        <v>62100</v>
      </c>
      <c r="G230" s="47">
        <v>39</v>
      </c>
      <c r="H230" s="44" t="s">
        <v>1643</v>
      </c>
      <c r="I230" s="44" t="s">
        <v>1643</v>
      </c>
      <c r="J230" s="44" t="s">
        <v>1643</v>
      </c>
      <c r="K230" s="44" t="s">
        <v>1643</v>
      </c>
      <c r="L230" s="44" t="s">
        <v>1644</v>
      </c>
      <c r="M230" s="44" t="s">
        <v>1643</v>
      </c>
      <c r="N230" s="44" t="s">
        <v>1643</v>
      </c>
      <c r="O230" s="44" t="s">
        <v>1644</v>
      </c>
      <c r="P230" s="44" t="s">
        <v>1643</v>
      </c>
      <c r="Q230" s="44" t="s">
        <v>1643</v>
      </c>
      <c r="R230" s="44" t="s">
        <v>1643</v>
      </c>
      <c r="S230" s="44" t="s">
        <v>1644</v>
      </c>
    </row>
    <row r="231" spans="1:19" ht="15.75" thickBot="1" x14ac:dyDescent="0.3">
      <c r="A231" s="44" t="s">
        <v>871</v>
      </c>
      <c r="B231" s="48" t="s">
        <v>872</v>
      </c>
      <c r="C231" s="44" t="s">
        <v>803</v>
      </c>
      <c r="D231" s="44" t="s">
        <v>3403</v>
      </c>
      <c r="E231" s="197">
        <v>40000</v>
      </c>
      <c r="F231" s="197">
        <v>40000</v>
      </c>
      <c r="G231" s="47">
        <v>40</v>
      </c>
      <c r="H231" s="44" t="s">
        <v>1644</v>
      </c>
      <c r="I231" s="44" t="s">
        <v>1644</v>
      </c>
      <c r="J231" s="44" t="s">
        <v>1644</v>
      </c>
      <c r="K231" s="44" t="s">
        <v>1643</v>
      </c>
      <c r="L231" s="44" t="s">
        <v>1644</v>
      </c>
      <c r="M231" s="44" t="s">
        <v>1643</v>
      </c>
      <c r="N231" s="44" t="s">
        <v>1643</v>
      </c>
      <c r="O231" s="44" t="s">
        <v>1643</v>
      </c>
      <c r="P231" s="44" t="s">
        <v>1643</v>
      </c>
      <c r="Q231" s="44" t="s">
        <v>1644</v>
      </c>
      <c r="R231" s="44" t="s">
        <v>1644</v>
      </c>
      <c r="S231" s="44" t="s">
        <v>1644</v>
      </c>
    </row>
    <row r="232" spans="1:19" ht="15.75" thickBot="1" x14ac:dyDescent="0.3">
      <c r="A232" s="44" t="s">
        <v>877</v>
      </c>
      <c r="B232" s="48" t="s">
        <v>878</v>
      </c>
      <c r="C232" s="44" t="s">
        <v>803</v>
      </c>
      <c r="D232" s="44" t="s">
        <v>3402</v>
      </c>
      <c r="E232" s="197">
        <v>70960</v>
      </c>
      <c r="F232" s="197">
        <v>81151</v>
      </c>
      <c r="G232" s="47">
        <v>40</v>
      </c>
      <c r="H232" s="44" t="s">
        <v>1643</v>
      </c>
      <c r="I232" s="44" t="s">
        <v>1643</v>
      </c>
      <c r="J232" s="44" t="s">
        <v>1643</v>
      </c>
      <c r="K232" s="44" t="s">
        <v>1643</v>
      </c>
      <c r="L232" s="44" t="s">
        <v>1643</v>
      </c>
      <c r="M232" s="44" t="s">
        <v>1643</v>
      </c>
      <c r="N232" s="44" t="s">
        <v>1643</v>
      </c>
      <c r="O232" s="44" t="s">
        <v>1643</v>
      </c>
      <c r="P232" s="44" t="s">
        <v>1643</v>
      </c>
      <c r="Q232" s="44" t="s">
        <v>1643</v>
      </c>
      <c r="R232" s="44" t="s">
        <v>1643</v>
      </c>
      <c r="S232" s="44" t="s">
        <v>1644</v>
      </c>
    </row>
    <row r="233" spans="1:19" ht="15.75" thickBot="1" x14ac:dyDescent="0.3">
      <c r="A233" s="44" t="s">
        <v>887</v>
      </c>
      <c r="B233" s="48" t="s">
        <v>888</v>
      </c>
      <c r="C233" s="44" t="s">
        <v>803</v>
      </c>
      <c r="D233" s="44" t="s">
        <v>3402</v>
      </c>
      <c r="E233" s="197">
        <v>50135</v>
      </c>
      <c r="F233" s="197">
        <v>66018</v>
      </c>
      <c r="G233" s="47">
        <v>40</v>
      </c>
      <c r="H233" s="44" t="s">
        <v>1643</v>
      </c>
      <c r="I233" s="44" t="s">
        <v>1643</v>
      </c>
      <c r="J233" s="44" t="s">
        <v>1643</v>
      </c>
      <c r="K233" s="44" t="s">
        <v>1643</v>
      </c>
      <c r="L233" s="44" t="s">
        <v>1643</v>
      </c>
      <c r="M233" s="44" t="s">
        <v>1643</v>
      </c>
      <c r="N233" s="44" t="s">
        <v>1643</v>
      </c>
      <c r="O233" s="44" t="s">
        <v>1643</v>
      </c>
      <c r="P233" s="44" t="s">
        <v>1643</v>
      </c>
      <c r="Q233" s="44" t="s">
        <v>1643</v>
      </c>
      <c r="R233" s="44" t="s">
        <v>1643</v>
      </c>
      <c r="S233" s="44" t="s">
        <v>1643</v>
      </c>
    </row>
    <row r="234" spans="1:19" ht="15.75" thickBot="1" x14ac:dyDescent="0.3">
      <c r="A234" s="44" t="s">
        <v>899</v>
      </c>
      <c r="B234" s="48" t="s">
        <v>900</v>
      </c>
      <c r="C234" s="44" t="s">
        <v>803</v>
      </c>
      <c r="D234" s="44" t="s">
        <v>3402</v>
      </c>
      <c r="E234" s="197">
        <v>53500</v>
      </c>
      <c r="F234" s="197">
        <v>74000</v>
      </c>
      <c r="G234" s="47">
        <v>40</v>
      </c>
      <c r="H234" s="44" t="s">
        <v>1643</v>
      </c>
      <c r="I234" s="44" t="s">
        <v>1643</v>
      </c>
      <c r="J234" s="44" t="s">
        <v>1643</v>
      </c>
      <c r="K234" s="44" t="s">
        <v>1643</v>
      </c>
      <c r="L234" s="44" t="s">
        <v>1643</v>
      </c>
      <c r="M234" s="44" t="s">
        <v>1643</v>
      </c>
      <c r="N234" s="44" t="s">
        <v>1643</v>
      </c>
      <c r="O234" s="44" t="s">
        <v>1644</v>
      </c>
      <c r="P234" s="44" t="s">
        <v>1643</v>
      </c>
      <c r="Q234" s="44" t="s">
        <v>1643</v>
      </c>
      <c r="R234" s="44" t="s">
        <v>1644</v>
      </c>
      <c r="S234" s="44" t="s">
        <v>1644</v>
      </c>
    </row>
    <row r="235" spans="1:19" ht="15.75" thickBot="1" x14ac:dyDescent="0.3">
      <c r="A235" s="44" t="s">
        <v>901</v>
      </c>
      <c r="B235" s="48" t="s">
        <v>902</v>
      </c>
      <c r="C235" s="44" t="s">
        <v>803</v>
      </c>
      <c r="D235" s="44" t="s">
        <v>3402</v>
      </c>
      <c r="E235" s="197">
        <v>45000</v>
      </c>
      <c r="F235" s="197">
        <v>65000</v>
      </c>
      <c r="G235" s="47">
        <v>40</v>
      </c>
      <c r="H235" s="44" t="s">
        <v>1643</v>
      </c>
      <c r="I235" s="44" t="s">
        <v>1643</v>
      </c>
      <c r="J235" s="44" t="s">
        <v>1644</v>
      </c>
      <c r="K235" s="44" t="s">
        <v>1643</v>
      </c>
      <c r="L235" s="44" t="s">
        <v>1643</v>
      </c>
      <c r="M235" s="44" t="s">
        <v>1643</v>
      </c>
      <c r="N235" s="44" t="s">
        <v>1643</v>
      </c>
      <c r="O235" s="44" t="s">
        <v>1643</v>
      </c>
      <c r="P235" s="44" t="s">
        <v>1643</v>
      </c>
      <c r="Q235" s="44" t="s">
        <v>1644</v>
      </c>
      <c r="R235" s="44" t="s">
        <v>1643</v>
      </c>
      <c r="S235" s="44" t="s">
        <v>1643</v>
      </c>
    </row>
    <row r="236" spans="1:19" ht="15.75" thickBot="1" x14ac:dyDescent="0.3">
      <c r="A236" s="44" t="s">
        <v>905</v>
      </c>
      <c r="B236" s="48" t="s">
        <v>906</v>
      </c>
      <c r="C236" s="44" t="s">
        <v>803</v>
      </c>
      <c r="D236" s="44" t="s">
        <v>3402</v>
      </c>
      <c r="E236" s="197">
        <v>64342</v>
      </c>
      <c r="F236" s="197">
        <v>67559</v>
      </c>
      <c r="G236" s="47">
        <v>40</v>
      </c>
      <c r="H236" s="44" t="s">
        <v>1643</v>
      </c>
      <c r="I236" s="44" t="s">
        <v>1643</v>
      </c>
      <c r="J236" s="44" t="s">
        <v>1643</v>
      </c>
      <c r="K236" s="44" t="s">
        <v>1643</v>
      </c>
      <c r="L236" s="44" t="s">
        <v>1644</v>
      </c>
      <c r="M236" s="44" t="s">
        <v>1643</v>
      </c>
      <c r="N236" s="44" t="s">
        <v>1643</v>
      </c>
      <c r="O236" s="44" t="s">
        <v>1643</v>
      </c>
      <c r="P236" s="44" t="s">
        <v>1643</v>
      </c>
      <c r="Q236" s="44" t="s">
        <v>1643</v>
      </c>
      <c r="R236" s="44" t="s">
        <v>1643</v>
      </c>
      <c r="S236" s="44" t="s">
        <v>1643</v>
      </c>
    </row>
    <row r="237" spans="1:19" ht="15.75" thickBot="1" x14ac:dyDescent="0.3">
      <c r="A237" s="44" t="s">
        <v>941</v>
      </c>
      <c r="B237" s="48" t="s">
        <v>942</v>
      </c>
      <c r="C237" s="44" t="s">
        <v>803</v>
      </c>
      <c r="D237" s="44" t="s">
        <v>3403</v>
      </c>
      <c r="E237" s="197">
        <v>60000</v>
      </c>
      <c r="F237" s="197">
        <v>65000</v>
      </c>
      <c r="G237" s="47">
        <v>45</v>
      </c>
      <c r="H237" s="44" t="s">
        <v>1643</v>
      </c>
      <c r="I237" s="44" t="s">
        <v>1644</v>
      </c>
      <c r="J237" s="44" t="s">
        <v>1644</v>
      </c>
      <c r="K237" s="44" t="s">
        <v>1644</v>
      </c>
      <c r="L237" s="44" t="s">
        <v>1644</v>
      </c>
      <c r="M237" s="44" t="s">
        <v>1643</v>
      </c>
      <c r="N237" s="44" t="s">
        <v>1643</v>
      </c>
      <c r="O237" s="44" t="s">
        <v>1643</v>
      </c>
      <c r="P237" s="44" t="s">
        <v>1643</v>
      </c>
      <c r="Q237" s="44" t="s">
        <v>1644</v>
      </c>
      <c r="R237" s="44" t="s">
        <v>1644</v>
      </c>
      <c r="S237" s="44" t="s">
        <v>1644</v>
      </c>
    </row>
    <row r="238" spans="1:19" ht="15.75" thickBot="1" x14ac:dyDescent="0.3">
      <c r="A238" s="44" t="s">
        <v>945</v>
      </c>
      <c r="B238" s="48" t="s">
        <v>946</v>
      </c>
      <c r="C238" s="44" t="s">
        <v>803</v>
      </c>
      <c r="D238" s="44" t="s">
        <v>3402</v>
      </c>
      <c r="E238" s="197">
        <v>55000</v>
      </c>
      <c r="F238" s="197">
        <v>58500</v>
      </c>
      <c r="G238" s="47">
        <v>40</v>
      </c>
      <c r="H238" s="44" t="s">
        <v>1643</v>
      </c>
      <c r="I238" s="44" t="s">
        <v>1643</v>
      </c>
      <c r="J238" s="44" t="s">
        <v>1643</v>
      </c>
      <c r="K238" s="44" t="s">
        <v>1643</v>
      </c>
      <c r="L238" s="44" t="s">
        <v>1643</v>
      </c>
      <c r="M238" s="44" t="s">
        <v>1643</v>
      </c>
      <c r="N238" s="44" t="s">
        <v>1643</v>
      </c>
      <c r="O238" s="44" t="s">
        <v>1643</v>
      </c>
      <c r="P238" s="44" t="s">
        <v>1643</v>
      </c>
      <c r="Q238" s="44" t="s">
        <v>1643</v>
      </c>
      <c r="R238" s="44" t="s">
        <v>1643</v>
      </c>
      <c r="S238" s="44" t="s">
        <v>1643</v>
      </c>
    </row>
    <row r="239" spans="1:19" ht="15.75" thickBot="1" x14ac:dyDescent="0.3">
      <c r="A239" s="44" t="s">
        <v>949</v>
      </c>
      <c r="B239" s="48" t="s">
        <v>950</v>
      </c>
      <c r="C239" s="44" t="s">
        <v>803</v>
      </c>
      <c r="D239" s="44" t="s">
        <v>3402</v>
      </c>
      <c r="E239" s="197">
        <v>45000</v>
      </c>
      <c r="F239" s="197">
        <v>65000</v>
      </c>
      <c r="G239" s="47">
        <v>40</v>
      </c>
      <c r="H239" s="44" t="s">
        <v>1643</v>
      </c>
      <c r="I239" s="44" t="s">
        <v>1643</v>
      </c>
      <c r="J239" s="44" t="s">
        <v>1643</v>
      </c>
      <c r="K239" s="44" t="s">
        <v>1643</v>
      </c>
      <c r="L239" s="44" t="s">
        <v>1643</v>
      </c>
      <c r="M239" s="44" t="s">
        <v>1643</v>
      </c>
      <c r="N239" s="44" t="s">
        <v>1643</v>
      </c>
      <c r="O239" s="44" t="s">
        <v>1644</v>
      </c>
      <c r="P239" s="44" t="s">
        <v>1643</v>
      </c>
      <c r="Q239" s="44" t="s">
        <v>1644</v>
      </c>
      <c r="R239" s="44" t="s">
        <v>1644</v>
      </c>
      <c r="S239" s="44" t="s">
        <v>1643</v>
      </c>
    </row>
    <row r="240" spans="1:19" ht="15.75" thickBot="1" x14ac:dyDescent="0.3">
      <c r="A240" s="44" t="s">
        <v>951</v>
      </c>
      <c r="B240" s="48" t="s">
        <v>952</v>
      </c>
      <c r="C240" s="44" t="s">
        <v>803</v>
      </c>
      <c r="D240" s="44" t="s">
        <v>3403</v>
      </c>
      <c r="E240" s="197">
        <v>64109</v>
      </c>
      <c r="F240" s="197">
        <v>84784</v>
      </c>
      <c r="G240" s="47">
        <v>40</v>
      </c>
      <c r="H240" s="44" t="s">
        <v>1643</v>
      </c>
      <c r="I240" s="44" t="s">
        <v>1644</v>
      </c>
      <c r="J240" s="44" t="s">
        <v>1644</v>
      </c>
      <c r="K240" s="44" t="s">
        <v>1643</v>
      </c>
      <c r="L240" s="44" t="s">
        <v>1644</v>
      </c>
      <c r="M240" s="44" t="s">
        <v>1643</v>
      </c>
      <c r="N240" s="44" t="s">
        <v>1643</v>
      </c>
      <c r="O240" s="44" t="s">
        <v>1643</v>
      </c>
      <c r="P240" s="44" t="s">
        <v>1643</v>
      </c>
      <c r="Q240" s="44" t="s">
        <v>1643</v>
      </c>
      <c r="R240" s="44" t="s">
        <v>1643</v>
      </c>
      <c r="S240" s="44" t="s">
        <v>1644</v>
      </c>
    </row>
    <row r="241" spans="1:19" ht="15.75" thickBot="1" x14ac:dyDescent="0.3">
      <c r="A241" s="44" t="s">
        <v>965</v>
      </c>
      <c r="B241" s="48" t="s">
        <v>966</v>
      </c>
      <c r="C241" s="44" t="s">
        <v>803</v>
      </c>
      <c r="D241" s="44" t="s">
        <v>3402</v>
      </c>
      <c r="E241" s="197">
        <v>41000</v>
      </c>
      <c r="F241" s="197">
        <v>65000</v>
      </c>
      <c r="G241" s="47">
        <v>40</v>
      </c>
      <c r="H241" s="44" t="s">
        <v>1643</v>
      </c>
      <c r="I241" s="44" t="s">
        <v>1644</v>
      </c>
      <c r="J241" s="44" t="s">
        <v>1644</v>
      </c>
      <c r="K241" s="44" t="s">
        <v>1644</v>
      </c>
      <c r="L241" s="44" t="s">
        <v>1644</v>
      </c>
      <c r="M241" s="44" t="s">
        <v>1643</v>
      </c>
      <c r="N241" s="44" t="s">
        <v>1643</v>
      </c>
      <c r="O241" s="44" t="s">
        <v>1643</v>
      </c>
      <c r="P241" s="44" t="s">
        <v>1643</v>
      </c>
      <c r="Q241" s="44" t="s">
        <v>1644</v>
      </c>
      <c r="R241" s="44" t="s">
        <v>1644</v>
      </c>
      <c r="S241" s="44" t="s">
        <v>1644</v>
      </c>
    </row>
    <row r="242" spans="1:19" ht="15.75" thickBot="1" x14ac:dyDescent="0.3">
      <c r="A242" s="44" t="s">
        <v>975</v>
      </c>
      <c r="B242" s="48" t="s">
        <v>976</v>
      </c>
      <c r="C242" s="44" t="s">
        <v>803</v>
      </c>
      <c r="D242" s="44" t="s">
        <v>3402</v>
      </c>
      <c r="E242" s="197">
        <v>54000</v>
      </c>
      <c r="F242" s="197">
        <v>63000</v>
      </c>
      <c r="G242" s="47">
        <v>38</v>
      </c>
      <c r="H242" s="44" t="s">
        <v>1643</v>
      </c>
      <c r="I242" s="44" t="s">
        <v>1643</v>
      </c>
      <c r="J242" s="44" t="s">
        <v>1643</v>
      </c>
      <c r="K242" s="44" t="s">
        <v>1644</v>
      </c>
      <c r="L242" s="44" t="s">
        <v>1643</v>
      </c>
      <c r="M242" s="44" t="s">
        <v>1643</v>
      </c>
      <c r="N242" s="44" t="s">
        <v>1643</v>
      </c>
      <c r="O242" s="44" t="s">
        <v>1643</v>
      </c>
      <c r="P242" s="44" t="s">
        <v>1643</v>
      </c>
      <c r="Q242" s="44" t="s">
        <v>1643</v>
      </c>
      <c r="R242" s="44" t="s">
        <v>1643</v>
      </c>
      <c r="S242" s="44" t="s">
        <v>1644</v>
      </c>
    </row>
    <row r="243" spans="1:19" ht="15.75" thickBot="1" x14ac:dyDescent="0.3">
      <c r="A243" s="44" t="s">
        <v>981</v>
      </c>
      <c r="B243" s="48" t="s">
        <v>982</v>
      </c>
      <c r="C243" s="44" t="s">
        <v>803</v>
      </c>
      <c r="D243" s="44" t="s">
        <v>1735</v>
      </c>
      <c r="E243" s="197">
        <v>40000</v>
      </c>
      <c r="F243" s="197">
        <v>90000</v>
      </c>
      <c r="G243" s="47">
        <v>40</v>
      </c>
      <c r="H243" s="44" t="s">
        <v>1643</v>
      </c>
      <c r="I243" s="44" t="s">
        <v>1643</v>
      </c>
      <c r="J243" s="44" t="s">
        <v>1643</v>
      </c>
      <c r="K243" s="44" t="s">
        <v>1643</v>
      </c>
      <c r="L243" s="44" t="s">
        <v>1643</v>
      </c>
      <c r="M243" s="44" t="s">
        <v>1643</v>
      </c>
      <c r="N243" s="44" t="s">
        <v>1643</v>
      </c>
      <c r="O243" s="44" t="s">
        <v>1643</v>
      </c>
      <c r="P243" s="44" t="s">
        <v>1643</v>
      </c>
      <c r="Q243" s="44" t="s">
        <v>1643</v>
      </c>
      <c r="R243" s="44" t="s">
        <v>1644</v>
      </c>
      <c r="S243" s="44" t="s">
        <v>1643</v>
      </c>
    </row>
    <row r="244" spans="1:19" ht="15.75" thickBot="1" x14ac:dyDescent="0.3">
      <c r="A244" s="44" t="s">
        <v>1007</v>
      </c>
      <c r="B244" s="48" t="s">
        <v>1008</v>
      </c>
      <c r="C244" s="44" t="s">
        <v>803</v>
      </c>
      <c r="D244" s="44" t="s">
        <v>3402</v>
      </c>
      <c r="E244" s="197">
        <v>63037</v>
      </c>
      <c r="F244" s="197">
        <v>66000</v>
      </c>
      <c r="G244" s="47">
        <v>40</v>
      </c>
      <c r="H244" s="44" t="s">
        <v>1643</v>
      </c>
      <c r="I244" s="44" t="s">
        <v>1643</v>
      </c>
      <c r="J244" s="44" t="s">
        <v>1643</v>
      </c>
      <c r="K244" s="44" t="s">
        <v>1643</v>
      </c>
      <c r="L244" s="44" t="s">
        <v>1644</v>
      </c>
      <c r="M244" s="44" t="s">
        <v>1643</v>
      </c>
      <c r="N244" s="44" t="s">
        <v>1643</v>
      </c>
      <c r="O244" s="44" t="s">
        <v>1644</v>
      </c>
      <c r="P244" s="44" t="s">
        <v>1643</v>
      </c>
      <c r="Q244" s="44" t="s">
        <v>1644</v>
      </c>
      <c r="R244" s="44" t="s">
        <v>1644</v>
      </c>
      <c r="S244" s="44" t="s">
        <v>1644</v>
      </c>
    </row>
    <row r="245" spans="1:19" ht="15.75" thickBot="1" x14ac:dyDescent="0.3">
      <c r="A245" s="44" t="s">
        <v>1009</v>
      </c>
      <c r="B245" s="48" t="s">
        <v>1010</v>
      </c>
      <c r="C245" s="44" t="s">
        <v>803</v>
      </c>
      <c r="D245" s="44" t="s">
        <v>3402</v>
      </c>
      <c r="E245" s="197">
        <v>60000</v>
      </c>
      <c r="F245" s="197">
        <v>78000</v>
      </c>
      <c r="G245" s="47">
        <v>47</v>
      </c>
      <c r="H245" s="44" t="s">
        <v>1643</v>
      </c>
      <c r="I245" s="44" t="s">
        <v>1644</v>
      </c>
      <c r="J245" s="44" t="s">
        <v>1644</v>
      </c>
      <c r="K245" s="44" t="s">
        <v>1643</v>
      </c>
      <c r="L245" s="44" t="s">
        <v>1644</v>
      </c>
      <c r="M245" s="44" t="s">
        <v>1643</v>
      </c>
      <c r="N245" s="44" t="s">
        <v>1643</v>
      </c>
      <c r="O245" s="44" t="s">
        <v>1644</v>
      </c>
      <c r="P245" s="44" t="s">
        <v>1643</v>
      </c>
      <c r="Q245" s="44" t="s">
        <v>1643</v>
      </c>
      <c r="R245" s="44" t="s">
        <v>1643</v>
      </c>
      <c r="S245" s="44" t="s">
        <v>1643</v>
      </c>
    </row>
    <row r="246" spans="1:19" ht="15.75" thickBot="1" x14ac:dyDescent="0.3">
      <c r="A246" s="44" t="s">
        <v>1017</v>
      </c>
      <c r="B246" s="48" t="s">
        <v>1018</v>
      </c>
      <c r="C246" s="44" t="s">
        <v>803</v>
      </c>
      <c r="D246" s="44" t="s">
        <v>3402</v>
      </c>
      <c r="E246" s="197">
        <v>48000</v>
      </c>
      <c r="F246" s="197">
        <v>57000</v>
      </c>
      <c r="G246" s="47">
        <v>40</v>
      </c>
      <c r="H246" s="44" t="s">
        <v>1643</v>
      </c>
      <c r="I246" s="44" t="s">
        <v>1643</v>
      </c>
      <c r="J246" s="44" t="s">
        <v>1643</v>
      </c>
      <c r="K246" s="44" t="s">
        <v>1643</v>
      </c>
      <c r="L246" s="44" t="s">
        <v>1643</v>
      </c>
      <c r="M246" s="44" t="s">
        <v>1643</v>
      </c>
      <c r="N246" s="44" t="s">
        <v>1643</v>
      </c>
      <c r="O246" s="44" t="s">
        <v>1643</v>
      </c>
      <c r="P246" s="44" t="s">
        <v>1643</v>
      </c>
      <c r="Q246" s="44" t="s">
        <v>1643</v>
      </c>
      <c r="R246" s="44" t="s">
        <v>1644</v>
      </c>
      <c r="S246" s="44" t="s">
        <v>1644</v>
      </c>
    </row>
    <row r="247" spans="1:19" ht="15.75" thickBot="1" x14ac:dyDescent="0.3">
      <c r="A247" s="44" t="s">
        <v>1027</v>
      </c>
      <c r="B247" s="48" t="s">
        <v>1028</v>
      </c>
      <c r="C247" s="44" t="s">
        <v>803</v>
      </c>
      <c r="D247" s="44" t="s">
        <v>3402</v>
      </c>
      <c r="E247" s="197">
        <v>50000</v>
      </c>
      <c r="F247" s="197">
        <v>66000</v>
      </c>
      <c r="G247" s="47">
        <v>40</v>
      </c>
      <c r="H247" s="44" t="s">
        <v>1643</v>
      </c>
      <c r="I247" s="44" t="s">
        <v>1643</v>
      </c>
      <c r="J247" s="44" t="s">
        <v>1643</v>
      </c>
      <c r="K247" s="44" t="s">
        <v>1644</v>
      </c>
      <c r="L247" s="44" t="s">
        <v>1644</v>
      </c>
      <c r="M247" s="44" t="s">
        <v>1643</v>
      </c>
      <c r="N247" s="44" t="s">
        <v>1643</v>
      </c>
      <c r="O247" s="44" t="s">
        <v>1643</v>
      </c>
      <c r="P247" s="44" t="s">
        <v>1643</v>
      </c>
      <c r="Q247" s="44" t="s">
        <v>1643</v>
      </c>
      <c r="R247" s="44" t="s">
        <v>1644</v>
      </c>
      <c r="S247" s="44" t="s">
        <v>1644</v>
      </c>
    </row>
    <row r="248" spans="1:19" ht="15.75" thickBot="1" x14ac:dyDescent="0.3">
      <c r="A248" s="44" t="s">
        <v>1043</v>
      </c>
      <c r="B248" s="48" t="s">
        <v>1044</v>
      </c>
      <c r="C248" s="44" t="s">
        <v>803</v>
      </c>
      <c r="D248" s="44" t="s">
        <v>3402</v>
      </c>
      <c r="E248" s="197">
        <v>45000</v>
      </c>
      <c r="F248" s="197">
        <v>67929</v>
      </c>
      <c r="G248" s="47">
        <v>40</v>
      </c>
      <c r="H248" s="44" t="s">
        <v>1643</v>
      </c>
      <c r="I248" s="44" t="s">
        <v>1643</v>
      </c>
      <c r="J248" s="44" t="s">
        <v>1643</v>
      </c>
      <c r="K248" s="44" t="s">
        <v>1643</v>
      </c>
      <c r="L248" s="44" t="s">
        <v>1643</v>
      </c>
      <c r="M248" s="44" t="s">
        <v>1643</v>
      </c>
      <c r="N248" s="44" t="s">
        <v>1643</v>
      </c>
      <c r="O248" s="44" t="s">
        <v>1643</v>
      </c>
      <c r="P248" s="44" t="s">
        <v>1643</v>
      </c>
      <c r="Q248" s="44" t="s">
        <v>1644</v>
      </c>
      <c r="R248" s="44" t="s">
        <v>1644</v>
      </c>
      <c r="S248" s="44" t="s">
        <v>1643</v>
      </c>
    </row>
    <row r="249" spans="1:19" ht="15.75" thickBot="1" x14ac:dyDescent="0.3">
      <c r="A249" s="44" t="s">
        <v>1053</v>
      </c>
      <c r="B249" s="48" t="s">
        <v>1054</v>
      </c>
      <c r="C249" s="44" t="s">
        <v>803</v>
      </c>
      <c r="D249" s="44" t="s">
        <v>3402</v>
      </c>
      <c r="E249" s="197">
        <v>46500</v>
      </c>
      <c r="F249" s="197">
        <v>64500</v>
      </c>
      <c r="G249" s="47">
        <v>40</v>
      </c>
      <c r="H249" s="44" t="s">
        <v>1644</v>
      </c>
      <c r="I249" s="44" t="s">
        <v>1644</v>
      </c>
      <c r="J249" s="44" t="s">
        <v>1644</v>
      </c>
      <c r="K249" s="44" t="s">
        <v>1644</v>
      </c>
      <c r="L249" s="44" t="s">
        <v>1643</v>
      </c>
      <c r="M249" s="44" t="s">
        <v>1643</v>
      </c>
      <c r="N249" s="44" t="s">
        <v>1643</v>
      </c>
      <c r="O249" s="44" t="s">
        <v>1643</v>
      </c>
      <c r="P249" s="44" t="s">
        <v>1643</v>
      </c>
      <c r="Q249" s="44" t="s">
        <v>1644</v>
      </c>
      <c r="R249" s="44" t="s">
        <v>1644</v>
      </c>
      <c r="S249" s="44" t="s">
        <v>1644</v>
      </c>
    </row>
    <row r="250" spans="1:19" ht="15.75" thickBot="1" x14ac:dyDescent="0.3">
      <c r="A250" s="44" t="s">
        <v>1055</v>
      </c>
      <c r="B250" s="48" t="s">
        <v>1056</v>
      </c>
      <c r="C250" s="44" t="s">
        <v>803</v>
      </c>
      <c r="D250" s="44" t="s">
        <v>3402</v>
      </c>
      <c r="E250" s="197">
        <v>70000</v>
      </c>
      <c r="F250" s="197">
        <v>82000</v>
      </c>
      <c r="G250" s="47">
        <v>40</v>
      </c>
      <c r="H250" s="44" t="s">
        <v>1643</v>
      </c>
      <c r="I250" s="44" t="s">
        <v>1643</v>
      </c>
      <c r="J250" s="44" t="s">
        <v>1643</v>
      </c>
      <c r="K250" s="44" t="s">
        <v>1643</v>
      </c>
      <c r="L250" s="44" t="s">
        <v>1644</v>
      </c>
      <c r="M250" s="44" t="s">
        <v>1643</v>
      </c>
      <c r="N250" s="44" t="s">
        <v>1643</v>
      </c>
      <c r="O250" s="44" t="s">
        <v>1643</v>
      </c>
      <c r="P250" s="44" t="s">
        <v>1643</v>
      </c>
      <c r="Q250" s="44" t="s">
        <v>1644</v>
      </c>
      <c r="R250" s="44" t="s">
        <v>1643</v>
      </c>
      <c r="S250" s="44" t="s">
        <v>1644</v>
      </c>
    </row>
    <row r="251" spans="1:19" ht="15.75" thickBot="1" x14ac:dyDescent="0.3">
      <c r="A251" s="44" t="s">
        <v>1059</v>
      </c>
      <c r="B251" s="48" t="s">
        <v>1060</v>
      </c>
      <c r="C251" s="44" t="s">
        <v>803</v>
      </c>
      <c r="D251" s="44" t="s">
        <v>3403</v>
      </c>
      <c r="E251" s="197">
        <v>55000</v>
      </c>
      <c r="F251" s="197">
        <v>60000</v>
      </c>
      <c r="G251" s="47">
        <v>40</v>
      </c>
      <c r="H251" s="44" t="s">
        <v>1643</v>
      </c>
      <c r="I251" s="44" t="s">
        <v>1643</v>
      </c>
      <c r="J251" s="44" t="s">
        <v>1643</v>
      </c>
      <c r="K251" s="44" t="s">
        <v>1643</v>
      </c>
      <c r="L251" s="44" t="s">
        <v>1644</v>
      </c>
      <c r="M251" s="44" t="s">
        <v>1643</v>
      </c>
      <c r="N251" s="44" t="s">
        <v>1643</v>
      </c>
      <c r="O251" s="44" t="s">
        <v>1644</v>
      </c>
      <c r="P251" s="44" t="s">
        <v>1643</v>
      </c>
      <c r="Q251" s="44" t="s">
        <v>1644</v>
      </c>
      <c r="R251" s="44" t="s">
        <v>1644</v>
      </c>
      <c r="S251" s="44" t="s">
        <v>1644</v>
      </c>
    </row>
    <row r="252" spans="1:19" ht="15.75" thickBot="1" x14ac:dyDescent="0.3">
      <c r="A252" s="44" t="s">
        <v>1061</v>
      </c>
      <c r="B252" s="48" t="s">
        <v>1062</v>
      </c>
      <c r="C252" s="44" t="s">
        <v>803</v>
      </c>
      <c r="D252" s="44" t="s">
        <v>3402</v>
      </c>
      <c r="E252" s="197">
        <v>50000</v>
      </c>
      <c r="F252" s="197">
        <v>50000</v>
      </c>
      <c r="G252" s="47">
        <v>40</v>
      </c>
      <c r="H252" s="44" t="s">
        <v>1644</v>
      </c>
      <c r="I252" s="44" t="s">
        <v>1644</v>
      </c>
      <c r="J252" s="44" t="s">
        <v>1644</v>
      </c>
      <c r="K252" s="44" t="s">
        <v>1643</v>
      </c>
      <c r="L252" s="44" t="s">
        <v>1644</v>
      </c>
      <c r="M252" s="44" t="s">
        <v>1643</v>
      </c>
      <c r="N252" s="44" t="s">
        <v>1643</v>
      </c>
      <c r="O252" s="44" t="s">
        <v>1644</v>
      </c>
      <c r="P252" s="44" t="s">
        <v>1643</v>
      </c>
      <c r="Q252" s="44" t="s">
        <v>1644</v>
      </c>
      <c r="R252" s="44" t="s">
        <v>1644</v>
      </c>
      <c r="S252" s="44" t="s">
        <v>1644</v>
      </c>
    </row>
    <row r="253" spans="1:19" ht="15.75" thickBot="1" x14ac:dyDescent="0.3">
      <c r="A253" s="44" t="s">
        <v>1067</v>
      </c>
      <c r="B253" s="48" t="s">
        <v>1068</v>
      </c>
      <c r="C253" s="44" t="s">
        <v>803</v>
      </c>
      <c r="D253" s="44" t="s">
        <v>3403</v>
      </c>
      <c r="E253" s="197">
        <v>70000</v>
      </c>
      <c r="F253" s="197">
        <v>80000</v>
      </c>
      <c r="G253" s="47">
        <v>35</v>
      </c>
      <c r="H253" s="44" t="s">
        <v>1643</v>
      </c>
      <c r="I253" s="44" t="s">
        <v>1643</v>
      </c>
      <c r="J253" s="44" t="s">
        <v>1643</v>
      </c>
      <c r="K253" s="44" t="s">
        <v>1644</v>
      </c>
      <c r="L253" s="44" t="s">
        <v>1643</v>
      </c>
      <c r="M253" s="44" t="s">
        <v>1643</v>
      </c>
      <c r="N253" s="44" t="s">
        <v>1643</v>
      </c>
      <c r="O253" s="44" t="s">
        <v>1643</v>
      </c>
      <c r="P253" s="44" t="s">
        <v>1643</v>
      </c>
      <c r="Q253" s="44" t="s">
        <v>1644</v>
      </c>
      <c r="R253" s="44" t="s">
        <v>1644</v>
      </c>
      <c r="S253" s="44" t="s">
        <v>1644</v>
      </c>
    </row>
    <row r="254" spans="1:19" ht="15.75" thickBot="1" x14ac:dyDescent="0.3">
      <c r="A254" s="44" t="s">
        <v>1073</v>
      </c>
      <c r="B254" s="48" t="s">
        <v>1074</v>
      </c>
      <c r="C254" s="44" t="s">
        <v>803</v>
      </c>
      <c r="D254" s="44" t="s">
        <v>3403</v>
      </c>
      <c r="E254" s="197">
        <v>58800</v>
      </c>
      <c r="F254" s="197">
        <v>61000</v>
      </c>
      <c r="G254" s="47">
        <v>34</v>
      </c>
      <c r="H254" s="44" t="s">
        <v>1643</v>
      </c>
      <c r="I254" s="44" t="s">
        <v>1643</v>
      </c>
      <c r="J254" s="44" t="s">
        <v>1643</v>
      </c>
      <c r="K254" s="44" t="s">
        <v>1643</v>
      </c>
      <c r="L254" s="44" t="s">
        <v>1644</v>
      </c>
      <c r="M254" s="44" t="s">
        <v>1643</v>
      </c>
      <c r="N254" s="44" t="s">
        <v>1643</v>
      </c>
      <c r="O254" s="44" t="s">
        <v>1644</v>
      </c>
      <c r="P254" s="44" t="s">
        <v>1643</v>
      </c>
      <c r="Q254" s="44" t="s">
        <v>1643</v>
      </c>
      <c r="R254" s="44" t="s">
        <v>1643</v>
      </c>
      <c r="S254" s="44" t="s">
        <v>1644</v>
      </c>
    </row>
    <row r="255" spans="1:19" ht="15.75" thickBot="1" x14ac:dyDescent="0.3">
      <c r="A255" s="44" t="s">
        <v>1077</v>
      </c>
      <c r="B255" s="48" t="s">
        <v>1078</v>
      </c>
      <c r="C255" s="44" t="s">
        <v>803</v>
      </c>
      <c r="D255" s="44" t="s">
        <v>3402</v>
      </c>
      <c r="E255" s="197">
        <v>60000</v>
      </c>
      <c r="F255" s="197">
        <v>70000</v>
      </c>
      <c r="G255" s="47">
        <v>40</v>
      </c>
      <c r="H255" s="44" t="s">
        <v>1643</v>
      </c>
      <c r="I255" s="44" t="s">
        <v>1643</v>
      </c>
      <c r="J255" s="44" t="s">
        <v>1644</v>
      </c>
      <c r="K255" s="44" t="s">
        <v>1643</v>
      </c>
      <c r="L255" s="44" t="s">
        <v>1643</v>
      </c>
      <c r="M255" s="44" t="s">
        <v>1643</v>
      </c>
      <c r="N255" s="44" t="s">
        <v>1643</v>
      </c>
      <c r="O255" s="44" t="s">
        <v>1643</v>
      </c>
      <c r="P255" s="44" t="s">
        <v>1643</v>
      </c>
      <c r="Q255" s="44" t="s">
        <v>1643</v>
      </c>
      <c r="R255" s="44" t="s">
        <v>1644</v>
      </c>
      <c r="S255" s="44" t="s">
        <v>1644</v>
      </c>
    </row>
    <row r="256" spans="1:19" ht="15.75" thickBot="1" x14ac:dyDescent="0.3">
      <c r="A256" s="44" t="s">
        <v>1079</v>
      </c>
      <c r="B256" s="48" t="s">
        <v>1080</v>
      </c>
      <c r="C256" s="44" t="s">
        <v>803</v>
      </c>
      <c r="D256" s="44" t="s">
        <v>3403</v>
      </c>
      <c r="E256" s="197">
        <v>45000</v>
      </c>
      <c r="F256" s="197">
        <v>45000</v>
      </c>
      <c r="G256" s="47">
        <v>40</v>
      </c>
      <c r="H256" s="44" t="s">
        <v>1644</v>
      </c>
      <c r="I256" s="44" t="s">
        <v>1644</v>
      </c>
      <c r="J256" s="44" t="s">
        <v>1644</v>
      </c>
      <c r="K256" s="44" t="s">
        <v>1644</v>
      </c>
      <c r="L256" s="44" t="s">
        <v>1644</v>
      </c>
      <c r="M256" s="44" t="s">
        <v>1644</v>
      </c>
      <c r="N256" s="44" t="s">
        <v>1643</v>
      </c>
      <c r="O256" s="44" t="s">
        <v>1643</v>
      </c>
      <c r="P256" s="44" t="s">
        <v>1643</v>
      </c>
      <c r="Q256" s="44" t="s">
        <v>1644</v>
      </c>
      <c r="R256" s="44" t="s">
        <v>1644</v>
      </c>
      <c r="S256" s="44" t="s">
        <v>1644</v>
      </c>
    </row>
    <row r="257" spans="1:19" ht="15.75" thickBot="1" x14ac:dyDescent="0.3">
      <c r="A257" s="44" t="s">
        <v>1097</v>
      </c>
      <c r="B257" s="48" t="s">
        <v>1098</v>
      </c>
      <c r="C257" s="44" t="s">
        <v>803</v>
      </c>
      <c r="D257" s="44" t="s">
        <v>3402</v>
      </c>
      <c r="E257" s="197">
        <v>59740</v>
      </c>
      <c r="F257" s="197">
        <v>59740</v>
      </c>
      <c r="G257" s="47">
        <v>40</v>
      </c>
      <c r="H257" s="44" t="s">
        <v>1643</v>
      </c>
      <c r="I257" s="44" t="s">
        <v>1643</v>
      </c>
      <c r="J257" s="44" t="s">
        <v>1643</v>
      </c>
      <c r="K257" s="44" t="s">
        <v>1644</v>
      </c>
      <c r="L257" s="44" t="s">
        <v>1643</v>
      </c>
      <c r="M257" s="44" t="s">
        <v>1643</v>
      </c>
      <c r="N257" s="44" t="s">
        <v>1643</v>
      </c>
      <c r="O257" s="44" t="s">
        <v>1644</v>
      </c>
      <c r="P257" s="44" t="s">
        <v>1643</v>
      </c>
      <c r="Q257" s="44" t="s">
        <v>1644</v>
      </c>
      <c r="R257" s="44" t="s">
        <v>1644</v>
      </c>
      <c r="S257" s="44" t="s">
        <v>1644</v>
      </c>
    </row>
    <row r="258" spans="1:19" ht="15.75" thickBot="1" x14ac:dyDescent="0.3">
      <c r="A258" s="44" t="s">
        <v>1105</v>
      </c>
      <c r="B258" s="48" t="s">
        <v>1106</v>
      </c>
      <c r="C258" s="44" t="s">
        <v>803</v>
      </c>
      <c r="D258" s="44" t="s">
        <v>3402</v>
      </c>
      <c r="E258" s="197">
        <v>60000</v>
      </c>
      <c r="F258" s="197">
        <v>80000</v>
      </c>
      <c r="G258" s="47">
        <v>40</v>
      </c>
      <c r="H258" s="44" t="s">
        <v>1644</v>
      </c>
      <c r="I258" s="44" t="s">
        <v>1644</v>
      </c>
      <c r="J258" s="44" t="s">
        <v>1644</v>
      </c>
      <c r="K258" s="44" t="s">
        <v>1643</v>
      </c>
      <c r="L258" s="44" t="s">
        <v>1643</v>
      </c>
      <c r="M258" s="44" t="s">
        <v>1643</v>
      </c>
      <c r="N258" s="44" t="s">
        <v>1643</v>
      </c>
      <c r="O258" s="44" t="s">
        <v>1644</v>
      </c>
      <c r="P258" s="44" t="s">
        <v>1643</v>
      </c>
      <c r="Q258" s="44" t="s">
        <v>1643</v>
      </c>
      <c r="R258" s="44" t="s">
        <v>1643</v>
      </c>
      <c r="S258" s="44" t="s">
        <v>1644</v>
      </c>
    </row>
    <row r="259" spans="1:19" ht="15.75" thickBot="1" x14ac:dyDescent="0.3">
      <c r="A259" s="44" t="s">
        <v>1115</v>
      </c>
      <c r="B259" s="48" t="s">
        <v>1116</v>
      </c>
      <c r="C259" s="44" t="s">
        <v>803</v>
      </c>
      <c r="D259" s="44" t="s">
        <v>3402</v>
      </c>
      <c r="E259" s="197">
        <v>75941</v>
      </c>
      <c r="F259" s="197">
        <v>75941</v>
      </c>
      <c r="G259" s="47">
        <v>40</v>
      </c>
      <c r="H259" s="44" t="s">
        <v>1643</v>
      </c>
      <c r="I259" s="44" t="s">
        <v>1643</v>
      </c>
      <c r="J259" s="44" t="s">
        <v>1643</v>
      </c>
      <c r="K259" s="44" t="s">
        <v>1643</v>
      </c>
      <c r="L259" s="44" t="s">
        <v>1644</v>
      </c>
      <c r="M259" s="44" t="s">
        <v>1643</v>
      </c>
      <c r="N259" s="44" t="s">
        <v>1643</v>
      </c>
      <c r="O259" s="44" t="s">
        <v>1643</v>
      </c>
      <c r="P259" s="44" t="s">
        <v>1643</v>
      </c>
      <c r="Q259" s="44" t="s">
        <v>1643</v>
      </c>
      <c r="R259" s="44" t="s">
        <v>1643</v>
      </c>
      <c r="S259" s="44" t="s">
        <v>1644</v>
      </c>
    </row>
    <row r="260" spans="1:19" ht="15.75" thickBot="1" x14ac:dyDescent="0.3">
      <c r="A260" s="44" t="s">
        <v>1117</v>
      </c>
      <c r="B260" s="48" t="s">
        <v>1118</v>
      </c>
      <c r="C260" s="44" t="s">
        <v>803</v>
      </c>
      <c r="D260" s="44" t="s">
        <v>3402</v>
      </c>
      <c r="E260" s="197">
        <v>45000</v>
      </c>
      <c r="F260" s="197">
        <v>68000</v>
      </c>
      <c r="G260" s="47">
        <v>40</v>
      </c>
      <c r="H260" s="44" t="s">
        <v>1643</v>
      </c>
      <c r="I260" s="44" t="s">
        <v>1644</v>
      </c>
      <c r="J260" s="44" t="s">
        <v>1643</v>
      </c>
      <c r="K260" s="44" t="s">
        <v>1643</v>
      </c>
      <c r="L260" s="44" t="s">
        <v>1643</v>
      </c>
      <c r="M260" s="44" t="s">
        <v>1643</v>
      </c>
      <c r="N260" s="44" t="s">
        <v>1643</v>
      </c>
      <c r="O260" s="44" t="s">
        <v>1643</v>
      </c>
      <c r="P260" s="44" t="s">
        <v>1643</v>
      </c>
      <c r="Q260" s="44" t="s">
        <v>1644</v>
      </c>
      <c r="R260" s="44" t="s">
        <v>1644</v>
      </c>
      <c r="S260" s="44" t="s">
        <v>1644</v>
      </c>
    </row>
    <row r="261" spans="1:19" ht="15.75" thickBot="1" x14ac:dyDescent="0.3">
      <c r="A261" s="44" t="s">
        <v>1121</v>
      </c>
      <c r="B261" s="48" t="s">
        <v>1122</v>
      </c>
      <c r="C261" s="44" t="s">
        <v>803</v>
      </c>
      <c r="D261" s="44" t="s">
        <v>3402</v>
      </c>
      <c r="E261" s="197">
        <v>55000</v>
      </c>
      <c r="F261" s="197">
        <v>60000</v>
      </c>
      <c r="G261" s="47">
        <v>38</v>
      </c>
      <c r="H261" s="44" t="s">
        <v>1643</v>
      </c>
      <c r="I261" s="44" t="s">
        <v>1643</v>
      </c>
      <c r="J261" s="44" t="s">
        <v>1643</v>
      </c>
      <c r="K261" s="44" t="s">
        <v>1643</v>
      </c>
      <c r="L261" s="44" t="s">
        <v>1643</v>
      </c>
      <c r="M261" s="44" t="s">
        <v>1643</v>
      </c>
      <c r="N261" s="44" t="s">
        <v>1643</v>
      </c>
      <c r="O261" s="44" t="s">
        <v>1643</v>
      </c>
      <c r="P261" s="44" t="s">
        <v>1643</v>
      </c>
      <c r="Q261" s="44" t="s">
        <v>1643</v>
      </c>
      <c r="R261" s="44" t="s">
        <v>1644</v>
      </c>
      <c r="S261" s="44" t="s">
        <v>1643</v>
      </c>
    </row>
    <row r="262" spans="1:19" ht="15.75" thickBot="1" x14ac:dyDescent="0.3">
      <c r="A262" s="44" t="s">
        <v>1123</v>
      </c>
      <c r="B262" s="48" t="s">
        <v>1124</v>
      </c>
      <c r="C262" s="44" t="s">
        <v>803</v>
      </c>
      <c r="D262" s="44" t="s">
        <v>3402</v>
      </c>
      <c r="E262" s="197">
        <v>25000</v>
      </c>
      <c r="F262" s="197">
        <v>50000</v>
      </c>
      <c r="G262" s="47">
        <v>40</v>
      </c>
      <c r="H262" s="44" t="s">
        <v>1644</v>
      </c>
      <c r="I262" s="44" t="s">
        <v>1644</v>
      </c>
      <c r="J262" s="44" t="s">
        <v>1644</v>
      </c>
      <c r="K262" s="44" t="s">
        <v>1643</v>
      </c>
      <c r="L262" s="44" t="s">
        <v>1643</v>
      </c>
      <c r="M262" s="44" t="s">
        <v>1643</v>
      </c>
      <c r="N262" s="44" t="s">
        <v>1643</v>
      </c>
      <c r="O262" s="44" t="s">
        <v>1643</v>
      </c>
      <c r="P262" s="44" t="s">
        <v>1643</v>
      </c>
      <c r="Q262" s="44" t="s">
        <v>1644</v>
      </c>
      <c r="R262" s="44" t="s">
        <v>1644</v>
      </c>
      <c r="S262" s="44" t="s">
        <v>1644</v>
      </c>
    </row>
    <row r="263" spans="1:19" ht="15.75" thickBot="1" x14ac:dyDescent="0.3">
      <c r="A263" s="44" t="s">
        <v>1125</v>
      </c>
      <c r="B263" s="48" t="s">
        <v>1126</v>
      </c>
      <c r="C263" s="44" t="s">
        <v>803</v>
      </c>
      <c r="D263" s="44" t="s">
        <v>3402</v>
      </c>
      <c r="E263" s="197">
        <v>60000</v>
      </c>
      <c r="F263" s="197">
        <v>60000</v>
      </c>
      <c r="G263" s="47">
        <v>40</v>
      </c>
      <c r="H263" s="44" t="s">
        <v>1643</v>
      </c>
      <c r="I263" s="44" t="s">
        <v>1643</v>
      </c>
      <c r="J263" s="44" t="s">
        <v>1644</v>
      </c>
      <c r="K263" s="44" t="s">
        <v>1643</v>
      </c>
      <c r="L263" s="44" t="s">
        <v>1644</v>
      </c>
      <c r="M263" s="44" t="s">
        <v>1643</v>
      </c>
      <c r="N263" s="44" t="s">
        <v>1643</v>
      </c>
      <c r="O263" s="44" t="s">
        <v>1643</v>
      </c>
      <c r="P263" s="44" t="s">
        <v>1643</v>
      </c>
      <c r="Q263" s="44" t="s">
        <v>1643</v>
      </c>
      <c r="R263" s="44" t="s">
        <v>1644</v>
      </c>
      <c r="S263" s="44" t="s">
        <v>1644</v>
      </c>
    </row>
    <row r="264" spans="1:19" ht="15.75" thickBot="1" x14ac:dyDescent="0.3">
      <c r="A264" s="44" t="s">
        <v>1131</v>
      </c>
      <c r="B264" s="48" t="s">
        <v>1132</v>
      </c>
      <c r="C264" s="44" t="s">
        <v>803</v>
      </c>
      <c r="D264" s="44" t="s">
        <v>3403</v>
      </c>
      <c r="E264" s="197">
        <v>50000</v>
      </c>
      <c r="F264" s="197">
        <v>50000</v>
      </c>
      <c r="G264" s="47">
        <v>40</v>
      </c>
      <c r="H264" s="44" t="s">
        <v>1643</v>
      </c>
      <c r="I264" s="44" t="s">
        <v>1643</v>
      </c>
      <c r="J264" s="44" t="s">
        <v>1644</v>
      </c>
      <c r="K264" s="44" t="s">
        <v>1643</v>
      </c>
      <c r="L264" s="44" t="s">
        <v>1643</v>
      </c>
      <c r="M264" s="44" t="s">
        <v>1643</v>
      </c>
      <c r="N264" s="44" t="s">
        <v>1643</v>
      </c>
      <c r="O264" s="44" t="s">
        <v>1643</v>
      </c>
      <c r="P264" s="44" t="s">
        <v>1643</v>
      </c>
      <c r="Q264" s="44" t="s">
        <v>1643</v>
      </c>
      <c r="R264" s="44" t="s">
        <v>1643</v>
      </c>
      <c r="S264" s="44" t="s">
        <v>1644</v>
      </c>
    </row>
    <row r="265" spans="1:19" ht="15.75" thickBot="1" x14ac:dyDescent="0.3">
      <c r="A265" s="44" t="s">
        <v>1133</v>
      </c>
      <c r="B265" s="48" t="s">
        <v>1134</v>
      </c>
      <c r="C265" s="44" t="s">
        <v>803</v>
      </c>
      <c r="D265" s="44" t="s">
        <v>3402</v>
      </c>
      <c r="E265" s="197">
        <v>40000</v>
      </c>
      <c r="F265" s="197">
        <v>55000</v>
      </c>
      <c r="G265" s="47">
        <v>40</v>
      </c>
      <c r="H265" s="44" t="s">
        <v>1643</v>
      </c>
      <c r="I265" s="44" t="s">
        <v>1643</v>
      </c>
      <c r="J265" s="44" t="s">
        <v>1643</v>
      </c>
      <c r="K265" s="44" t="s">
        <v>1643</v>
      </c>
      <c r="L265" s="44" t="s">
        <v>1643</v>
      </c>
      <c r="M265" s="44" t="s">
        <v>1643</v>
      </c>
      <c r="N265" s="44" t="s">
        <v>1643</v>
      </c>
      <c r="O265" s="44" t="s">
        <v>1644</v>
      </c>
      <c r="P265" s="44" t="s">
        <v>1643</v>
      </c>
      <c r="Q265" s="44" t="s">
        <v>1643</v>
      </c>
      <c r="R265" s="44" t="s">
        <v>1643</v>
      </c>
      <c r="S265" s="44" t="s">
        <v>1644</v>
      </c>
    </row>
    <row r="266" spans="1:19" ht="15.75" thickBot="1" x14ac:dyDescent="0.3">
      <c r="A266" s="44" t="s">
        <v>1141</v>
      </c>
      <c r="B266" s="48" t="s">
        <v>1142</v>
      </c>
      <c r="C266" s="44" t="s">
        <v>803</v>
      </c>
      <c r="D266" s="44" t="s">
        <v>3402</v>
      </c>
      <c r="E266" s="197">
        <v>52000</v>
      </c>
      <c r="F266" s="197">
        <v>61075</v>
      </c>
      <c r="G266" s="47">
        <v>38</v>
      </c>
      <c r="H266" s="44" t="s">
        <v>1643</v>
      </c>
      <c r="I266" s="44" t="s">
        <v>1643</v>
      </c>
      <c r="J266" s="44" t="s">
        <v>1643</v>
      </c>
      <c r="K266" s="44" t="s">
        <v>1643</v>
      </c>
      <c r="L266" s="44" t="s">
        <v>1643</v>
      </c>
      <c r="M266" s="44" t="s">
        <v>1643</v>
      </c>
      <c r="N266" s="44" t="s">
        <v>1643</v>
      </c>
      <c r="O266" s="44" t="s">
        <v>1643</v>
      </c>
      <c r="P266" s="44" t="s">
        <v>1643</v>
      </c>
      <c r="Q266" s="44" t="s">
        <v>1643</v>
      </c>
      <c r="R266" s="44" t="s">
        <v>1644</v>
      </c>
      <c r="S266" s="44" t="s">
        <v>1644</v>
      </c>
    </row>
    <row r="267" spans="1:19" ht="15.75" thickBot="1" x14ac:dyDescent="0.3">
      <c r="A267" s="44" t="s">
        <v>1145</v>
      </c>
      <c r="B267" s="48" t="s">
        <v>1146</v>
      </c>
      <c r="C267" s="44" t="s">
        <v>803</v>
      </c>
      <c r="D267" s="44" t="s">
        <v>3403</v>
      </c>
      <c r="E267" s="197">
        <v>45000</v>
      </c>
      <c r="F267" s="197">
        <v>52000</v>
      </c>
      <c r="G267" s="47">
        <v>40</v>
      </c>
      <c r="H267" s="44" t="s">
        <v>1644</v>
      </c>
      <c r="I267" s="44" t="s">
        <v>1644</v>
      </c>
      <c r="J267" s="44" t="s">
        <v>1644</v>
      </c>
      <c r="K267" s="44" t="s">
        <v>1644</v>
      </c>
      <c r="L267" s="44" t="s">
        <v>1644</v>
      </c>
      <c r="M267" s="44" t="s">
        <v>1643</v>
      </c>
      <c r="N267" s="44" t="s">
        <v>1643</v>
      </c>
      <c r="O267" s="44" t="s">
        <v>1643</v>
      </c>
      <c r="P267" s="44" t="s">
        <v>1643</v>
      </c>
      <c r="Q267" s="44" t="s">
        <v>1644</v>
      </c>
      <c r="R267" s="44" t="s">
        <v>1644</v>
      </c>
      <c r="S267" s="44" t="s">
        <v>1644</v>
      </c>
    </row>
    <row r="268" spans="1:19" ht="15.75" thickBot="1" x14ac:dyDescent="0.3">
      <c r="A268" s="44" t="s">
        <v>1153</v>
      </c>
      <c r="B268" s="48" t="s">
        <v>1154</v>
      </c>
      <c r="C268" s="44" t="s">
        <v>803</v>
      </c>
      <c r="D268" s="44" t="s">
        <v>3403</v>
      </c>
      <c r="E268" s="197">
        <v>39520</v>
      </c>
      <c r="F268" s="197">
        <v>60000</v>
      </c>
      <c r="G268" s="47">
        <v>40</v>
      </c>
      <c r="H268" s="44" t="s">
        <v>1643</v>
      </c>
      <c r="I268" s="44" t="s">
        <v>1643</v>
      </c>
      <c r="J268" s="44" t="s">
        <v>1643</v>
      </c>
      <c r="K268" s="44" t="s">
        <v>1643</v>
      </c>
      <c r="L268" s="44" t="s">
        <v>1643</v>
      </c>
      <c r="M268" s="44" t="s">
        <v>1643</v>
      </c>
      <c r="N268" s="44" t="s">
        <v>1643</v>
      </c>
      <c r="O268" s="44" t="s">
        <v>1643</v>
      </c>
      <c r="P268" s="44" t="s">
        <v>1643</v>
      </c>
      <c r="Q268" s="44" t="s">
        <v>1644</v>
      </c>
      <c r="R268" s="44" t="s">
        <v>1643</v>
      </c>
      <c r="S268" s="44" t="s">
        <v>1644</v>
      </c>
    </row>
    <row r="269" spans="1:19" ht="15.75" thickBot="1" x14ac:dyDescent="0.3">
      <c r="A269" s="44" t="s">
        <v>1155</v>
      </c>
      <c r="B269" s="48" t="s">
        <v>1156</v>
      </c>
      <c r="C269" s="44" t="s">
        <v>803</v>
      </c>
      <c r="D269" s="44" t="s">
        <v>3402</v>
      </c>
      <c r="E269" s="197">
        <v>57685</v>
      </c>
      <c r="F269" s="197">
        <v>74989</v>
      </c>
      <c r="G269" s="47">
        <v>40</v>
      </c>
      <c r="H269" s="44" t="s">
        <v>1643</v>
      </c>
      <c r="I269" s="44" t="s">
        <v>1643</v>
      </c>
      <c r="J269" s="44" t="s">
        <v>1644</v>
      </c>
      <c r="K269" s="44" t="s">
        <v>1643</v>
      </c>
      <c r="L269" s="44" t="s">
        <v>1644</v>
      </c>
      <c r="M269" s="44" t="s">
        <v>1643</v>
      </c>
      <c r="N269" s="44" t="s">
        <v>1643</v>
      </c>
      <c r="O269" s="44" t="s">
        <v>1643</v>
      </c>
      <c r="P269" s="44" t="s">
        <v>1643</v>
      </c>
      <c r="Q269" s="44" t="s">
        <v>1643</v>
      </c>
      <c r="R269" s="44" t="s">
        <v>1643</v>
      </c>
      <c r="S269" s="44" t="s">
        <v>1643</v>
      </c>
    </row>
    <row r="270" spans="1:19" ht="15.75" thickBot="1" x14ac:dyDescent="0.3">
      <c r="A270" s="44" t="s">
        <v>1169</v>
      </c>
      <c r="B270" s="48" t="s">
        <v>1170</v>
      </c>
      <c r="C270" s="44" t="s">
        <v>803</v>
      </c>
      <c r="D270" s="44" t="s">
        <v>3402</v>
      </c>
      <c r="E270" s="197">
        <v>70200</v>
      </c>
      <c r="F270" s="197">
        <v>70200</v>
      </c>
      <c r="G270" s="47">
        <v>40</v>
      </c>
      <c r="H270" s="44" t="s">
        <v>1643</v>
      </c>
      <c r="I270" s="44" t="s">
        <v>1643</v>
      </c>
      <c r="J270" s="44" t="s">
        <v>1643</v>
      </c>
      <c r="K270" s="44" t="s">
        <v>1643</v>
      </c>
      <c r="L270" s="44" t="s">
        <v>1643</v>
      </c>
      <c r="M270" s="44" t="s">
        <v>1643</v>
      </c>
      <c r="N270" s="44" t="s">
        <v>1643</v>
      </c>
      <c r="O270" s="44" t="s">
        <v>1643</v>
      </c>
      <c r="P270" s="44" t="s">
        <v>1643</v>
      </c>
      <c r="Q270" s="44" t="s">
        <v>1643</v>
      </c>
      <c r="R270" s="44" t="s">
        <v>1644</v>
      </c>
      <c r="S270" s="44" t="s">
        <v>1643</v>
      </c>
    </row>
    <row r="271" spans="1:19" ht="15.75" thickBot="1" x14ac:dyDescent="0.3">
      <c r="A271" s="44" t="s">
        <v>1175</v>
      </c>
      <c r="B271" s="48" t="s">
        <v>1176</v>
      </c>
      <c r="C271" s="44" t="s">
        <v>803</v>
      </c>
      <c r="D271" s="44" t="s">
        <v>3402</v>
      </c>
      <c r="E271" s="197">
        <v>54974</v>
      </c>
      <c r="F271" s="197">
        <v>55910</v>
      </c>
      <c r="G271" s="47">
        <v>40</v>
      </c>
      <c r="H271" s="44" t="s">
        <v>1643</v>
      </c>
      <c r="I271" s="44" t="s">
        <v>1643</v>
      </c>
      <c r="J271" s="44" t="s">
        <v>1643</v>
      </c>
      <c r="K271" s="44" t="s">
        <v>1643</v>
      </c>
      <c r="L271" s="44" t="s">
        <v>1643</v>
      </c>
      <c r="M271" s="44" t="s">
        <v>1643</v>
      </c>
      <c r="N271" s="44" t="s">
        <v>1643</v>
      </c>
      <c r="O271" s="44" t="s">
        <v>1643</v>
      </c>
      <c r="P271" s="44" t="s">
        <v>1643</v>
      </c>
      <c r="Q271" s="44" t="s">
        <v>1644</v>
      </c>
      <c r="R271" s="44" t="s">
        <v>1644</v>
      </c>
      <c r="S271" s="44" t="s">
        <v>1643</v>
      </c>
    </row>
    <row r="272" spans="1:19" ht="15.75" thickBot="1" x14ac:dyDescent="0.3">
      <c r="A272" s="44" t="s">
        <v>1189</v>
      </c>
      <c r="B272" s="48" t="s">
        <v>1190</v>
      </c>
      <c r="C272" s="44" t="s">
        <v>803</v>
      </c>
      <c r="D272" s="44" t="s">
        <v>3402</v>
      </c>
      <c r="E272" s="197">
        <v>52000</v>
      </c>
      <c r="F272" s="197">
        <v>56000</v>
      </c>
      <c r="G272" s="47">
        <v>40</v>
      </c>
      <c r="H272" s="44" t="s">
        <v>1643</v>
      </c>
      <c r="I272" s="44" t="s">
        <v>1643</v>
      </c>
      <c r="J272" s="44" t="s">
        <v>1643</v>
      </c>
      <c r="K272" s="44" t="s">
        <v>1643</v>
      </c>
      <c r="L272" s="44" t="s">
        <v>1643</v>
      </c>
      <c r="M272" s="44" t="s">
        <v>1643</v>
      </c>
      <c r="N272" s="44" t="s">
        <v>1643</v>
      </c>
      <c r="O272" s="44" t="s">
        <v>1643</v>
      </c>
      <c r="P272" s="44" t="s">
        <v>1643</v>
      </c>
      <c r="Q272" s="44" t="s">
        <v>1643</v>
      </c>
      <c r="R272" s="44" t="s">
        <v>1643</v>
      </c>
      <c r="S272" s="44" t="s">
        <v>1644</v>
      </c>
    </row>
    <row r="273" spans="1:19" ht="15.75" thickBot="1" x14ac:dyDescent="0.3">
      <c r="A273" s="44" t="s">
        <v>1207</v>
      </c>
      <c r="B273" s="48" t="s">
        <v>1208</v>
      </c>
      <c r="C273" s="44" t="s">
        <v>803</v>
      </c>
      <c r="D273" s="44" t="s">
        <v>3403</v>
      </c>
      <c r="E273" s="197">
        <v>57000</v>
      </c>
      <c r="F273" s="197">
        <v>57000</v>
      </c>
      <c r="G273" s="47">
        <v>40</v>
      </c>
      <c r="H273" s="44" t="s">
        <v>1644</v>
      </c>
      <c r="I273" s="44" t="s">
        <v>1644</v>
      </c>
      <c r="J273" s="44" t="s">
        <v>1644</v>
      </c>
      <c r="K273" s="44" t="s">
        <v>1644</v>
      </c>
      <c r="L273" s="44" t="s">
        <v>1644</v>
      </c>
      <c r="M273" s="44" t="s">
        <v>1644</v>
      </c>
      <c r="N273" s="44" t="s">
        <v>1644</v>
      </c>
      <c r="O273" s="44" t="s">
        <v>1643</v>
      </c>
      <c r="P273" s="44" t="s">
        <v>1644</v>
      </c>
      <c r="Q273" s="44" t="s">
        <v>1643</v>
      </c>
      <c r="R273" s="44" t="s">
        <v>1644</v>
      </c>
      <c r="S273" s="44" t="s">
        <v>1644</v>
      </c>
    </row>
    <row r="274" spans="1:19" ht="15.75" thickBot="1" x14ac:dyDescent="0.3">
      <c r="A274" s="44" t="s">
        <v>1223</v>
      </c>
      <c r="B274" s="48" t="s">
        <v>1224</v>
      </c>
      <c r="C274" s="44" t="s">
        <v>803</v>
      </c>
      <c r="D274" s="44" t="s">
        <v>3402</v>
      </c>
      <c r="E274" s="197">
        <v>65000</v>
      </c>
      <c r="F274" s="197">
        <v>80000</v>
      </c>
      <c r="G274" s="47">
        <v>40</v>
      </c>
      <c r="H274" s="44" t="s">
        <v>1643</v>
      </c>
      <c r="I274" s="44" t="s">
        <v>1644</v>
      </c>
      <c r="J274" s="44" t="s">
        <v>1644</v>
      </c>
      <c r="K274" s="44" t="s">
        <v>1643</v>
      </c>
      <c r="L274" s="44" t="s">
        <v>1644</v>
      </c>
      <c r="M274" s="44" t="s">
        <v>1643</v>
      </c>
      <c r="N274" s="44" t="s">
        <v>1643</v>
      </c>
      <c r="O274" s="44" t="s">
        <v>1644</v>
      </c>
      <c r="P274" s="44" t="s">
        <v>1643</v>
      </c>
      <c r="Q274" s="44" t="s">
        <v>1643</v>
      </c>
      <c r="R274" s="44" t="s">
        <v>1644</v>
      </c>
      <c r="S274" s="44" t="s">
        <v>1644</v>
      </c>
    </row>
    <row r="275" spans="1:19" ht="15.75" thickBot="1" x14ac:dyDescent="0.3">
      <c r="A275" s="44" t="s">
        <v>1235</v>
      </c>
      <c r="B275" s="48" t="s">
        <v>1236</v>
      </c>
      <c r="C275" s="44" t="s">
        <v>803</v>
      </c>
      <c r="D275" s="44" t="s">
        <v>3402</v>
      </c>
      <c r="E275" s="197">
        <v>60000</v>
      </c>
      <c r="F275" s="197">
        <v>74250</v>
      </c>
      <c r="G275" s="47">
        <v>40</v>
      </c>
      <c r="H275" s="44" t="s">
        <v>1643</v>
      </c>
      <c r="I275" s="44" t="s">
        <v>1643</v>
      </c>
      <c r="J275" s="44" t="s">
        <v>1643</v>
      </c>
      <c r="K275" s="44" t="s">
        <v>1644</v>
      </c>
      <c r="L275" s="44" t="s">
        <v>1643</v>
      </c>
      <c r="M275" s="44" t="s">
        <v>1643</v>
      </c>
      <c r="N275" s="44" t="s">
        <v>1643</v>
      </c>
      <c r="O275" s="44" t="s">
        <v>1643</v>
      </c>
      <c r="P275" s="44" t="s">
        <v>1643</v>
      </c>
      <c r="Q275" s="44" t="s">
        <v>1643</v>
      </c>
      <c r="R275" s="44" t="s">
        <v>1644</v>
      </c>
      <c r="S275" s="44" t="s">
        <v>1644</v>
      </c>
    </row>
    <row r="276" spans="1:19" ht="15.75" thickBot="1" x14ac:dyDescent="0.3">
      <c r="A276" s="44" t="s">
        <v>1241</v>
      </c>
      <c r="B276" s="48" t="s">
        <v>1242</v>
      </c>
      <c r="C276" s="44" t="s">
        <v>803</v>
      </c>
      <c r="D276" s="44" t="s">
        <v>3402</v>
      </c>
      <c r="E276" s="197">
        <v>39000</v>
      </c>
      <c r="F276" s="197">
        <v>60840</v>
      </c>
      <c r="G276" s="47">
        <v>40</v>
      </c>
      <c r="H276" s="44" t="s">
        <v>1643</v>
      </c>
      <c r="I276" s="44" t="s">
        <v>1643</v>
      </c>
      <c r="J276" s="44" t="s">
        <v>1643</v>
      </c>
      <c r="K276" s="44" t="s">
        <v>1643</v>
      </c>
      <c r="L276" s="44" t="s">
        <v>1643</v>
      </c>
      <c r="M276" s="44" t="s">
        <v>1643</v>
      </c>
      <c r="N276" s="44" t="s">
        <v>1643</v>
      </c>
      <c r="O276" s="44" t="s">
        <v>1644</v>
      </c>
      <c r="P276" s="44" t="s">
        <v>1643</v>
      </c>
      <c r="Q276" s="44" t="s">
        <v>1643</v>
      </c>
      <c r="R276" s="44" t="s">
        <v>1643</v>
      </c>
      <c r="S276" s="44" t="s">
        <v>1644</v>
      </c>
    </row>
    <row r="277" spans="1:19" ht="15.75" thickBot="1" x14ac:dyDescent="0.3">
      <c r="A277" s="44" t="s">
        <v>1255</v>
      </c>
      <c r="B277" s="48" t="s">
        <v>1256</v>
      </c>
      <c r="C277" s="44" t="s">
        <v>803</v>
      </c>
      <c r="D277" s="44" t="s">
        <v>3402</v>
      </c>
      <c r="E277" s="197">
        <v>55000</v>
      </c>
      <c r="F277" s="197">
        <v>70000</v>
      </c>
      <c r="G277" s="47">
        <v>40</v>
      </c>
      <c r="H277" s="44" t="s">
        <v>1643</v>
      </c>
      <c r="I277" s="44" t="s">
        <v>1643</v>
      </c>
      <c r="J277" s="44" t="s">
        <v>1643</v>
      </c>
      <c r="K277" s="44" t="s">
        <v>1643</v>
      </c>
      <c r="L277" s="44" t="s">
        <v>1643</v>
      </c>
      <c r="M277" s="44" t="s">
        <v>1644</v>
      </c>
      <c r="N277" s="44" t="s">
        <v>1643</v>
      </c>
      <c r="O277" s="44" t="s">
        <v>1643</v>
      </c>
      <c r="P277" s="44" t="s">
        <v>1643</v>
      </c>
      <c r="Q277" s="44" t="s">
        <v>1643</v>
      </c>
      <c r="R277" s="44" t="s">
        <v>1643</v>
      </c>
      <c r="S277" s="44" t="s">
        <v>1644</v>
      </c>
    </row>
    <row r="278" spans="1:19" ht="15.75" thickBot="1" x14ac:dyDescent="0.3">
      <c r="A278" s="44" t="s">
        <v>1265</v>
      </c>
      <c r="B278" s="48" t="s">
        <v>1266</v>
      </c>
      <c r="C278" s="44" t="s">
        <v>803</v>
      </c>
      <c r="D278" s="44" t="s">
        <v>3402</v>
      </c>
      <c r="E278" s="197">
        <v>56000</v>
      </c>
      <c r="F278" s="197">
        <v>70000</v>
      </c>
      <c r="G278" s="47">
        <v>40</v>
      </c>
      <c r="H278" s="44" t="s">
        <v>1643</v>
      </c>
      <c r="I278" s="44" t="s">
        <v>1643</v>
      </c>
      <c r="J278" s="44" t="s">
        <v>1643</v>
      </c>
      <c r="K278" s="44" t="s">
        <v>1643</v>
      </c>
      <c r="L278" s="44" t="s">
        <v>1644</v>
      </c>
      <c r="M278" s="44" t="s">
        <v>1643</v>
      </c>
      <c r="N278" s="44" t="s">
        <v>1643</v>
      </c>
      <c r="O278" s="44" t="s">
        <v>1644</v>
      </c>
      <c r="P278" s="44" t="s">
        <v>1643</v>
      </c>
      <c r="Q278" s="44" t="s">
        <v>1643</v>
      </c>
      <c r="R278" s="44" t="s">
        <v>1644</v>
      </c>
      <c r="S278" s="44" t="s">
        <v>1644</v>
      </c>
    </row>
    <row r="279" spans="1:19" ht="15.75" thickBot="1" x14ac:dyDescent="0.3">
      <c r="A279" s="44" t="s">
        <v>1269</v>
      </c>
      <c r="B279" s="48" t="s">
        <v>1270</v>
      </c>
      <c r="C279" s="44" t="s">
        <v>803</v>
      </c>
      <c r="D279" s="44" t="s">
        <v>3402</v>
      </c>
      <c r="E279" s="197">
        <v>56300</v>
      </c>
      <c r="F279" s="197">
        <v>76300</v>
      </c>
      <c r="G279" s="47">
        <v>40</v>
      </c>
      <c r="H279" s="44" t="s">
        <v>1643</v>
      </c>
      <c r="I279" s="44" t="s">
        <v>1643</v>
      </c>
      <c r="J279" s="44" t="s">
        <v>1643</v>
      </c>
      <c r="K279" s="44" t="s">
        <v>1643</v>
      </c>
      <c r="L279" s="44" t="s">
        <v>1643</v>
      </c>
      <c r="M279" s="44" t="s">
        <v>1643</v>
      </c>
      <c r="N279" s="44" t="s">
        <v>1643</v>
      </c>
      <c r="O279" s="44" t="s">
        <v>1643</v>
      </c>
      <c r="P279" s="44" t="s">
        <v>1643</v>
      </c>
      <c r="Q279" s="44" t="s">
        <v>1643</v>
      </c>
      <c r="R279" s="44" t="s">
        <v>1643</v>
      </c>
      <c r="S279" s="44" t="s">
        <v>1644</v>
      </c>
    </row>
    <row r="280" spans="1:19" ht="15.75" thickBot="1" x14ac:dyDescent="0.3">
      <c r="A280" s="44" t="s">
        <v>1281</v>
      </c>
      <c r="B280" s="48" t="s">
        <v>1282</v>
      </c>
      <c r="C280" s="44" t="s">
        <v>803</v>
      </c>
      <c r="D280" s="44" t="s">
        <v>3402</v>
      </c>
      <c r="E280" s="197">
        <v>49527</v>
      </c>
      <c r="F280" s="197">
        <v>59432</v>
      </c>
      <c r="G280" s="47">
        <v>40</v>
      </c>
      <c r="H280" s="44" t="s">
        <v>1643</v>
      </c>
      <c r="I280" s="44" t="s">
        <v>1643</v>
      </c>
      <c r="J280" s="44" t="s">
        <v>1643</v>
      </c>
      <c r="K280" s="44" t="s">
        <v>1643</v>
      </c>
      <c r="L280" s="44" t="s">
        <v>1644</v>
      </c>
      <c r="M280" s="44" t="s">
        <v>1643</v>
      </c>
      <c r="N280" s="44" t="s">
        <v>1643</v>
      </c>
      <c r="O280" s="44" t="s">
        <v>1643</v>
      </c>
      <c r="P280" s="44" t="s">
        <v>1643</v>
      </c>
      <c r="Q280" s="44" t="s">
        <v>1643</v>
      </c>
      <c r="R280" s="44" t="s">
        <v>1643</v>
      </c>
      <c r="S280" s="44" t="s">
        <v>1643</v>
      </c>
    </row>
    <row r="281" spans="1:19" ht="15.75" thickBot="1" x14ac:dyDescent="0.3">
      <c r="A281" s="44" t="s">
        <v>1285</v>
      </c>
      <c r="B281" s="48" t="s">
        <v>1286</v>
      </c>
      <c r="C281" s="44" t="s">
        <v>803</v>
      </c>
      <c r="D281" s="44" t="s">
        <v>3402</v>
      </c>
      <c r="E281" s="197">
        <v>52500</v>
      </c>
      <c r="F281" s="197">
        <v>65000</v>
      </c>
      <c r="G281" s="47">
        <v>40</v>
      </c>
      <c r="H281" s="44" t="s">
        <v>1643</v>
      </c>
      <c r="I281" s="44" t="s">
        <v>1643</v>
      </c>
      <c r="J281" s="44" t="s">
        <v>1643</v>
      </c>
      <c r="K281" s="44" t="s">
        <v>1643</v>
      </c>
      <c r="L281" s="44" t="s">
        <v>1643</v>
      </c>
      <c r="M281" s="44" t="s">
        <v>1643</v>
      </c>
      <c r="N281" s="44" t="s">
        <v>1643</v>
      </c>
      <c r="O281" s="44" t="s">
        <v>1643</v>
      </c>
      <c r="P281" s="44" t="s">
        <v>1643</v>
      </c>
      <c r="Q281" s="44" t="s">
        <v>1643</v>
      </c>
      <c r="R281" s="44" t="s">
        <v>1643</v>
      </c>
      <c r="S281" s="44" t="s">
        <v>1644</v>
      </c>
    </row>
    <row r="282" spans="1:19" ht="15.75" thickBot="1" x14ac:dyDescent="0.3">
      <c r="A282" s="44" t="s">
        <v>1287</v>
      </c>
      <c r="B282" s="48" t="s">
        <v>1288</v>
      </c>
      <c r="C282" s="44" t="s">
        <v>803</v>
      </c>
      <c r="D282" s="44" t="s">
        <v>3402</v>
      </c>
      <c r="E282" s="197">
        <v>60000</v>
      </c>
      <c r="F282" s="197">
        <v>82000</v>
      </c>
      <c r="G282" s="47">
        <v>38</v>
      </c>
      <c r="H282" s="44" t="s">
        <v>1643</v>
      </c>
      <c r="I282" s="44" t="s">
        <v>1643</v>
      </c>
      <c r="J282" s="44" t="s">
        <v>1643</v>
      </c>
      <c r="K282" s="44" t="s">
        <v>1644</v>
      </c>
      <c r="L282" s="44" t="s">
        <v>1643</v>
      </c>
      <c r="M282" s="44" t="s">
        <v>1643</v>
      </c>
      <c r="N282" s="44" t="s">
        <v>1643</v>
      </c>
      <c r="O282" s="44" t="s">
        <v>1643</v>
      </c>
      <c r="P282" s="44" t="s">
        <v>1643</v>
      </c>
      <c r="Q282" s="44" t="s">
        <v>1644</v>
      </c>
      <c r="R282" s="44" t="s">
        <v>1644</v>
      </c>
      <c r="S282" s="44" t="s">
        <v>1644</v>
      </c>
    </row>
    <row r="283" spans="1:19" ht="15.75" thickBot="1" x14ac:dyDescent="0.3">
      <c r="A283" s="44" t="s">
        <v>1291</v>
      </c>
      <c r="B283" s="48" t="s">
        <v>1292</v>
      </c>
      <c r="C283" s="44" t="s">
        <v>803</v>
      </c>
      <c r="D283" s="44" t="s">
        <v>1735</v>
      </c>
      <c r="E283" s="197">
        <v>42000</v>
      </c>
      <c r="F283" s="197">
        <v>45000</v>
      </c>
      <c r="G283" s="47">
        <v>40</v>
      </c>
      <c r="H283" s="44" t="s">
        <v>1643</v>
      </c>
      <c r="I283" s="44" t="s">
        <v>1643</v>
      </c>
      <c r="J283" s="44" t="s">
        <v>1643</v>
      </c>
      <c r="K283" s="44" t="s">
        <v>1644</v>
      </c>
      <c r="L283" s="44" t="s">
        <v>1643</v>
      </c>
      <c r="M283" s="44" t="s">
        <v>1644</v>
      </c>
      <c r="N283" s="44" t="s">
        <v>1643</v>
      </c>
      <c r="O283" s="44" t="s">
        <v>1643</v>
      </c>
      <c r="P283" s="44" t="s">
        <v>1643</v>
      </c>
      <c r="Q283" s="44" t="s">
        <v>1644</v>
      </c>
      <c r="R283" s="44" t="s">
        <v>1644</v>
      </c>
      <c r="S283" s="44" t="s">
        <v>1644</v>
      </c>
    </row>
    <row r="284" spans="1:19" ht="15.75" thickBot="1" x14ac:dyDescent="0.3">
      <c r="A284" s="44" t="s">
        <v>1301</v>
      </c>
      <c r="B284" s="48" t="s">
        <v>1302</v>
      </c>
      <c r="C284" s="44" t="s">
        <v>803</v>
      </c>
      <c r="D284" s="44" t="s">
        <v>3402</v>
      </c>
      <c r="E284" s="197">
        <v>85000</v>
      </c>
      <c r="F284" s="197">
        <v>103072</v>
      </c>
      <c r="G284" s="47">
        <v>35</v>
      </c>
      <c r="H284" s="44" t="s">
        <v>1643</v>
      </c>
      <c r="I284" s="44" t="s">
        <v>1643</v>
      </c>
      <c r="J284" s="44" t="s">
        <v>1643</v>
      </c>
      <c r="K284" s="44" t="s">
        <v>1643</v>
      </c>
      <c r="L284" s="44" t="s">
        <v>1644</v>
      </c>
      <c r="M284" s="44" t="s">
        <v>1643</v>
      </c>
      <c r="N284" s="44" t="s">
        <v>1643</v>
      </c>
      <c r="O284" s="44" t="s">
        <v>1643</v>
      </c>
      <c r="P284" s="44" t="s">
        <v>1643</v>
      </c>
      <c r="Q284" s="44" t="s">
        <v>1644</v>
      </c>
      <c r="R284" s="44" t="s">
        <v>1643</v>
      </c>
      <c r="S284" s="44" t="s">
        <v>1643</v>
      </c>
    </row>
    <row r="285" spans="1:19" ht="15.75" thickBot="1" x14ac:dyDescent="0.3">
      <c r="A285" s="44" t="s">
        <v>1315</v>
      </c>
      <c r="B285" s="48" t="s">
        <v>1316</v>
      </c>
      <c r="C285" s="44" t="s">
        <v>803</v>
      </c>
      <c r="D285" s="44" t="s">
        <v>3402</v>
      </c>
      <c r="E285" s="197">
        <v>45000</v>
      </c>
      <c r="F285" s="197">
        <v>75000</v>
      </c>
      <c r="G285" s="47">
        <v>38</v>
      </c>
      <c r="H285" s="44" t="s">
        <v>1643</v>
      </c>
      <c r="I285" s="44" t="s">
        <v>1643</v>
      </c>
      <c r="J285" s="44" t="s">
        <v>1644</v>
      </c>
      <c r="K285" s="44" t="s">
        <v>1643</v>
      </c>
      <c r="L285" s="44" t="s">
        <v>1643</v>
      </c>
      <c r="M285" s="44" t="s">
        <v>1643</v>
      </c>
      <c r="N285" s="44" t="s">
        <v>1643</v>
      </c>
      <c r="O285" s="44" t="s">
        <v>1644</v>
      </c>
      <c r="P285" s="44" t="s">
        <v>1643</v>
      </c>
      <c r="Q285" s="44" t="s">
        <v>1644</v>
      </c>
      <c r="R285" s="44" t="s">
        <v>1644</v>
      </c>
      <c r="S285" s="44" t="s">
        <v>1644</v>
      </c>
    </row>
    <row r="286" spans="1:19" ht="15.75" thickBot="1" x14ac:dyDescent="0.3">
      <c r="A286" s="44" t="s">
        <v>1331</v>
      </c>
      <c r="B286" s="48" t="s">
        <v>1332</v>
      </c>
      <c r="C286" s="44" t="s">
        <v>803</v>
      </c>
      <c r="D286" s="44" t="s">
        <v>3402</v>
      </c>
      <c r="E286" s="197">
        <v>35000</v>
      </c>
      <c r="F286" s="197">
        <v>42000</v>
      </c>
      <c r="G286" s="47">
        <v>40</v>
      </c>
      <c r="H286" s="44" t="s">
        <v>1644</v>
      </c>
      <c r="I286" s="44" t="s">
        <v>1644</v>
      </c>
      <c r="J286" s="44" t="s">
        <v>1644</v>
      </c>
      <c r="K286" s="44" t="s">
        <v>1644</v>
      </c>
      <c r="L286" s="44" t="s">
        <v>1644</v>
      </c>
      <c r="M286" s="44" t="s">
        <v>1643</v>
      </c>
      <c r="N286" s="44" t="s">
        <v>1643</v>
      </c>
      <c r="O286" s="44" t="s">
        <v>1643</v>
      </c>
      <c r="P286" s="44" t="s">
        <v>1643</v>
      </c>
      <c r="Q286" s="44" t="s">
        <v>1644</v>
      </c>
      <c r="R286" s="44" t="s">
        <v>1644</v>
      </c>
      <c r="S286" s="44" t="s">
        <v>1644</v>
      </c>
    </row>
    <row r="287" spans="1:19" ht="15.75" thickBot="1" x14ac:dyDescent="0.3">
      <c r="A287" s="44" t="s">
        <v>1341</v>
      </c>
      <c r="B287" s="48" t="s">
        <v>1342</v>
      </c>
      <c r="C287" s="44" t="s">
        <v>803</v>
      </c>
      <c r="D287" s="44" t="s">
        <v>3402</v>
      </c>
      <c r="E287" s="197">
        <v>60000</v>
      </c>
      <c r="F287" s="197">
        <v>85898</v>
      </c>
      <c r="G287" s="47">
        <v>40</v>
      </c>
      <c r="H287" s="44" t="s">
        <v>1643</v>
      </c>
      <c r="I287" s="44" t="s">
        <v>1643</v>
      </c>
      <c r="J287" s="44" t="s">
        <v>1643</v>
      </c>
      <c r="K287" s="44" t="s">
        <v>1644</v>
      </c>
      <c r="L287" s="44" t="s">
        <v>1643</v>
      </c>
      <c r="M287" s="44" t="s">
        <v>1644</v>
      </c>
      <c r="N287" s="44" t="s">
        <v>1643</v>
      </c>
      <c r="O287" s="44" t="s">
        <v>1643</v>
      </c>
      <c r="P287" s="44" t="s">
        <v>1643</v>
      </c>
      <c r="Q287" s="44" t="s">
        <v>1643</v>
      </c>
      <c r="R287" s="44" t="s">
        <v>1644</v>
      </c>
      <c r="S287" s="44" t="s">
        <v>1644</v>
      </c>
    </row>
    <row r="288" spans="1:19" ht="15.75" thickBot="1" x14ac:dyDescent="0.3">
      <c r="A288" s="44" t="s">
        <v>1343</v>
      </c>
      <c r="B288" s="48" t="s">
        <v>1344</v>
      </c>
      <c r="C288" s="44" t="s">
        <v>803</v>
      </c>
      <c r="D288" s="44" t="s">
        <v>3402</v>
      </c>
      <c r="E288" s="197">
        <v>65675</v>
      </c>
      <c r="F288" s="197">
        <v>65675</v>
      </c>
      <c r="G288" s="47">
        <v>40</v>
      </c>
      <c r="H288" s="44" t="s">
        <v>1643</v>
      </c>
      <c r="I288" s="44" t="s">
        <v>1643</v>
      </c>
      <c r="J288" s="44" t="s">
        <v>1643</v>
      </c>
      <c r="K288" s="44" t="s">
        <v>1643</v>
      </c>
      <c r="L288" s="44" t="s">
        <v>1643</v>
      </c>
      <c r="M288" s="44" t="s">
        <v>1643</v>
      </c>
      <c r="N288" s="44" t="s">
        <v>1643</v>
      </c>
      <c r="O288" s="44" t="s">
        <v>1644</v>
      </c>
      <c r="P288" s="44" t="s">
        <v>1643</v>
      </c>
      <c r="Q288" s="44" t="s">
        <v>1644</v>
      </c>
      <c r="R288" s="44" t="s">
        <v>1643</v>
      </c>
      <c r="S288" s="44" t="s">
        <v>1644</v>
      </c>
    </row>
    <row r="289" spans="1:19" ht="15.75" thickBot="1" x14ac:dyDescent="0.3">
      <c r="A289" s="44" t="s">
        <v>1347</v>
      </c>
      <c r="B289" s="48" t="s">
        <v>1348</v>
      </c>
      <c r="C289" s="44" t="s">
        <v>803</v>
      </c>
      <c r="D289" s="44" t="s">
        <v>3402</v>
      </c>
      <c r="E289" s="197">
        <v>75000</v>
      </c>
      <c r="F289" s="197">
        <v>95000</v>
      </c>
      <c r="G289" s="47">
        <v>40</v>
      </c>
      <c r="H289" s="44" t="s">
        <v>1643</v>
      </c>
      <c r="I289" s="44" t="s">
        <v>1643</v>
      </c>
      <c r="J289" s="44" t="s">
        <v>1643</v>
      </c>
      <c r="K289" s="44" t="s">
        <v>1643</v>
      </c>
      <c r="L289" s="44" t="s">
        <v>1643</v>
      </c>
      <c r="M289" s="44" t="s">
        <v>1643</v>
      </c>
      <c r="N289" s="44" t="s">
        <v>1643</v>
      </c>
      <c r="O289" s="44" t="s">
        <v>1644</v>
      </c>
      <c r="P289" s="44" t="s">
        <v>1643</v>
      </c>
      <c r="Q289" s="44" t="s">
        <v>1644</v>
      </c>
      <c r="R289" s="44" t="s">
        <v>1644</v>
      </c>
      <c r="S289" s="44" t="s">
        <v>1644</v>
      </c>
    </row>
    <row r="290" spans="1:19" ht="15.75" thickBot="1" x14ac:dyDescent="0.3">
      <c r="A290" s="44" t="s">
        <v>1355</v>
      </c>
      <c r="B290" s="48" t="s">
        <v>1356</v>
      </c>
      <c r="C290" s="44" t="s">
        <v>803</v>
      </c>
      <c r="D290" s="44" t="s">
        <v>3402</v>
      </c>
      <c r="E290" s="197">
        <v>65000</v>
      </c>
      <c r="F290" s="197">
        <v>70000</v>
      </c>
      <c r="G290" s="47">
        <v>40</v>
      </c>
      <c r="H290" s="44" t="s">
        <v>1644</v>
      </c>
      <c r="I290" s="44" t="s">
        <v>1644</v>
      </c>
      <c r="J290" s="44" t="s">
        <v>1644</v>
      </c>
      <c r="K290" s="44" t="s">
        <v>1643</v>
      </c>
      <c r="L290" s="44" t="s">
        <v>1643</v>
      </c>
      <c r="M290" s="44" t="s">
        <v>1643</v>
      </c>
      <c r="N290" s="44" t="s">
        <v>1643</v>
      </c>
      <c r="O290" s="44" t="s">
        <v>1643</v>
      </c>
      <c r="P290" s="44" t="s">
        <v>1643</v>
      </c>
      <c r="Q290" s="44" t="s">
        <v>1643</v>
      </c>
      <c r="R290" s="44" t="s">
        <v>1643</v>
      </c>
      <c r="S290" s="44" t="s">
        <v>1644</v>
      </c>
    </row>
    <row r="291" spans="1:19" ht="15.75" thickBot="1" x14ac:dyDescent="0.3">
      <c r="A291" s="44" t="s">
        <v>1365</v>
      </c>
      <c r="B291" s="48" t="s">
        <v>1366</v>
      </c>
      <c r="C291" s="44" t="s">
        <v>803</v>
      </c>
      <c r="D291" s="44" t="s">
        <v>3402</v>
      </c>
      <c r="E291" s="197">
        <v>66000</v>
      </c>
      <c r="F291" s="197">
        <v>81500</v>
      </c>
      <c r="G291" s="47">
        <v>40</v>
      </c>
      <c r="H291" s="44" t="s">
        <v>1643</v>
      </c>
      <c r="I291" s="44" t="s">
        <v>1643</v>
      </c>
      <c r="J291" s="44" t="s">
        <v>1643</v>
      </c>
      <c r="K291" s="44" t="s">
        <v>1643</v>
      </c>
      <c r="L291" s="44" t="s">
        <v>1643</v>
      </c>
      <c r="M291" s="44" t="s">
        <v>1644</v>
      </c>
      <c r="N291" s="44" t="s">
        <v>1643</v>
      </c>
      <c r="O291" s="44" t="s">
        <v>1643</v>
      </c>
      <c r="P291" s="44" t="s">
        <v>1643</v>
      </c>
      <c r="Q291" s="44" t="s">
        <v>1643</v>
      </c>
      <c r="R291" s="44" t="s">
        <v>1643</v>
      </c>
      <c r="S291" s="44" t="s">
        <v>1643</v>
      </c>
    </row>
    <row r="292" spans="1:19" ht="15.75" thickBot="1" x14ac:dyDescent="0.3">
      <c r="A292" s="44" t="s">
        <v>1381</v>
      </c>
      <c r="B292" s="48" t="s">
        <v>1382</v>
      </c>
      <c r="C292" s="44" t="s">
        <v>803</v>
      </c>
      <c r="D292" s="44" t="s">
        <v>3403</v>
      </c>
      <c r="E292" s="197">
        <v>47126</v>
      </c>
      <c r="F292" s="197">
        <v>47126</v>
      </c>
      <c r="G292" s="47">
        <v>40</v>
      </c>
      <c r="H292" s="44" t="s">
        <v>1643</v>
      </c>
      <c r="I292" s="44" t="s">
        <v>1644</v>
      </c>
      <c r="J292" s="44" t="s">
        <v>1644</v>
      </c>
      <c r="K292" s="44" t="s">
        <v>1644</v>
      </c>
      <c r="L292" s="44" t="s">
        <v>1644</v>
      </c>
      <c r="M292" s="44" t="s">
        <v>1643</v>
      </c>
      <c r="N292" s="44" t="s">
        <v>1643</v>
      </c>
      <c r="O292" s="44" t="s">
        <v>1643</v>
      </c>
      <c r="P292" s="44" t="s">
        <v>1643</v>
      </c>
      <c r="Q292" s="44" t="s">
        <v>1644</v>
      </c>
      <c r="R292" s="44" t="s">
        <v>1644</v>
      </c>
      <c r="S292" s="44" t="s">
        <v>1644</v>
      </c>
    </row>
    <row r="293" spans="1:19" ht="15.75" thickBot="1" x14ac:dyDescent="0.3">
      <c r="A293" s="44" t="s">
        <v>1383</v>
      </c>
      <c r="B293" s="48" t="s">
        <v>1384</v>
      </c>
      <c r="C293" s="44" t="s">
        <v>803</v>
      </c>
      <c r="D293" s="44" t="s">
        <v>3402</v>
      </c>
      <c r="E293" s="197">
        <v>38000</v>
      </c>
      <c r="F293" s="197">
        <v>64866</v>
      </c>
      <c r="G293" s="47">
        <v>40</v>
      </c>
      <c r="H293" s="44" t="s">
        <v>1643</v>
      </c>
      <c r="I293" s="44" t="s">
        <v>1644</v>
      </c>
      <c r="J293" s="44" t="s">
        <v>1644</v>
      </c>
      <c r="K293" s="44" t="s">
        <v>1644</v>
      </c>
      <c r="L293" s="44" t="s">
        <v>1644</v>
      </c>
      <c r="M293" s="44" t="s">
        <v>1643</v>
      </c>
      <c r="N293" s="44" t="s">
        <v>1643</v>
      </c>
      <c r="O293" s="44" t="s">
        <v>1644</v>
      </c>
      <c r="P293" s="44" t="s">
        <v>1643</v>
      </c>
      <c r="Q293" s="44" t="s">
        <v>1644</v>
      </c>
      <c r="R293" s="44" t="s">
        <v>1644</v>
      </c>
      <c r="S293" s="44" t="s">
        <v>1643</v>
      </c>
    </row>
    <row r="294" spans="1:19" ht="15.75" thickBot="1" x14ac:dyDescent="0.3">
      <c r="A294" s="44" t="s">
        <v>1387</v>
      </c>
      <c r="B294" s="48" t="s">
        <v>1388</v>
      </c>
      <c r="C294" s="44" t="s">
        <v>803</v>
      </c>
      <c r="D294" s="44" t="s">
        <v>3402</v>
      </c>
      <c r="E294" s="197">
        <v>58500</v>
      </c>
      <c r="F294" s="197">
        <v>72000</v>
      </c>
      <c r="G294" s="47">
        <v>40</v>
      </c>
      <c r="H294" s="44" t="s">
        <v>1644</v>
      </c>
      <c r="I294" s="44" t="s">
        <v>1644</v>
      </c>
      <c r="J294" s="44" t="s">
        <v>1644</v>
      </c>
      <c r="K294" s="44" t="s">
        <v>1644</v>
      </c>
      <c r="L294" s="44" t="s">
        <v>1644</v>
      </c>
      <c r="M294" s="44" t="s">
        <v>1643</v>
      </c>
      <c r="N294" s="44" t="s">
        <v>1643</v>
      </c>
      <c r="O294" s="44" t="s">
        <v>1643</v>
      </c>
      <c r="P294" s="44" t="s">
        <v>1643</v>
      </c>
      <c r="Q294" s="44" t="s">
        <v>1644</v>
      </c>
      <c r="R294" s="44" t="s">
        <v>1644</v>
      </c>
      <c r="S294" s="44" t="s">
        <v>1644</v>
      </c>
    </row>
    <row r="295" spans="1:19" ht="15.75" thickBot="1" x14ac:dyDescent="0.3">
      <c r="A295" s="44" t="s">
        <v>1421</v>
      </c>
      <c r="B295" s="48" t="s">
        <v>1422</v>
      </c>
      <c r="C295" s="44" t="s">
        <v>803</v>
      </c>
      <c r="D295" s="44" t="s">
        <v>3403</v>
      </c>
      <c r="E295" s="198">
        <v>0</v>
      </c>
      <c r="F295" s="198">
        <v>0</v>
      </c>
      <c r="G295" s="44">
        <v>0</v>
      </c>
      <c r="H295" s="44" t="s">
        <v>1643</v>
      </c>
      <c r="I295" s="44" t="s">
        <v>1643</v>
      </c>
      <c r="J295" s="44" t="s">
        <v>1643</v>
      </c>
      <c r="K295" s="44" t="s">
        <v>1643</v>
      </c>
      <c r="L295" s="44" t="s">
        <v>1644</v>
      </c>
      <c r="M295" s="44" t="s">
        <v>1643</v>
      </c>
      <c r="N295" s="44" t="s">
        <v>1643</v>
      </c>
      <c r="O295" s="44" t="s">
        <v>1643</v>
      </c>
      <c r="P295" s="44" t="s">
        <v>1643</v>
      </c>
      <c r="Q295" s="44" t="s">
        <v>1643</v>
      </c>
      <c r="R295" s="44" t="s">
        <v>1643</v>
      </c>
      <c r="S295" s="44" t="s">
        <v>1643</v>
      </c>
    </row>
    <row r="296" spans="1:19" ht="15.75" thickBot="1" x14ac:dyDescent="0.3">
      <c r="A296" s="44" t="s">
        <v>1447</v>
      </c>
      <c r="B296" s="48" t="s">
        <v>1448</v>
      </c>
      <c r="C296" s="44" t="s">
        <v>803</v>
      </c>
      <c r="D296" s="44" t="s">
        <v>3402</v>
      </c>
      <c r="E296" s="197">
        <v>56000</v>
      </c>
      <c r="F296" s="197">
        <v>87687</v>
      </c>
      <c r="G296" s="47">
        <v>40</v>
      </c>
      <c r="H296" s="44" t="s">
        <v>1643</v>
      </c>
      <c r="I296" s="44" t="s">
        <v>1643</v>
      </c>
      <c r="J296" s="44" t="s">
        <v>1644</v>
      </c>
      <c r="K296" s="44" t="s">
        <v>1644</v>
      </c>
      <c r="L296" s="44" t="s">
        <v>1644</v>
      </c>
      <c r="M296" s="44" t="s">
        <v>1643</v>
      </c>
      <c r="N296" s="44" t="s">
        <v>1643</v>
      </c>
      <c r="O296" s="44" t="s">
        <v>1643</v>
      </c>
      <c r="P296" s="44" t="s">
        <v>1643</v>
      </c>
      <c r="Q296" s="44" t="s">
        <v>1643</v>
      </c>
      <c r="R296" s="44" t="s">
        <v>1644</v>
      </c>
      <c r="S296" s="44" t="s">
        <v>1643</v>
      </c>
    </row>
    <row r="297" spans="1:19" ht="15.75" thickBot="1" x14ac:dyDescent="0.3">
      <c r="A297" s="44" t="s">
        <v>1490</v>
      </c>
      <c r="B297" s="48" t="s">
        <v>1491</v>
      </c>
      <c r="C297" s="44" t="s">
        <v>803</v>
      </c>
      <c r="D297" s="44" t="s">
        <v>3402</v>
      </c>
      <c r="E297" s="197">
        <v>65000</v>
      </c>
      <c r="F297" s="197">
        <v>65000</v>
      </c>
      <c r="G297" s="47">
        <v>40</v>
      </c>
      <c r="H297" s="44" t="s">
        <v>1643</v>
      </c>
      <c r="I297" s="44" t="s">
        <v>1643</v>
      </c>
      <c r="J297" s="44" t="s">
        <v>1643</v>
      </c>
      <c r="K297" s="44" t="s">
        <v>1643</v>
      </c>
      <c r="L297" s="44" t="s">
        <v>1643</v>
      </c>
      <c r="M297" s="44" t="s">
        <v>1643</v>
      </c>
      <c r="N297" s="44" t="s">
        <v>1643</v>
      </c>
      <c r="O297" s="44" t="s">
        <v>1643</v>
      </c>
      <c r="P297" s="44" t="s">
        <v>1643</v>
      </c>
      <c r="Q297" s="44" t="s">
        <v>1643</v>
      </c>
      <c r="R297" s="44" t="s">
        <v>1643</v>
      </c>
      <c r="S297" s="44" t="s">
        <v>1644</v>
      </c>
    </row>
    <row r="298" spans="1:19" ht="15.75" thickBot="1" x14ac:dyDescent="0.3">
      <c r="A298" s="44" t="s">
        <v>1492</v>
      </c>
      <c r="B298" s="48" t="s">
        <v>1493</v>
      </c>
      <c r="C298" s="44" t="s">
        <v>803</v>
      </c>
      <c r="D298" s="44" t="s">
        <v>3402</v>
      </c>
      <c r="E298" s="197">
        <v>79150</v>
      </c>
      <c r="F298" s="197">
        <v>79150</v>
      </c>
      <c r="G298" s="47">
        <v>40</v>
      </c>
      <c r="H298" s="44" t="s">
        <v>1643</v>
      </c>
      <c r="I298" s="44" t="s">
        <v>1644</v>
      </c>
      <c r="J298" s="44" t="s">
        <v>1644</v>
      </c>
      <c r="K298" s="44" t="s">
        <v>1643</v>
      </c>
      <c r="L298" s="44" t="s">
        <v>1643</v>
      </c>
      <c r="M298" s="44" t="s">
        <v>1643</v>
      </c>
      <c r="N298" s="44" t="s">
        <v>1643</v>
      </c>
      <c r="O298" s="44" t="s">
        <v>1643</v>
      </c>
      <c r="P298" s="44" t="s">
        <v>1643</v>
      </c>
      <c r="Q298" s="44" t="s">
        <v>1644</v>
      </c>
      <c r="R298" s="44" t="s">
        <v>1643</v>
      </c>
      <c r="S298" s="44" t="s">
        <v>1644</v>
      </c>
    </row>
    <row r="299" spans="1:19" ht="15.75" thickBot="1" x14ac:dyDescent="0.3">
      <c r="A299" s="44" t="s">
        <v>1498</v>
      </c>
      <c r="B299" s="48" t="s">
        <v>1499</v>
      </c>
      <c r="C299" s="44" t="s">
        <v>803</v>
      </c>
      <c r="D299" s="44" t="s">
        <v>3402</v>
      </c>
      <c r="E299" s="197">
        <v>50000</v>
      </c>
      <c r="F299" s="197">
        <v>68000</v>
      </c>
      <c r="G299" s="47">
        <v>40</v>
      </c>
      <c r="H299" s="44" t="s">
        <v>1643</v>
      </c>
      <c r="I299" s="44" t="s">
        <v>1643</v>
      </c>
      <c r="J299" s="44" t="s">
        <v>1643</v>
      </c>
      <c r="K299" s="44" t="s">
        <v>1643</v>
      </c>
      <c r="L299" s="44" t="s">
        <v>1644</v>
      </c>
      <c r="M299" s="44" t="s">
        <v>1643</v>
      </c>
      <c r="N299" s="44" t="s">
        <v>1643</v>
      </c>
      <c r="O299" s="44" t="s">
        <v>1644</v>
      </c>
      <c r="P299" s="44" t="s">
        <v>1643</v>
      </c>
      <c r="Q299" s="44" t="s">
        <v>1643</v>
      </c>
      <c r="R299" s="44" t="s">
        <v>1643</v>
      </c>
      <c r="S299" s="44" t="s">
        <v>1644</v>
      </c>
    </row>
    <row r="300" spans="1:19" ht="15.75" thickBot="1" x14ac:dyDescent="0.3">
      <c r="A300" s="44" t="s">
        <v>1516</v>
      </c>
      <c r="B300" s="48" t="s">
        <v>1517</v>
      </c>
      <c r="C300" s="44" t="s">
        <v>803</v>
      </c>
      <c r="D300" s="44" t="s">
        <v>3402</v>
      </c>
      <c r="E300" s="197">
        <v>65000</v>
      </c>
      <c r="F300" s="197">
        <v>65000</v>
      </c>
      <c r="G300" s="47">
        <v>40</v>
      </c>
      <c r="H300" s="44" t="s">
        <v>1643</v>
      </c>
      <c r="I300" s="44" t="s">
        <v>1643</v>
      </c>
      <c r="J300" s="44" t="s">
        <v>1643</v>
      </c>
      <c r="K300" s="44" t="s">
        <v>1643</v>
      </c>
      <c r="L300" s="44" t="s">
        <v>1643</v>
      </c>
      <c r="M300" s="44" t="s">
        <v>1643</v>
      </c>
      <c r="N300" s="44" t="s">
        <v>1643</v>
      </c>
      <c r="O300" s="44" t="s">
        <v>1643</v>
      </c>
      <c r="P300" s="44" t="s">
        <v>1643</v>
      </c>
      <c r="Q300" s="44" t="s">
        <v>1644</v>
      </c>
      <c r="R300" s="44" t="s">
        <v>1643</v>
      </c>
      <c r="S300" s="44" t="s">
        <v>1644</v>
      </c>
    </row>
    <row r="301" spans="1:19" ht="15.75" thickBot="1" x14ac:dyDescent="0.3">
      <c r="A301" s="44" t="s">
        <v>1528</v>
      </c>
      <c r="B301" s="48" t="s">
        <v>1529</v>
      </c>
      <c r="C301" s="44" t="s">
        <v>803</v>
      </c>
      <c r="D301" s="44" t="s">
        <v>3402</v>
      </c>
      <c r="E301" s="197">
        <v>42612</v>
      </c>
      <c r="F301" s="197">
        <v>86502</v>
      </c>
      <c r="G301" s="47">
        <v>40</v>
      </c>
      <c r="H301" s="44" t="s">
        <v>1643</v>
      </c>
      <c r="I301" s="44" t="s">
        <v>1643</v>
      </c>
      <c r="J301" s="44" t="s">
        <v>1643</v>
      </c>
      <c r="K301" s="44" t="s">
        <v>1643</v>
      </c>
      <c r="L301" s="44" t="s">
        <v>1643</v>
      </c>
      <c r="M301" s="44" t="s">
        <v>1643</v>
      </c>
      <c r="N301" s="44" t="s">
        <v>1644</v>
      </c>
      <c r="O301" s="44" t="s">
        <v>1643</v>
      </c>
      <c r="P301" s="44" t="s">
        <v>1644</v>
      </c>
      <c r="Q301" s="44" t="s">
        <v>1643</v>
      </c>
      <c r="R301" s="44" t="s">
        <v>1643</v>
      </c>
      <c r="S301" s="44" t="s">
        <v>1643</v>
      </c>
    </row>
    <row r="302" spans="1:19" ht="15.75" thickBot="1" x14ac:dyDescent="0.3">
      <c r="A302" s="44" t="s">
        <v>1532</v>
      </c>
      <c r="B302" s="48" t="s">
        <v>1533</v>
      </c>
      <c r="C302" s="44" t="s">
        <v>803</v>
      </c>
      <c r="D302" s="44" t="s">
        <v>3402</v>
      </c>
      <c r="E302" s="197">
        <v>46000</v>
      </c>
      <c r="F302" s="197">
        <v>52530</v>
      </c>
      <c r="G302" s="47">
        <v>40</v>
      </c>
      <c r="H302" s="44" t="s">
        <v>1643</v>
      </c>
      <c r="I302" s="44" t="s">
        <v>1643</v>
      </c>
      <c r="J302" s="44" t="s">
        <v>1643</v>
      </c>
      <c r="K302" s="44" t="s">
        <v>1643</v>
      </c>
      <c r="L302" s="44" t="s">
        <v>1643</v>
      </c>
      <c r="M302" s="44" t="s">
        <v>1643</v>
      </c>
      <c r="N302" s="44" t="s">
        <v>1643</v>
      </c>
      <c r="O302" s="44" t="s">
        <v>1644</v>
      </c>
      <c r="P302" s="44" t="s">
        <v>1643</v>
      </c>
      <c r="Q302" s="44" t="s">
        <v>1644</v>
      </c>
      <c r="R302" s="44" t="s">
        <v>1643</v>
      </c>
      <c r="S302" s="44" t="s">
        <v>1644</v>
      </c>
    </row>
    <row r="303" spans="1:19" ht="15.75" thickBot="1" x14ac:dyDescent="0.3">
      <c r="A303" s="44" t="s">
        <v>1552</v>
      </c>
      <c r="B303" s="48" t="s">
        <v>1553</v>
      </c>
      <c r="C303" s="44" t="s">
        <v>803</v>
      </c>
      <c r="D303" s="44" t="s">
        <v>3403</v>
      </c>
      <c r="E303" s="197">
        <v>45000</v>
      </c>
      <c r="F303" s="197">
        <v>55000</v>
      </c>
      <c r="G303" s="47">
        <v>40</v>
      </c>
      <c r="H303" s="44" t="s">
        <v>1643</v>
      </c>
      <c r="I303" s="44" t="s">
        <v>1643</v>
      </c>
      <c r="J303" s="44" t="s">
        <v>1644</v>
      </c>
      <c r="K303" s="44" t="s">
        <v>1644</v>
      </c>
      <c r="L303" s="44" t="s">
        <v>1643</v>
      </c>
      <c r="M303" s="44" t="s">
        <v>1643</v>
      </c>
      <c r="N303" s="44" t="s">
        <v>1643</v>
      </c>
      <c r="O303" s="44" t="s">
        <v>1644</v>
      </c>
      <c r="P303" s="44" t="s">
        <v>1643</v>
      </c>
      <c r="Q303" s="44" t="s">
        <v>1643</v>
      </c>
      <c r="R303" s="44" t="s">
        <v>1644</v>
      </c>
      <c r="S303" s="44" t="s">
        <v>1644</v>
      </c>
    </row>
    <row r="304" spans="1:19" ht="15.75" thickBot="1" x14ac:dyDescent="0.3">
      <c r="A304" s="44" t="s">
        <v>1572</v>
      </c>
      <c r="B304" s="48" t="s">
        <v>1573</v>
      </c>
      <c r="C304" s="44" t="s">
        <v>803</v>
      </c>
      <c r="D304" s="44" t="s">
        <v>3402</v>
      </c>
      <c r="E304" s="197">
        <v>60000</v>
      </c>
      <c r="F304" s="197">
        <v>65000</v>
      </c>
      <c r="G304" s="47">
        <v>38</v>
      </c>
      <c r="H304" s="44" t="s">
        <v>1643</v>
      </c>
      <c r="I304" s="44" t="s">
        <v>1643</v>
      </c>
      <c r="J304" s="44" t="s">
        <v>1643</v>
      </c>
      <c r="K304" s="44" t="s">
        <v>1643</v>
      </c>
      <c r="L304" s="44" t="s">
        <v>1643</v>
      </c>
      <c r="M304" s="44" t="s">
        <v>1643</v>
      </c>
      <c r="N304" s="44" t="s">
        <v>1643</v>
      </c>
      <c r="O304" s="44" t="s">
        <v>1644</v>
      </c>
      <c r="P304" s="44" t="s">
        <v>1643</v>
      </c>
      <c r="Q304" s="44" t="s">
        <v>1643</v>
      </c>
      <c r="R304" s="44" t="s">
        <v>1644</v>
      </c>
      <c r="S304" s="44" t="s">
        <v>1644</v>
      </c>
    </row>
    <row r="305" spans="1:19" ht="15.75" thickBot="1" x14ac:dyDescent="0.3">
      <c r="A305" s="44" t="s">
        <v>1598</v>
      </c>
      <c r="B305" s="48" t="s">
        <v>1599</v>
      </c>
      <c r="C305" s="44" t="s">
        <v>803</v>
      </c>
      <c r="D305" s="44" t="s">
        <v>3402</v>
      </c>
      <c r="E305" s="197">
        <v>53159</v>
      </c>
      <c r="F305" s="197">
        <v>66449</v>
      </c>
      <c r="G305" s="47">
        <v>40</v>
      </c>
      <c r="H305" s="44" t="s">
        <v>1643</v>
      </c>
      <c r="I305" s="44" t="s">
        <v>1643</v>
      </c>
      <c r="J305" s="44" t="s">
        <v>1643</v>
      </c>
      <c r="K305" s="44" t="s">
        <v>1643</v>
      </c>
      <c r="L305" s="44" t="s">
        <v>1644</v>
      </c>
      <c r="M305" s="44" t="s">
        <v>1643</v>
      </c>
      <c r="N305" s="44" t="s">
        <v>1643</v>
      </c>
      <c r="O305" s="44" t="s">
        <v>1643</v>
      </c>
      <c r="P305" s="44" t="s">
        <v>1643</v>
      </c>
      <c r="Q305" s="44" t="s">
        <v>1643</v>
      </c>
      <c r="R305" s="44" t="s">
        <v>1643</v>
      </c>
      <c r="S305" s="44" t="s">
        <v>1644</v>
      </c>
    </row>
    <row r="306" spans="1:19" ht="15.75" thickBot="1" x14ac:dyDescent="0.3">
      <c r="A306" s="44" t="s">
        <v>820</v>
      </c>
      <c r="B306" s="48" t="s">
        <v>821</v>
      </c>
      <c r="C306" s="44" t="s">
        <v>822</v>
      </c>
      <c r="D306" s="44" t="s">
        <v>3402</v>
      </c>
      <c r="E306" s="197">
        <v>65000</v>
      </c>
      <c r="F306" s="197">
        <v>80000</v>
      </c>
      <c r="G306" s="47">
        <v>35</v>
      </c>
      <c r="H306" s="44" t="s">
        <v>1643</v>
      </c>
      <c r="I306" s="44" t="s">
        <v>1643</v>
      </c>
      <c r="J306" s="44" t="s">
        <v>1643</v>
      </c>
      <c r="K306" s="44" t="s">
        <v>1643</v>
      </c>
      <c r="L306" s="44" t="s">
        <v>1643</v>
      </c>
      <c r="M306" s="44" t="s">
        <v>1643</v>
      </c>
      <c r="N306" s="44" t="s">
        <v>1643</v>
      </c>
      <c r="O306" s="44" t="s">
        <v>1643</v>
      </c>
      <c r="P306" s="44" t="s">
        <v>1643</v>
      </c>
      <c r="Q306" s="44" t="s">
        <v>1643</v>
      </c>
      <c r="R306" s="44" t="s">
        <v>1643</v>
      </c>
      <c r="S306" s="44" t="s">
        <v>1644</v>
      </c>
    </row>
    <row r="307" spans="1:19" ht="15.75" thickBot="1" x14ac:dyDescent="0.3">
      <c r="A307" s="44" t="s">
        <v>823</v>
      </c>
      <c r="B307" s="48" t="s">
        <v>824</v>
      </c>
      <c r="C307" s="44" t="s">
        <v>822</v>
      </c>
      <c r="D307" s="44" t="s">
        <v>3403</v>
      </c>
      <c r="E307" s="197">
        <v>49509</v>
      </c>
      <c r="F307" s="197">
        <v>69313</v>
      </c>
      <c r="G307" s="47">
        <v>40</v>
      </c>
      <c r="H307" s="44" t="s">
        <v>1643</v>
      </c>
      <c r="I307" s="44" t="s">
        <v>1643</v>
      </c>
      <c r="J307" s="44" t="s">
        <v>1643</v>
      </c>
      <c r="K307" s="44" t="s">
        <v>1643</v>
      </c>
      <c r="L307" s="44" t="s">
        <v>1643</v>
      </c>
      <c r="M307" s="44" t="s">
        <v>1643</v>
      </c>
      <c r="N307" s="44" t="s">
        <v>1643</v>
      </c>
      <c r="O307" s="44" t="s">
        <v>1643</v>
      </c>
      <c r="P307" s="44" t="s">
        <v>1643</v>
      </c>
      <c r="Q307" s="44" t="s">
        <v>1643</v>
      </c>
      <c r="R307" s="44" t="s">
        <v>1643</v>
      </c>
      <c r="S307" s="44" t="s">
        <v>1644</v>
      </c>
    </row>
    <row r="308" spans="1:19" ht="15.75" thickBot="1" x14ac:dyDescent="0.3">
      <c r="A308" s="44" t="s">
        <v>831</v>
      </c>
      <c r="B308" s="48" t="s">
        <v>832</v>
      </c>
      <c r="C308" s="44" t="s">
        <v>822</v>
      </c>
      <c r="D308" s="44" t="s">
        <v>3402</v>
      </c>
      <c r="E308" s="197">
        <v>76419</v>
      </c>
      <c r="F308" s="197">
        <v>76419</v>
      </c>
      <c r="G308" s="47">
        <v>40</v>
      </c>
      <c r="H308" s="44" t="s">
        <v>1643</v>
      </c>
      <c r="I308" s="44" t="s">
        <v>1643</v>
      </c>
      <c r="J308" s="44" t="s">
        <v>1643</v>
      </c>
      <c r="K308" s="44" t="s">
        <v>1643</v>
      </c>
      <c r="L308" s="44" t="s">
        <v>1643</v>
      </c>
      <c r="M308" s="44" t="s">
        <v>1643</v>
      </c>
      <c r="N308" s="44" t="s">
        <v>1643</v>
      </c>
      <c r="O308" s="44" t="s">
        <v>1643</v>
      </c>
      <c r="P308" s="44" t="s">
        <v>1643</v>
      </c>
      <c r="Q308" s="44" t="s">
        <v>1644</v>
      </c>
      <c r="R308" s="44" t="s">
        <v>1644</v>
      </c>
      <c r="S308" s="44" t="s">
        <v>1644</v>
      </c>
    </row>
    <row r="309" spans="1:19" ht="15.75" thickBot="1" x14ac:dyDescent="0.3">
      <c r="A309" s="44" t="s">
        <v>855</v>
      </c>
      <c r="B309" s="48" t="s">
        <v>856</v>
      </c>
      <c r="C309" s="44" t="s">
        <v>822</v>
      </c>
      <c r="D309" s="44" t="s">
        <v>3402</v>
      </c>
      <c r="E309" s="197">
        <v>86000</v>
      </c>
      <c r="F309" s="197">
        <v>93995</v>
      </c>
      <c r="G309" s="47">
        <v>40</v>
      </c>
      <c r="H309" s="44" t="s">
        <v>1643</v>
      </c>
      <c r="I309" s="44" t="s">
        <v>1643</v>
      </c>
      <c r="J309" s="44" t="s">
        <v>1643</v>
      </c>
      <c r="K309" s="44" t="s">
        <v>1643</v>
      </c>
      <c r="L309" s="44" t="s">
        <v>1643</v>
      </c>
      <c r="M309" s="44" t="s">
        <v>1643</v>
      </c>
      <c r="N309" s="44" t="s">
        <v>1643</v>
      </c>
      <c r="O309" s="44" t="s">
        <v>1643</v>
      </c>
      <c r="P309" s="44" t="s">
        <v>1643</v>
      </c>
      <c r="Q309" s="44" t="s">
        <v>1644</v>
      </c>
      <c r="R309" s="44" t="s">
        <v>1643</v>
      </c>
      <c r="S309" s="44" t="s">
        <v>1644</v>
      </c>
    </row>
    <row r="310" spans="1:19" ht="15.75" thickBot="1" x14ac:dyDescent="0.3">
      <c r="A310" s="44" t="s">
        <v>867</v>
      </c>
      <c r="B310" s="48" t="s">
        <v>868</v>
      </c>
      <c r="C310" s="44" t="s">
        <v>822</v>
      </c>
      <c r="D310" s="44" t="s">
        <v>3402</v>
      </c>
      <c r="E310" s="197">
        <v>76000</v>
      </c>
      <c r="F310" s="197">
        <v>94000</v>
      </c>
      <c r="G310" s="47">
        <v>40</v>
      </c>
      <c r="H310" s="44" t="s">
        <v>1643</v>
      </c>
      <c r="I310" s="44" t="s">
        <v>1643</v>
      </c>
      <c r="J310" s="44" t="s">
        <v>1643</v>
      </c>
      <c r="K310" s="44" t="s">
        <v>1643</v>
      </c>
      <c r="L310" s="44" t="s">
        <v>1643</v>
      </c>
      <c r="M310" s="44" t="s">
        <v>1643</v>
      </c>
      <c r="N310" s="44" t="s">
        <v>1643</v>
      </c>
      <c r="O310" s="44" t="s">
        <v>1643</v>
      </c>
      <c r="P310" s="44" t="s">
        <v>1643</v>
      </c>
      <c r="Q310" s="44" t="s">
        <v>1643</v>
      </c>
      <c r="R310" s="44" t="s">
        <v>1643</v>
      </c>
      <c r="S310" s="44" t="s">
        <v>1644</v>
      </c>
    </row>
    <row r="311" spans="1:19" ht="15.75" thickBot="1" x14ac:dyDescent="0.3">
      <c r="A311" s="44" t="s">
        <v>891</v>
      </c>
      <c r="B311" s="48" t="s">
        <v>892</v>
      </c>
      <c r="C311" s="44" t="s">
        <v>822</v>
      </c>
      <c r="D311" s="44" t="s">
        <v>3402</v>
      </c>
      <c r="E311" s="197">
        <v>108479</v>
      </c>
      <c r="F311" s="197">
        <v>108479</v>
      </c>
      <c r="G311" s="47">
        <v>38</v>
      </c>
      <c r="H311" s="44" t="s">
        <v>1643</v>
      </c>
      <c r="I311" s="44" t="s">
        <v>1643</v>
      </c>
      <c r="J311" s="44" t="s">
        <v>1643</v>
      </c>
      <c r="K311" s="44" t="s">
        <v>1643</v>
      </c>
      <c r="L311" s="44" t="s">
        <v>1643</v>
      </c>
      <c r="M311" s="44" t="s">
        <v>1643</v>
      </c>
      <c r="N311" s="44" t="s">
        <v>1643</v>
      </c>
      <c r="O311" s="44" t="s">
        <v>1643</v>
      </c>
      <c r="P311" s="44" t="s">
        <v>1643</v>
      </c>
      <c r="Q311" s="44" t="s">
        <v>1643</v>
      </c>
      <c r="R311" s="44" t="s">
        <v>1643</v>
      </c>
      <c r="S311" s="44" t="s">
        <v>1644</v>
      </c>
    </row>
    <row r="312" spans="1:19" ht="15.75" thickBot="1" x14ac:dyDescent="0.3">
      <c r="A312" s="44" t="s">
        <v>897</v>
      </c>
      <c r="B312" s="48" t="s">
        <v>898</v>
      </c>
      <c r="C312" s="44" t="s">
        <v>822</v>
      </c>
      <c r="D312" s="44" t="s">
        <v>3402</v>
      </c>
      <c r="E312" s="197">
        <v>76915</v>
      </c>
      <c r="F312" s="197">
        <v>76915</v>
      </c>
      <c r="G312" s="47">
        <v>40</v>
      </c>
      <c r="H312" s="44" t="s">
        <v>1643</v>
      </c>
      <c r="I312" s="44" t="s">
        <v>1643</v>
      </c>
      <c r="J312" s="44" t="s">
        <v>1643</v>
      </c>
      <c r="K312" s="44" t="s">
        <v>1644</v>
      </c>
      <c r="L312" s="44" t="s">
        <v>1644</v>
      </c>
      <c r="M312" s="44" t="s">
        <v>1643</v>
      </c>
      <c r="N312" s="44" t="s">
        <v>1643</v>
      </c>
      <c r="O312" s="44" t="s">
        <v>1643</v>
      </c>
      <c r="P312" s="44" t="s">
        <v>1643</v>
      </c>
      <c r="Q312" s="44" t="s">
        <v>1643</v>
      </c>
      <c r="R312" s="44" t="s">
        <v>1644</v>
      </c>
      <c r="S312" s="44" t="s">
        <v>1644</v>
      </c>
    </row>
    <row r="313" spans="1:19" ht="15.75" thickBot="1" x14ac:dyDescent="0.3">
      <c r="A313" s="44" t="s">
        <v>907</v>
      </c>
      <c r="B313" s="48" t="s">
        <v>908</v>
      </c>
      <c r="C313" s="44" t="s">
        <v>822</v>
      </c>
      <c r="D313" s="44" t="s">
        <v>3402</v>
      </c>
      <c r="E313" s="197">
        <v>72979</v>
      </c>
      <c r="F313" s="197">
        <v>94467</v>
      </c>
      <c r="G313" s="47">
        <v>40</v>
      </c>
      <c r="H313" s="44" t="s">
        <v>1643</v>
      </c>
      <c r="I313" s="44" t="s">
        <v>1643</v>
      </c>
      <c r="J313" s="44" t="s">
        <v>1643</v>
      </c>
      <c r="K313" s="44" t="s">
        <v>1643</v>
      </c>
      <c r="L313" s="44" t="s">
        <v>1644</v>
      </c>
      <c r="M313" s="44" t="s">
        <v>1643</v>
      </c>
      <c r="N313" s="44" t="s">
        <v>1643</v>
      </c>
      <c r="O313" s="44" t="s">
        <v>1643</v>
      </c>
      <c r="P313" s="44" t="s">
        <v>1643</v>
      </c>
      <c r="Q313" s="44" t="s">
        <v>1643</v>
      </c>
      <c r="R313" s="44" t="s">
        <v>1643</v>
      </c>
      <c r="S313" s="44" t="s">
        <v>1644</v>
      </c>
    </row>
    <row r="314" spans="1:19" ht="15.75" thickBot="1" x14ac:dyDescent="0.3">
      <c r="A314" s="44" t="s">
        <v>917</v>
      </c>
      <c r="B314" s="48" t="s">
        <v>918</v>
      </c>
      <c r="C314" s="44" t="s">
        <v>822</v>
      </c>
      <c r="D314" s="44" t="s">
        <v>3402</v>
      </c>
      <c r="E314" s="197">
        <v>58011</v>
      </c>
      <c r="F314" s="197">
        <v>58011</v>
      </c>
      <c r="G314" s="47">
        <v>40</v>
      </c>
      <c r="H314" s="44" t="s">
        <v>1643</v>
      </c>
      <c r="I314" s="44" t="s">
        <v>1643</v>
      </c>
      <c r="J314" s="44" t="s">
        <v>1643</v>
      </c>
      <c r="K314" s="44" t="s">
        <v>1643</v>
      </c>
      <c r="L314" s="44" t="s">
        <v>1643</v>
      </c>
      <c r="M314" s="44" t="s">
        <v>1643</v>
      </c>
      <c r="N314" s="44" t="s">
        <v>1643</v>
      </c>
      <c r="O314" s="44" t="s">
        <v>1644</v>
      </c>
      <c r="P314" s="44" t="s">
        <v>1643</v>
      </c>
      <c r="Q314" s="44" t="s">
        <v>1643</v>
      </c>
      <c r="R314" s="44" t="s">
        <v>1644</v>
      </c>
      <c r="S314" s="44" t="s">
        <v>1643</v>
      </c>
    </row>
    <row r="315" spans="1:19" ht="15.75" thickBot="1" x14ac:dyDescent="0.3">
      <c r="A315" s="44" t="s">
        <v>933</v>
      </c>
      <c r="B315" s="48" t="s">
        <v>934</v>
      </c>
      <c r="C315" s="44" t="s">
        <v>822</v>
      </c>
      <c r="D315" s="44" t="s">
        <v>3402</v>
      </c>
      <c r="E315" s="197">
        <v>67496</v>
      </c>
      <c r="F315" s="197">
        <v>67496</v>
      </c>
      <c r="G315" s="47">
        <v>40</v>
      </c>
      <c r="H315" s="44" t="s">
        <v>1643</v>
      </c>
      <c r="I315" s="44" t="s">
        <v>1643</v>
      </c>
      <c r="J315" s="44" t="s">
        <v>1643</v>
      </c>
      <c r="K315" s="44" t="s">
        <v>1643</v>
      </c>
      <c r="L315" s="44" t="s">
        <v>1643</v>
      </c>
      <c r="M315" s="44" t="s">
        <v>1643</v>
      </c>
      <c r="N315" s="44" t="s">
        <v>1643</v>
      </c>
      <c r="O315" s="44" t="s">
        <v>1643</v>
      </c>
      <c r="P315" s="44" t="s">
        <v>1643</v>
      </c>
      <c r="Q315" s="44" t="s">
        <v>1644</v>
      </c>
      <c r="R315" s="44" t="s">
        <v>1644</v>
      </c>
      <c r="S315" s="44" t="s">
        <v>1644</v>
      </c>
    </row>
    <row r="316" spans="1:19" ht="15.75" thickBot="1" x14ac:dyDescent="0.3">
      <c r="A316" s="44" t="s">
        <v>953</v>
      </c>
      <c r="B316" s="48" t="s">
        <v>954</v>
      </c>
      <c r="C316" s="44" t="s">
        <v>822</v>
      </c>
      <c r="D316" s="44" t="s">
        <v>3402</v>
      </c>
      <c r="E316" s="197">
        <v>83000</v>
      </c>
      <c r="F316" s="197">
        <v>107000</v>
      </c>
      <c r="G316" s="47">
        <v>38</v>
      </c>
      <c r="H316" s="44" t="s">
        <v>1643</v>
      </c>
      <c r="I316" s="44" t="s">
        <v>1643</v>
      </c>
      <c r="J316" s="44" t="s">
        <v>1643</v>
      </c>
      <c r="K316" s="44" t="s">
        <v>1643</v>
      </c>
      <c r="L316" s="44" t="s">
        <v>1643</v>
      </c>
      <c r="M316" s="44" t="s">
        <v>1643</v>
      </c>
      <c r="N316" s="44" t="s">
        <v>1643</v>
      </c>
      <c r="O316" s="44" t="s">
        <v>1643</v>
      </c>
      <c r="P316" s="44" t="s">
        <v>1643</v>
      </c>
      <c r="Q316" s="44" t="s">
        <v>1643</v>
      </c>
      <c r="R316" s="44" t="s">
        <v>1643</v>
      </c>
      <c r="S316" s="44" t="s">
        <v>1643</v>
      </c>
    </row>
    <row r="317" spans="1:19" ht="15.75" thickBot="1" x14ac:dyDescent="0.3">
      <c r="A317" s="44" t="s">
        <v>957</v>
      </c>
      <c r="B317" s="48" t="s">
        <v>958</v>
      </c>
      <c r="C317" s="44" t="s">
        <v>822</v>
      </c>
      <c r="D317" s="44" t="s">
        <v>3402</v>
      </c>
      <c r="E317" s="197">
        <v>75000</v>
      </c>
      <c r="F317" s="197">
        <v>95000</v>
      </c>
      <c r="G317" s="47">
        <v>40</v>
      </c>
      <c r="H317" s="44" t="s">
        <v>1643</v>
      </c>
      <c r="I317" s="44" t="s">
        <v>1643</v>
      </c>
      <c r="J317" s="44" t="s">
        <v>1643</v>
      </c>
      <c r="K317" s="44" t="s">
        <v>1643</v>
      </c>
      <c r="L317" s="44" t="s">
        <v>1644</v>
      </c>
      <c r="M317" s="44" t="s">
        <v>1643</v>
      </c>
      <c r="N317" s="44" t="s">
        <v>1643</v>
      </c>
      <c r="O317" s="44" t="s">
        <v>1643</v>
      </c>
      <c r="P317" s="44" t="s">
        <v>1643</v>
      </c>
      <c r="Q317" s="44" t="s">
        <v>1644</v>
      </c>
      <c r="R317" s="44" t="s">
        <v>1643</v>
      </c>
      <c r="S317" s="44" t="s">
        <v>1644</v>
      </c>
    </row>
    <row r="318" spans="1:19" ht="15.75" thickBot="1" x14ac:dyDescent="0.3">
      <c r="A318" s="44" t="s">
        <v>971</v>
      </c>
      <c r="B318" s="48" t="s">
        <v>972</v>
      </c>
      <c r="C318" s="44" t="s">
        <v>822</v>
      </c>
      <c r="D318" s="44" t="s">
        <v>3402</v>
      </c>
      <c r="E318" s="197">
        <v>65000</v>
      </c>
      <c r="F318" s="197">
        <v>75000</v>
      </c>
      <c r="G318" s="47">
        <v>38</v>
      </c>
      <c r="H318" s="44" t="s">
        <v>1643</v>
      </c>
      <c r="I318" s="44" t="s">
        <v>1643</v>
      </c>
      <c r="J318" s="44" t="s">
        <v>1643</v>
      </c>
      <c r="K318" s="44" t="s">
        <v>1643</v>
      </c>
      <c r="L318" s="44" t="s">
        <v>1643</v>
      </c>
      <c r="M318" s="44" t="s">
        <v>1643</v>
      </c>
      <c r="N318" s="44" t="s">
        <v>1643</v>
      </c>
      <c r="O318" s="44" t="s">
        <v>1644</v>
      </c>
      <c r="P318" s="44" t="s">
        <v>1643</v>
      </c>
      <c r="Q318" s="44" t="s">
        <v>1643</v>
      </c>
      <c r="R318" s="44" t="s">
        <v>1643</v>
      </c>
      <c r="S318" s="44" t="s">
        <v>1644</v>
      </c>
    </row>
    <row r="319" spans="1:19" ht="15.75" thickBot="1" x14ac:dyDescent="0.3">
      <c r="A319" s="44" t="s">
        <v>973</v>
      </c>
      <c r="B319" s="48" t="s">
        <v>974</v>
      </c>
      <c r="C319" s="44" t="s">
        <v>822</v>
      </c>
      <c r="D319" s="44" t="s">
        <v>3402</v>
      </c>
      <c r="E319" s="197">
        <v>48000</v>
      </c>
      <c r="F319" s="197">
        <v>56000</v>
      </c>
      <c r="G319" s="47">
        <v>40</v>
      </c>
      <c r="H319" s="44" t="s">
        <v>1643</v>
      </c>
      <c r="I319" s="44" t="s">
        <v>1643</v>
      </c>
      <c r="J319" s="44" t="s">
        <v>1643</v>
      </c>
      <c r="K319" s="44" t="s">
        <v>1644</v>
      </c>
      <c r="L319" s="44" t="s">
        <v>1643</v>
      </c>
      <c r="M319" s="44" t="s">
        <v>1643</v>
      </c>
      <c r="N319" s="44" t="s">
        <v>1643</v>
      </c>
      <c r="O319" s="44" t="s">
        <v>1644</v>
      </c>
      <c r="P319" s="44" t="s">
        <v>1643</v>
      </c>
      <c r="Q319" s="44" t="s">
        <v>1644</v>
      </c>
      <c r="R319" s="44" t="s">
        <v>1644</v>
      </c>
      <c r="S319" s="44" t="s">
        <v>1644</v>
      </c>
    </row>
    <row r="320" spans="1:19" ht="15.75" thickBot="1" x14ac:dyDescent="0.3">
      <c r="A320" s="44" t="s">
        <v>983</v>
      </c>
      <c r="B320" s="48" t="s">
        <v>984</v>
      </c>
      <c r="C320" s="44" t="s">
        <v>822</v>
      </c>
      <c r="D320" s="44" t="s">
        <v>3402</v>
      </c>
      <c r="E320" s="197">
        <v>70574</v>
      </c>
      <c r="F320" s="197">
        <v>103875</v>
      </c>
      <c r="G320" s="47">
        <v>40</v>
      </c>
      <c r="H320" s="44" t="s">
        <v>1643</v>
      </c>
      <c r="I320" s="44" t="s">
        <v>1643</v>
      </c>
      <c r="J320" s="44" t="s">
        <v>1643</v>
      </c>
      <c r="K320" s="44" t="s">
        <v>1643</v>
      </c>
      <c r="L320" s="44" t="s">
        <v>1643</v>
      </c>
      <c r="M320" s="44" t="s">
        <v>1643</v>
      </c>
      <c r="N320" s="44" t="s">
        <v>1643</v>
      </c>
      <c r="O320" s="44" t="s">
        <v>1643</v>
      </c>
      <c r="P320" s="44" t="s">
        <v>1643</v>
      </c>
      <c r="Q320" s="44" t="s">
        <v>1643</v>
      </c>
      <c r="R320" s="44" t="s">
        <v>1643</v>
      </c>
      <c r="S320" s="44" t="s">
        <v>1644</v>
      </c>
    </row>
    <row r="321" spans="1:19" ht="15.75" thickBot="1" x14ac:dyDescent="0.3">
      <c r="A321" s="44" t="s">
        <v>1001</v>
      </c>
      <c r="B321" s="48" t="s">
        <v>1002</v>
      </c>
      <c r="C321" s="44" t="s">
        <v>822</v>
      </c>
      <c r="D321" s="44" t="s">
        <v>3402</v>
      </c>
      <c r="E321" s="197">
        <v>68838</v>
      </c>
      <c r="F321" s="197">
        <v>89494</v>
      </c>
      <c r="G321" s="47">
        <v>40</v>
      </c>
      <c r="H321" s="44" t="s">
        <v>1643</v>
      </c>
      <c r="I321" s="44" t="s">
        <v>1643</v>
      </c>
      <c r="J321" s="44" t="s">
        <v>1643</v>
      </c>
      <c r="K321" s="44" t="s">
        <v>1643</v>
      </c>
      <c r="L321" s="44" t="s">
        <v>1644</v>
      </c>
      <c r="M321" s="44" t="s">
        <v>1643</v>
      </c>
      <c r="N321" s="44" t="s">
        <v>1643</v>
      </c>
      <c r="O321" s="44" t="s">
        <v>1643</v>
      </c>
      <c r="P321" s="44" t="s">
        <v>1643</v>
      </c>
      <c r="Q321" s="44" t="s">
        <v>1643</v>
      </c>
      <c r="R321" s="44" t="s">
        <v>1643</v>
      </c>
      <c r="S321" s="44" t="s">
        <v>1643</v>
      </c>
    </row>
    <row r="322" spans="1:19" ht="15.75" thickBot="1" x14ac:dyDescent="0.3">
      <c r="A322" s="44" t="s">
        <v>1011</v>
      </c>
      <c r="B322" s="48" t="s">
        <v>1012</v>
      </c>
      <c r="C322" s="44" t="s">
        <v>822</v>
      </c>
      <c r="D322" s="44" t="s">
        <v>3402</v>
      </c>
      <c r="E322" s="197">
        <v>62879</v>
      </c>
      <c r="F322" s="197">
        <v>62879</v>
      </c>
      <c r="G322" s="47">
        <v>40</v>
      </c>
      <c r="H322" s="44" t="s">
        <v>1643</v>
      </c>
      <c r="I322" s="44" t="s">
        <v>1643</v>
      </c>
      <c r="J322" s="44" t="s">
        <v>1643</v>
      </c>
      <c r="K322" s="44" t="s">
        <v>1643</v>
      </c>
      <c r="L322" s="44" t="s">
        <v>1643</v>
      </c>
      <c r="M322" s="44" t="s">
        <v>1643</v>
      </c>
      <c r="N322" s="44" t="s">
        <v>1643</v>
      </c>
      <c r="O322" s="44" t="s">
        <v>1644</v>
      </c>
      <c r="P322" s="44" t="s">
        <v>1643</v>
      </c>
      <c r="Q322" s="44" t="s">
        <v>1644</v>
      </c>
      <c r="R322" s="44" t="s">
        <v>1644</v>
      </c>
      <c r="S322" s="44" t="s">
        <v>1644</v>
      </c>
    </row>
    <row r="323" spans="1:19" ht="15.75" thickBot="1" x14ac:dyDescent="0.3">
      <c r="A323" s="44" t="s">
        <v>1023</v>
      </c>
      <c r="B323" s="48" t="s">
        <v>1024</v>
      </c>
      <c r="C323" s="44" t="s">
        <v>822</v>
      </c>
      <c r="D323" s="44" t="s">
        <v>3402</v>
      </c>
      <c r="E323" s="197">
        <v>83724</v>
      </c>
      <c r="F323" s="197">
        <v>117219</v>
      </c>
      <c r="G323" s="47">
        <v>45</v>
      </c>
      <c r="H323" s="44" t="s">
        <v>1643</v>
      </c>
      <c r="I323" s="44" t="s">
        <v>1643</v>
      </c>
      <c r="J323" s="44" t="s">
        <v>1644</v>
      </c>
      <c r="K323" s="44" t="s">
        <v>1643</v>
      </c>
      <c r="L323" s="44" t="s">
        <v>1644</v>
      </c>
      <c r="M323" s="44" t="s">
        <v>1643</v>
      </c>
      <c r="N323" s="44" t="s">
        <v>1643</v>
      </c>
      <c r="O323" s="44" t="s">
        <v>1644</v>
      </c>
      <c r="P323" s="44" t="s">
        <v>1643</v>
      </c>
      <c r="Q323" s="44" t="s">
        <v>1643</v>
      </c>
      <c r="R323" s="44" t="s">
        <v>1643</v>
      </c>
      <c r="S323" s="44" t="s">
        <v>1643</v>
      </c>
    </row>
    <row r="324" spans="1:19" ht="15.75" thickBot="1" x14ac:dyDescent="0.3">
      <c r="A324" s="44" t="s">
        <v>1025</v>
      </c>
      <c r="B324" s="48" t="s">
        <v>1026</v>
      </c>
      <c r="C324" s="44" t="s">
        <v>822</v>
      </c>
      <c r="D324" s="44" t="s">
        <v>3402</v>
      </c>
      <c r="E324" s="197">
        <v>65094</v>
      </c>
      <c r="F324" s="197">
        <v>88853</v>
      </c>
      <c r="G324" s="47">
        <v>40</v>
      </c>
      <c r="H324" s="44" t="s">
        <v>1643</v>
      </c>
      <c r="I324" s="44" t="s">
        <v>1643</v>
      </c>
      <c r="J324" s="44" t="s">
        <v>1643</v>
      </c>
      <c r="K324" s="44" t="s">
        <v>1643</v>
      </c>
      <c r="L324" s="44" t="s">
        <v>1643</v>
      </c>
      <c r="M324" s="44" t="s">
        <v>1643</v>
      </c>
      <c r="N324" s="44" t="s">
        <v>1643</v>
      </c>
      <c r="O324" s="44" t="s">
        <v>1643</v>
      </c>
      <c r="P324" s="44" t="s">
        <v>1643</v>
      </c>
      <c r="Q324" s="44" t="s">
        <v>1643</v>
      </c>
      <c r="R324" s="44" t="s">
        <v>1643</v>
      </c>
      <c r="S324" s="44" t="s">
        <v>1643</v>
      </c>
    </row>
    <row r="325" spans="1:19" ht="15.75" thickBot="1" x14ac:dyDescent="0.3">
      <c r="A325" s="44" t="s">
        <v>1085</v>
      </c>
      <c r="B325" s="48" t="s">
        <v>1086</v>
      </c>
      <c r="C325" s="44" t="s">
        <v>822</v>
      </c>
      <c r="D325" s="44" t="s">
        <v>3402</v>
      </c>
      <c r="E325" s="197">
        <v>37440</v>
      </c>
      <c r="F325" s="197">
        <v>66726</v>
      </c>
      <c r="G325" s="47">
        <v>40</v>
      </c>
      <c r="H325" s="44" t="s">
        <v>1643</v>
      </c>
      <c r="I325" s="44" t="s">
        <v>1644</v>
      </c>
      <c r="J325" s="44" t="s">
        <v>1643</v>
      </c>
      <c r="K325" s="44" t="s">
        <v>1643</v>
      </c>
      <c r="L325" s="44" t="s">
        <v>1643</v>
      </c>
      <c r="M325" s="44" t="s">
        <v>1643</v>
      </c>
      <c r="N325" s="44" t="s">
        <v>1643</v>
      </c>
      <c r="O325" s="44" t="s">
        <v>1643</v>
      </c>
      <c r="P325" s="44" t="s">
        <v>1643</v>
      </c>
      <c r="Q325" s="44" t="s">
        <v>1643</v>
      </c>
      <c r="R325" s="44" t="s">
        <v>1644</v>
      </c>
      <c r="S325" s="44" t="s">
        <v>1643</v>
      </c>
    </row>
    <row r="326" spans="1:19" ht="15.75" thickBot="1" x14ac:dyDescent="0.3">
      <c r="A326" s="44" t="s">
        <v>1093</v>
      </c>
      <c r="B326" s="48" t="s">
        <v>1094</v>
      </c>
      <c r="C326" s="44" t="s">
        <v>822</v>
      </c>
      <c r="D326" s="44" t="s">
        <v>3402</v>
      </c>
      <c r="E326" s="197">
        <v>67000</v>
      </c>
      <c r="F326" s="197">
        <v>85000</v>
      </c>
      <c r="G326" s="47">
        <v>40</v>
      </c>
      <c r="H326" s="44" t="s">
        <v>1643</v>
      </c>
      <c r="I326" s="44" t="s">
        <v>1643</v>
      </c>
      <c r="J326" s="44" t="s">
        <v>1644</v>
      </c>
      <c r="K326" s="44" t="s">
        <v>1643</v>
      </c>
      <c r="L326" s="44" t="s">
        <v>1643</v>
      </c>
      <c r="M326" s="44" t="s">
        <v>1643</v>
      </c>
      <c r="N326" s="44" t="s">
        <v>1643</v>
      </c>
      <c r="O326" s="44" t="s">
        <v>1643</v>
      </c>
      <c r="P326" s="44" t="s">
        <v>1643</v>
      </c>
      <c r="Q326" s="44" t="s">
        <v>1643</v>
      </c>
      <c r="R326" s="44" t="s">
        <v>1643</v>
      </c>
      <c r="S326" s="44" t="s">
        <v>1643</v>
      </c>
    </row>
    <row r="327" spans="1:19" ht="15.75" thickBot="1" x14ac:dyDescent="0.3">
      <c r="A327" s="44" t="s">
        <v>1113</v>
      </c>
      <c r="B327" s="48" t="s">
        <v>1114</v>
      </c>
      <c r="C327" s="44" t="s">
        <v>822</v>
      </c>
      <c r="D327" s="44" t="s">
        <v>3402</v>
      </c>
      <c r="E327" s="197">
        <v>70000</v>
      </c>
      <c r="F327" s="197">
        <v>94000</v>
      </c>
      <c r="G327" s="47">
        <v>40</v>
      </c>
      <c r="H327" s="44" t="s">
        <v>1643</v>
      </c>
      <c r="I327" s="44" t="s">
        <v>1643</v>
      </c>
      <c r="J327" s="44" t="s">
        <v>1643</v>
      </c>
      <c r="K327" s="44" t="s">
        <v>1643</v>
      </c>
      <c r="L327" s="44" t="s">
        <v>1643</v>
      </c>
      <c r="M327" s="44" t="s">
        <v>1643</v>
      </c>
      <c r="N327" s="44" t="s">
        <v>1643</v>
      </c>
      <c r="O327" s="44" t="s">
        <v>1643</v>
      </c>
      <c r="P327" s="44" t="s">
        <v>1643</v>
      </c>
      <c r="Q327" s="44" t="s">
        <v>1644</v>
      </c>
      <c r="R327" s="44" t="s">
        <v>1643</v>
      </c>
      <c r="S327" s="44" t="s">
        <v>1643</v>
      </c>
    </row>
    <row r="328" spans="1:19" ht="15.75" thickBot="1" x14ac:dyDescent="0.3">
      <c r="A328" s="44" t="s">
        <v>1171</v>
      </c>
      <c r="B328" s="48" t="s">
        <v>1172</v>
      </c>
      <c r="C328" s="44" t="s">
        <v>822</v>
      </c>
      <c r="D328" s="44" t="s">
        <v>3402</v>
      </c>
      <c r="E328" s="197">
        <v>51000</v>
      </c>
      <c r="F328" s="197">
        <v>61000</v>
      </c>
      <c r="G328" s="47">
        <v>40</v>
      </c>
      <c r="H328" s="44" t="s">
        <v>1643</v>
      </c>
      <c r="I328" s="44" t="s">
        <v>1643</v>
      </c>
      <c r="J328" s="44" t="s">
        <v>1643</v>
      </c>
      <c r="K328" s="44" t="s">
        <v>1644</v>
      </c>
      <c r="L328" s="44" t="s">
        <v>1643</v>
      </c>
      <c r="M328" s="44" t="s">
        <v>1643</v>
      </c>
      <c r="N328" s="44" t="s">
        <v>1643</v>
      </c>
      <c r="O328" s="44" t="s">
        <v>1643</v>
      </c>
      <c r="P328" s="44" t="s">
        <v>1643</v>
      </c>
      <c r="Q328" s="44" t="s">
        <v>1644</v>
      </c>
      <c r="R328" s="44" t="s">
        <v>1644</v>
      </c>
      <c r="S328" s="44" t="s">
        <v>1643</v>
      </c>
    </row>
    <row r="329" spans="1:19" ht="15.75" thickBot="1" x14ac:dyDescent="0.3">
      <c r="A329" s="44" t="s">
        <v>1215</v>
      </c>
      <c r="B329" s="48" t="s">
        <v>1216</v>
      </c>
      <c r="C329" s="44" t="s">
        <v>822</v>
      </c>
      <c r="D329" s="44" t="s">
        <v>3402</v>
      </c>
      <c r="E329" s="197">
        <v>56921</v>
      </c>
      <c r="F329" s="197">
        <v>65634</v>
      </c>
      <c r="G329" s="47">
        <v>38</v>
      </c>
      <c r="H329" s="44" t="s">
        <v>1643</v>
      </c>
      <c r="I329" s="44" t="s">
        <v>1643</v>
      </c>
      <c r="J329" s="44" t="s">
        <v>1643</v>
      </c>
      <c r="K329" s="44" t="s">
        <v>1643</v>
      </c>
      <c r="L329" s="44" t="s">
        <v>1644</v>
      </c>
      <c r="M329" s="44" t="s">
        <v>1643</v>
      </c>
      <c r="N329" s="44" t="s">
        <v>1643</v>
      </c>
      <c r="O329" s="44" t="s">
        <v>1643</v>
      </c>
      <c r="P329" s="44" t="s">
        <v>1643</v>
      </c>
      <c r="Q329" s="44" t="s">
        <v>1644</v>
      </c>
      <c r="R329" s="44" t="s">
        <v>1643</v>
      </c>
      <c r="S329" s="44" t="s">
        <v>1644</v>
      </c>
    </row>
    <row r="330" spans="1:19" ht="15.75" thickBot="1" x14ac:dyDescent="0.3">
      <c r="A330" s="44" t="s">
        <v>1221</v>
      </c>
      <c r="B330" s="48" t="s">
        <v>1222</v>
      </c>
      <c r="C330" s="44" t="s">
        <v>822</v>
      </c>
      <c r="D330" s="44" t="s">
        <v>3404</v>
      </c>
      <c r="E330" s="197">
        <v>60000</v>
      </c>
      <c r="F330" s="197">
        <v>65000</v>
      </c>
      <c r="G330" s="47">
        <v>40</v>
      </c>
      <c r="H330" s="44" t="s">
        <v>1643</v>
      </c>
      <c r="I330" s="44" t="s">
        <v>1643</v>
      </c>
      <c r="J330" s="44" t="s">
        <v>1643</v>
      </c>
      <c r="K330" s="44" t="s">
        <v>1643</v>
      </c>
      <c r="L330" s="44" t="s">
        <v>1643</v>
      </c>
      <c r="M330" s="44" t="s">
        <v>1643</v>
      </c>
      <c r="N330" s="44" t="s">
        <v>1643</v>
      </c>
      <c r="O330" s="44" t="s">
        <v>1643</v>
      </c>
      <c r="P330" s="44" t="s">
        <v>1643</v>
      </c>
      <c r="Q330" s="44" t="s">
        <v>1643</v>
      </c>
      <c r="R330" s="44" t="s">
        <v>1643</v>
      </c>
      <c r="S330" s="44" t="s">
        <v>1643</v>
      </c>
    </row>
    <row r="331" spans="1:19" ht="15.75" thickBot="1" x14ac:dyDescent="0.3">
      <c r="A331" s="44" t="s">
        <v>1231</v>
      </c>
      <c r="B331" s="48" t="s">
        <v>1232</v>
      </c>
      <c r="C331" s="44" t="s">
        <v>822</v>
      </c>
      <c r="D331" s="44" t="s">
        <v>3402</v>
      </c>
      <c r="E331" s="197">
        <v>64230</v>
      </c>
      <c r="F331" s="197">
        <v>75479</v>
      </c>
      <c r="G331" s="47">
        <v>40</v>
      </c>
      <c r="H331" s="44" t="s">
        <v>1643</v>
      </c>
      <c r="I331" s="44" t="s">
        <v>1643</v>
      </c>
      <c r="J331" s="44" t="s">
        <v>1643</v>
      </c>
      <c r="K331" s="44" t="s">
        <v>1643</v>
      </c>
      <c r="L331" s="44" t="s">
        <v>1644</v>
      </c>
      <c r="M331" s="44" t="s">
        <v>1643</v>
      </c>
      <c r="N331" s="44" t="s">
        <v>1643</v>
      </c>
      <c r="O331" s="44" t="s">
        <v>1643</v>
      </c>
      <c r="P331" s="44" t="s">
        <v>1643</v>
      </c>
      <c r="Q331" s="44" t="s">
        <v>1643</v>
      </c>
      <c r="R331" s="44" t="s">
        <v>1643</v>
      </c>
      <c r="S331" s="44" t="s">
        <v>1643</v>
      </c>
    </row>
    <row r="332" spans="1:19" ht="15.75" thickBot="1" x14ac:dyDescent="0.3">
      <c r="A332" s="44" t="s">
        <v>1247</v>
      </c>
      <c r="B332" s="48" t="s">
        <v>1248</v>
      </c>
      <c r="C332" s="44" t="s">
        <v>822</v>
      </c>
      <c r="D332" s="44" t="s">
        <v>3402</v>
      </c>
      <c r="E332" s="197">
        <v>88382</v>
      </c>
      <c r="F332" s="197">
        <v>98204</v>
      </c>
      <c r="G332" s="47">
        <v>38</v>
      </c>
      <c r="H332" s="44" t="s">
        <v>1643</v>
      </c>
      <c r="I332" s="44" t="s">
        <v>1643</v>
      </c>
      <c r="J332" s="44" t="s">
        <v>1643</v>
      </c>
      <c r="K332" s="44" t="s">
        <v>1643</v>
      </c>
      <c r="L332" s="44" t="s">
        <v>1643</v>
      </c>
      <c r="M332" s="44" t="s">
        <v>1643</v>
      </c>
      <c r="N332" s="44" t="s">
        <v>1643</v>
      </c>
      <c r="O332" s="44" t="s">
        <v>1643</v>
      </c>
      <c r="P332" s="44" t="s">
        <v>1643</v>
      </c>
      <c r="Q332" s="44" t="s">
        <v>1643</v>
      </c>
      <c r="R332" s="44" t="s">
        <v>1643</v>
      </c>
      <c r="S332" s="44" t="s">
        <v>1643</v>
      </c>
    </row>
    <row r="333" spans="1:19" ht="15.75" thickBot="1" x14ac:dyDescent="0.3">
      <c r="A333" s="44" t="s">
        <v>1267</v>
      </c>
      <c r="B333" s="48" t="s">
        <v>1268</v>
      </c>
      <c r="C333" s="44" t="s">
        <v>822</v>
      </c>
      <c r="D333" s="44" t="s">
        <v>3402</v>
      </c>
      <c r="E333" s="197">
        <v>62226</v>
      </c>
      <c r="F333" s="197">
        <v>62226</v>
      </c>
      <c r="G333" s="47">
        <v>40</v>
      </c>
      <c r="H333" s="44" t="s">
        <v>1643</v>
      </c>
      <c r="I333" s="44" t="s">
        <v>1644</v>
      </c>
      <c r="J333" s="44" t="s">
        <v>1644</v>
      </c>
      <c r="K333" s="44" t="s">
        <v>1643</v>
      </c>
      <c r="L333" s="44" t="s">
        <v>1643</v>
      </c>
      <c r="M333" s="44" t="s">
        <v>1643</v>
      </c>
      <c r="N333" s="44" t="s">
        <v>1643</v>
      </c>
      <c r="O333" s="44" t="s">
        <v>1643</v>
      </c>
      <c r="P333" s="44" t="s">
        <v>1643</v>
      </c>
      <c r="Q333" s="44" t="s">
        <v>1643</v>
      </c>
      <c r="R333" s="44" t="s">
        <v>1643</v>
      </c>
      <c r="S333" s="44" t="s">
        <v>1643</v>
      </c>
    </row>
    <row r="334" spans="1:19" ht="15.75" thickBot="1" x14ac:dyDescent="0.3">
      <c r="A334" s="44" t="s">
        <v>1323</v>
      </c>
      <c r="B334" s="48" t="s">
        <v>1324</v>
      </c>
      <c r="C334" s="44" t="s">
        <v>822</v>
      </c>
      <c r="D334" s="44" t="s">
        <v>3402</v>
      </c>
      <c r="E334" s="197">
        <v>85000</v>
      </c>
      <c r="F334" s="197">
        <v>91000</v>
      </c>
      <c r="G334" s="47">
        <v>40</v>
      </c>
      <c r="H334" s="44" t="s">
        <v>1643</v>
      </c>
      <c r="I334" s="44" t="s">
        <v>1643</v>
      </c>
      <c r="J334" s="44" t="s">
        <v>1643</v>
      </c>
      <c r="K334" s="44" t="s">
        <v>1643</v>
      </c>
      <c r="L334" s="44" t="s">
        <v>1643</v>
      </c>
      <c r="M334" s="44" t="s">
        <v>1643</v>
      </c>
      <c r="N334" s="44" t="s">
        <v>1643</v>
      </c>
      <c r="O334" s="44" t="s">
        <v>1643</v>
      </c>
      <c r="P334" s="44" t="s">
        <v>1643</v>
      </c>
      <c r="Q334" s="44" t="s">
        <v>1643</v>
      </c>
      <c r="R334" s="44" t="s">
        <v>1643</v>
      </c>
      <c r="S334" s="44" t="s">
        <v>1643</v>
      </c>
    </row>
    <row r="335" spans="1:19" ht="15.75" thickBot="1" x14ac:dyDescent="0.3">
      <c r="A335" s="44" t="s">
        <v>1329</v>
      </c>
      <c r="B335" s="48" t="s">
        <v>1330</v>
      </c>
      <c r="C335" s="44" t="s">
        <v>822</v>
      </c>
      <c r="D335" s="44" t="s">
        <v>3402</v>
      </c>
      <c r="E335" s="197">
        <v>60000</v>
      </c>
      <c r="F335" s="197">
        <v>75000</v>
      </c>
      <c r="G335" s="47">
        <v>40</v>
      </c>
      <c r="H335" s="44" t="s">
        <v>1643</v>
      </c>
      <c r="I335" s="44" t="s">
        <v>1643</v>
      </c>
      <c r="J335" s="44" t="s">
        <v>1643</v>
      </c>
      <c r="K335" s="44" t="s">
        <v>1643</v>
      </c>
      <c r="L335" s="44" t="s">
        <v>1644</v>
      </c>
      <c r="M335" s="44" t="s">
        <v>1643</v>
      </c>
      <c r="N335" s="44" t="s">
        <v>1643</v>
      </c>
      <c r="O335" s="44" t="s">
        <v>1643</v>
      </c>
      <c r="P335" s="44" t="s">
        <v>1643</v>
      </c>
      <c r="Q335" s="44" t="s">
        <v>1643</v>
      </c>
      <c r="R335" s="44" t="s">
        <v>1643</v>
      </c>
      <c r="S335" s="44" t="s">
        <v>1643</v>
      </c>
    </row>
    <row r="336" spans="1:19" ht="15.75" thickBot="1" x14ac:dyDescent="0.3">
      <c r="A336" s="44" t="s">
        <v>1335</v>
      </c>
      <c r="B336" s="48" t="s">
        <v>1336</v>
      </c>
      <c r="C336" s="44" t="s">
        <v>822</v>
      </c>
      <c r="D336" s="44" t="s">
        <v>3402</v>
      </c>
      <c r="E336" s="197">
        <v>80000</v>
      </c>
      <c r="F336" s="197">
        <v>93000</v>
      </c>
      <c r="G336" s="47">
        <v>38</v>
      </c>
      <c r="H336" s="44" t="s">
        <v>1643</v>
      </c>
      <c r="I336" s="44" t="s">
        <v>1643</v>
      </c>
      <c r="J336" s="44" t="s">
        <v>1644</v>
      </c>
      <c r="K336" s="44" t="s">
        <v>1643</v>
      </c>
      <c r="L336" s="44" t="s">
        <v>1643</v>
      </c>
      <c r="M336" s="44" t="s">
        <v>1643</v>
      </c>
      <c r="N336" s="44" t="s">
        <v>1643</v>
      </c>
      <c r="O336" s="44" t="s">
        <v>1643</v>
      </c>
      <c r="P336" s="44" t="s">
        <v>1643</v>
      </c>
      <c r="Q336" s="44" t="s">
        <v>1644</v>
      </c>
      <c r="R336" s="44" t="s">
        <v>1643</v>
      </c>
      <c r="S336" s="44" t="s">
        <v>1644</v>
      </c>
    </row>
    <row r="337" spans="1:19" ht="15.75" thickBot="1" x14ac:dyDescent="0.3">
      <c r="A337" s="44" t="s">
        <v>1363</v>
      </c>
      <c r="B337" s="48" t="s">
        <v>1364</v>
      </c>
      <c r="C337" s="44" t="s">
        <v>822</v>
      </c>
      <c r="D337" s="44" t="s">
        <v>3402</v>
      </c>
      <c r="E337" s="197">
        <v>70000</v>
      </c>
      <c r="F337" s="197">
        <v>77200</v>
      </c>
      <c r="G337" s="47">
        <v>40</v>
      </c>
      <c r="H337" s="44" t="s">
        <v>1643</v>
      </c>
      <c r="I337" s="44" t="s">
        <v>1643</v>
      </c>
      <c r="J337" s="44" t="s">
        <v>1643</v>
      </c>
      <c r="K337" s="44" t="s">
        <v>1643</v>
      </c>
      <c r="L337" s="44" t="s">
        <v>1643</v>
      </c>
      <c r="M337" s="44" t="s">
        <v>1643</v>
      </c>
      <c r="N337" s="44" t="s">
        <v>1643</v>
      </c>
      <c r="O337" s="44" t="s">
        <v>1643</v>
      </c>
      <c r="P337" s="44" t="s">
        <v>1643</v>
      </c>
      <c r="Q337" s="44" t="s">
        <v>1643</v>
      </c>
      <c r="R337" s="44" t="s">
        <v>1643</v>
      </c>
      <c r="S337" s="44" t="s">
        <v>1643</v>
      </c>
    </row>
    <row r="338" spans="1:19" ht="15.75" thickBot="1" x14ac:dyDescent="0.3">
      <c r="A338" s="44" t="s">
        <v>1373</v>
      </c>
      <c r="B338" s="48" t="s">
        <v>1374</v>
      </c>
      <c r="C338" s="44" t="s">
        <v>822</v>
      </c>
      <c r="D338" s="44" t="s">
        <v>3402</v>
      </c>
      <c r="E338" s="197">
        <v>94300</v>
      </c>
      <c r="F338" s="197">
        <v>139600</v>
      </c>
      <c r="G338" s="47">
        <v>40</v>
      </c>
      <c r="H338" s="44" t="s">
        <v>1643</v>
      </c>
      <c r="I338" s="44" t="s">
        <v>1643</v>
      </c>
      <c r="J338" s="44" t="s">
        <v>1643</v>
      </c>
      <c r="K338" s="44" t="s">
        <v>1643</v>
      </c>
      <c r="L338" s="44" t="s">
        <v>1643</v>
      </c>
      <c r="M338" s="44" t="s">
        <v>1643</v>
      </c>
      <c r="N338" s="44" t="s">
        <v>1643</v>
      </c>
      <c r="O338" s="44" t="s">
        <v>1644</v>
      </c>
      <c r="P338" s="44" t="s">
        <v>1643</v>
      </c>
      <c r="Q338" s="44" t="s">
        <v>1643</v>
      </c>
      <c r="R338" s="44" t="s">
        <v>1643</v>
      </c>
      <c r="S338" s="44" t="s">
        <v>1644</v>
      </c>
    </row>
    <row r="339" spans="1:19" ht="15.75" thickBot="1" x14ac:dyDescent="0.3">
      <c r="A339" s="44" t="s">
        <v>1401</v>
      </c>
      <c r="B339" s="48" t="s">
        <v>1402</v>
      </c>
      <c r="C339" s="44" t="s">
        <v>822</v>
      </c>
      <c r="D339" s="44" t="s">
        <v>3402</v>
      </c>
      <c r="E339" s="197">
        <v>81038</v>
      </c>
      <c r="F339" s="197">
        <v>98766</v>
      </c>
      <c r="G339" s="47">
        <v>40</v>
      </c>
      <c r="H339" s="44" t="s">
        <v>1643</v>
      </c>
      <c r="I339" s="44" t="s">
        <v>1643</v>
      </c>
      <c r="J339" s="44" t="s">
        <v>1643</v>
      </c>
      <c r="K339" s="44" t="s">
        <v>1643</v>
      </c>
      <c r="L339" s="44" t="s">
        <v>1643</v>
      </c>
      <c r="M339" s="44" t="s">
        <v>1643</v>
      </c>
      <c r="N339" s="44" t="s">
        <v>1643</v>
      </c>
      <c r="O339" s="44" t="s">
        <v>1644</v>
      </c>
      <c r="P339" s="44" t="s">
        <v>1643</v>
      </c>
      <c r="Q339" s="44" t="s">
        <v>1643</v>
      </c>
      <c r="R339" s="44" t="s">
        <v>1643</v>
      </c>
      <c r="S339" s="44" t="s">
        <v>1643</v>
      </c>
    </row>
    <row r="340" spans="1:19" ht="15.75" thickBot="1" x14ac:dyDescent="0.3">
      <c r="A340" s="44" t="s">
        <v>1425</v>
      </c>
      <c r="B340" s="48" t="s">
        <v>1426</v>
      </c>
      <c r="C340" s="44" t="s">
        <v>822</v>
      </c>
      <c r="D340" s="44" t="s">
        <v>3402</v>
      </c>
      <c r="E340" s="197">
        <v>80000</v>
      </c>
      <c r="F340" s="197">
        <v>92000</v>
      </c>
      <c r="G340" s="47">
        <v>40</v>
      </c>
      <c r="H340" s="44" t="s">
        <v>1643</v>
      </c>
      <c r="I340" s="44" t="s">
        <v>1643</v>
      </c>
      <c r="J340" s="44" t="s">
        <v>1643</v>
      </c>
      <c r="K340" s="44" t="s">
        <v>1643</v>
      </c>
      <c r="L340" s="44" t="s">
        <v>1644</v>
      </c>
      <c r="M340" s="44" t="s">
        <v>1643</v>
      </c>
      <c r="N340" s="44" t="s">
        <v>1643</v>
      </c>
      <c r="O340" s="44" t="s">
        <v>1643</v>
      </c>
      <c r="P340" s="44" t="s">
        <v>1643</v>
      </c>
      <c r="Q340" s="44" t="s">
        <v>1643</v>
      </c>
      <c r="R340" s="44" t="s">
        <v>1643</v>
      </c>
      <c r="S340" s="44" t="s">
        <v>1644</v>
      </c>
    </row>
    <row r="341" spans="1:19" ht="15.75" thickBot="1" x14ac:dyDescent="0.3">
      <c r="A341" s="44" t="s">
        <v>1427</v>
      </c>
      <c r="B341" s="48" t="s">
        <v>1428</v>
      </c>
      <c r="C341" s="44" t="s">
        <v>822</v>
      </c>
      <c r="D341" s="44" t="s">
        <v>3402</v>
      </c>
      <c r="E341" s="197">
        <v>65000</v>
      </c>
      <c r="F341" s="197">
        <v>85000</v>
      </c>
      <c r="G341" s="47">
        <v>40</v>
      </c>
      <c r="H341" s="44" t="s">
        <v>1643</v>
      </c>
      <c r="I341" s="44" t="s">
        <v>1643</v>
      </c>
      <c r="J341" s="44" t="s">
        <v>1643</v>
      </c>
      <c r="K341" s="44" t="s">
        <v>1643</v>
      </c>
      <c r="L341" s="44" t="s">
        <v>1643</v>
      </c>
      <c r="M341" s="44" t="s">
        <v>1643</v>
      </c>
      <c r="N341" s="44" t="s">
        <v>1643</v>
      </c>
      <c r="O341" s="44" t="s">
        <v>1643</v>
      </c>
      <c r="P341" s="44" t="s">
        <v>1643</v>
      </c>
      <c r="Q341" s="44" t="s">
        <v>1643</v>
      </c>
      <c r="R341" s="44" t="s">
        <v>1643</v>
      </c>
      <c r="S341" s="44" t="s">
        <v>1644</v>
      </c>
    </row>
    <row r="342" spans="1:19" ht="15.75" thickBot="1" x14ac:dyDescent="0.3">
      <c r="A342" s="44" t="s">
        <v>1431</v>
      </c>
      <c r="B342" s="48" t="s">
        <v>1432</v>
      </c>
      <c r="C342" s="44" t="s">
        <v>822</v>
      </c>
      <c r="D342" s="44" t="s">
        <v>3402</v>
      </c>
      <c r="E342" s="197">
        <v>80263</v>
      </c>
      <c r="F342" s="197">
        <v>89331</v>
      </c>
      <c r="G342" s="47">
        <v>40</v>
      </c>
      <c r="H342" s="44" t="s">
        <v>1643</v>
      </c>
      <c r="I342" s="44" t="s">
        <v>1643</v>
      </c>
      <c r="J342" s="44" t="s">
        <v>1643</v>
      </c>
      <c r="K342" s="44" t="s">
        <v>1643</v>
      </c>
      <c r="L342" s="44" t="s">
        <v>1643</v>
      </c>
      <c r="M342" s="44" t="s">
        <v>1643</v>
      </c>
      <c r="N342" s="44" t="s">
        <v>1643</v>
      </c>
      <c r="O342" s="44" t="s">
        <v>1643</v>
      </c>
      <c r="P342" s="44" t="s">
        <v>1643</v>
      </c>
      <c r="Q342" s="44" t="s">
        <v>1643</v>
      </c>
      <c r="R342" s="44" t="s">
        <v>1643</v>
      </c>
      <c r="S342" s="44" t="s">
        <v>1644</v>
      </c>
    </row>
    <row r="343" spans="1:19" ht="15.75" thickBot="1" x14ac:dyDescent="0.3">
      <c r="A343" s="44" t="s">
        <v>1449</v>
      </c>
      <c r="B343" s="48" t="s">
        <v>1450</v>
      </c>
      <c r="C343" s="44" t="s">
        <v>822</v>
      </c>
      <c r="D343" s="44" t="s">
        <v>3402</v>
      </c>
      <c r="E343" s="197">
        <v>82100</v>
      </c>
      <c r="F343" s="197">
        <v>131400</v>
      </c>
      <c r="G343" s="47">
        <v>40</v>
      </c>
      <c r="H343" s="44" t="s">
        <v>1643</v>
      </c>
      <c r="I343" s="44" t="s">
        <v>1643</v>
      </c>
      <c r="J343" s="44" t="s">
        <v>1643</v>
      </c>
      <c r="K343" s="44" t="s">
        <v>1643</v>
      </c>
      <c r="L343" s="44" t="s">
        <v>1643</v>
      </c>
      <c r="M343" s="44" t="s">
        <v>1643</v>
      </c>
      <c r="N343" s="44" t="s">
        <v>1643</v>
      </c>
      <c r="O343" s="44" t="s">
        <v>1644</v>
      </c>
      <c r="P343" s="44" t="s">
        <v>1643</v>
      </c>
      <c r="Q343" s="44" t="s">
        <v>1643</v>
      </c>
      <c r="R343" s="44" t="s">
        <v>1643</v>
      </c>
      <c r="S343" s="44" t="s">
        <v>1644</v>
      </c>
    </row>
    <row r="344" spans="1:19" ht="15.75" thickBot="1" x14ac:dyDescent="0.3">
      <c r="A344" s="44" t="s">
        <v>1474</v>
      </c>
      <c r="B344" s="48" t="s">
        <v>1475</v>
      </c>
      <c r="C344" s="44" t="s">
        <v>822</v>
      </c>
      <c r="D344" s="44" t="s">
        <v>3402</v>
      </c>
      <c r="E344" s="197">
        <v>72675</v>
      </c>
      <c r="F344" s="197">
        <v>86183</v>
      </c>
      <c r="G344" s="47">
        <v>45</v>
      </c>
      <c r="H344" s="44" t="s">
        <v>1643</v>
      </c>
      <c r="I344" s="44" t="s">
        <v>1643</v>
      </c>
      <c r="J344" s="44" t="s">
        <v>1643</v>
      </c>
      <c r="K344" s="44" t="s">
        <v>1643</v>
      </c>
      <c r="L344" s="44" t="s">
        <v>1643</v>
      </c>
      <c r="M344" s="44" t="s">
        <v>1643</v>
      </c>
      <c r="N344" s="44" t="s">
        <v>1643</v>
      </c>
      <c r="O344" s="44" t="s">
        <v>1643</v>
      </c>
      <c r="P344" s="44" t="s">
        <v>1643</v>
      </c>
      <c r="Q344" s="44" t="s">
        <v>1644</v>
      </c>
      <c r="R344" s="44" t="s">
        <v>1643</v>
      </c>
      <c r="S344" s="44" t="s">
        <v>1643</v>
      </c>
    </row>
    <row r="345" spans="1:19" ht="15.75" thickBot="1" x14ac:dyDescent="0.3">
      <c r="A345" s="44" t="s">
        <v>1484</v>
      </c>
      <c r="B345" s="48" t="s">
        <v>1485</v>
      </c>
      <c r="C345" s="44" t="s">
        <v>822</v>
      </c>
      <c r="D345" s="44" t="s">
        <v>3402</v>
      </c>
      <c r="E345" s="197">
        <v>55000</v>
      </c>
      <c r="F345" s="197">
        <v>55000</v>
      </c>
      <c r="G345" s="47">
        <v>40</v>
      </c>
      <c r="H345" s="44" t="s">
        <v>1643</v>
      </c>
      <c r="I345" s="44" t="s">
        <v>1643</v>
      </c>
      <c r="J345" s="44" t="s">
        <v>1643</v>
      </c>
      <c r="K345" s="44" t="s">
        <v>1644</v>
      </c>
      <c r="L345" s="44" t="s">
        <v>1643</v>
      </c>
      <c r="M345" s="44" t="s">
        <v>1643</v>
      </c>
      <c r="N345" s="44" t="s">
        <v>1643</v>
      </c>
      <c r="O345" s="44" t="s">
        <v>1643</v>
      </c>
      <c r="P345" s="44" t="s">
        <v>1643</v>
      </c>
      <c r="Q345" s="44" t="s">
        <v>1643</v>
      </c>
      <c r="R345" s="44" t="s">
        <v>1644</v>
      </c>
      <c r="S345" s="44" t="s">
        <v>1644</v>
      </c>
    </row>
    <row r="346" spans="1:19" ht="15.75" thickBot="1" x14ac:dyDescent="0.3">
      <c r="A346" s="44" t="s">
        <v>1502</v>
      </c>
      <c r="B346" s="48" t="s">
        <v>1503</v>
      </c>
      <c r="C346" s="44" t="s">
        <v>822</v>
      </c>
      <c r="D346" s="44" t="s">
        <v>3402</v>
      </c>
      <c r="E346" s="197">
        <v>66843</v>
      </c>
      <c r="F346" s="197">
        <v>70488</v>
      </c>
      <c r="G346" s="47">
        <v>35</v>
      </c>
      <c r="H346" s="44" t="s">
        <v>1643</v>
      </c>
      <c r="I346" s="44" t="s">
        <v>1643</v>
      </c>
      <c r="J346" s="44" t="s">
        <v>1643</v>
      </c>
      <c r="K346" s="44" t="s">
        <v>1643</v>
      </c>
      <c r="L346" s="44" t="s">
        <v>1643</v>
      </c>
      <c r="M346" s="44" t="s">
        <v>1643</v>
      </c>
      <c r="N346" s="44" t="s">
        <v>1643</v>
      </c>
      <c r="O346" s="44" t="s">
        <v>1643</v>
      </c>
      <c r="P346" s="44" t="s">
        <v>1643</v>
      </c>
      <c r="Q346" s="44" t="s">
        <v>1644</v>
      </c>
      <c r="R346" s="44" t="s">
        <v>1644</v>
      </c>
      <c r="S346" s="44" t="s">
        <v>1644</v>
      </c>
    </row>
    <row r="347" spans="1:19" ht="15.75" thickBot="1" x14ac:dyDescent="0.3">
      <c r="A347" s="44" t="s">
        <v>1546</v>
      </c>
      <c r="B347" s="48" t="s">
        <v>1547</v>
      </c>
      <c r="C347" s="44" t="s">
        <v>822</v>
      </c>
      <c r="D347" s="44" t="s">
        <v>3402</v>
      </c>
      <c r="E347" s="197">
        <v>85000</v>
      </c>
      <c r="F347" s="197">
        <v>95000</v>
      </c>
      <c r="G347" s="47">
        <v>40</v>
      </c>
      <c r="H347" s="44" t="s">
        <v>1643</v>
      </c>
      <c r="I347" s="44" t="s">
        <v>1643</v>
      </c>
      <c r="J347" s="44" t="s">
        <v>1643</v>
      </c>
      <c r="K347" s="44" t="s">
        <v>1643</v>
      </c>
      <c r="L347" s="44" t="s">
        <v>1643</v>
      </c>
      <c r="M347" s="44" t="s">
        <v>1643</v>
      </c>
      <c r="N347" s="44" t="s">
        <v>1643</v>
      </c>
      <c r="O347" s="44" t="s">
        <v>1643</v>
      </c>
      <c r="P347" s="44" t="s">
        <v>1643</v>
      </c>
      <c r="Q347" s="44" t="s">
        <v>1643</v>
      </c>
      <c r="R347" s="44" t="s">
        <v>1643</v>
      </c>
      <c r="S347" s="44" t="s">
        <v>1644</v>
      </c>
    </row>
    <row r="348" spans="1:19" ht="15.75" thickBot="1" x14ac:dyDescent="0.3">
      <c r="A348" s="44" t="s">
        <v>1586</v>
      </c>
      <c r="B348" s="48" t="s">
        <v>1587</v>
      </c>
      <c r="C348" s="44" t="s">
        <v>822</v>
      </c>
      <c r="D348" s="44" t="s">
        <v>3402</v>
      </c>
      <c r="E348" s="197">
        <v>77500</v>
      </c>
      <c r="F348" s="197">
        <v>77500</v>
      </c>
      <c r="G348" s="47">
        <v>40</v>
      </c>
      <c r="H348" s="44" t="s">
        <v>1643</v>
      </c>
      <c r="I348" s="44" t="s">
        <v>1643</v>
      </c>
      <c r="J348" s="44" t="s">
        <v>1643</v>
      </c>
      <c r="K348" s="44" t="s">
        <v>1643</v>
      </c>
      <c r="L348" s="44" t="s">
        <v>1643</v>
      </c>
      <c r="M348" s="44" t="s">
        <v>1643</v>
      </c>
      <c r="N348" s="44" t="s">
        <v>1643</v>
      </c>
      <c r="O348" s="44" t="s">
        <v>1643</v>
      </c>
      <c r="P348" s="44" t="s">
        <v>1643</v>
      </c>
      <c r="Q348" s="44" t="s">
        <v>1643</v>
      </c>
      <c r="R348" s="44" t="s">
        <v>1644</v>
      </c>
      <c r="S348" s="44" t="s">
        <v>1644</v>
      </c>
    </row>
    <row r="349" spans="1:19" ht="15.75" thickBot="1" x14ac:dyDescent="0.3">
      <c r="A349" s="44" t="s">
        <v>835</v>
      </c>
      <c r="B349" s="48" t="s">
        <v>836</v>
      </c>
      <c r="C349" s="44" t="s">
        <v>837</v>
      </c>
      <c r="D349" s="44" t="s">
        <v>3402</v>
      </c>
      <c r="E349" s="197">
        <v>126500</v>
      </c>
      <c r="F349" s="197">
        <v>180950</v>
      </c>
      <c r="G349" s="47">
        <v>50</v>
      </c>
      <c r="H349" s="44" t="s">
        <v>1643</v>
      </c>
      <c r="I349" s="44" t="s">
        <v>1643</v>
      </c>
      <c r="J349" s="44" t="s">
        <v>1643</v>
      </c>
      <c r="K349" s="44" t="s">
        <v>1643</v>
      </c>
      <c r="L349" s="44" t="s">
        <v>1644</v>
      </c>
      <c r="M349" s="44" t="s">
        <v>1643</v>
      </c>
      <c r="N349" s="44" t="s">
        <v>1643</v>
      </c>
      <c r="O349" s="44" t="s">
        <v>1644</v>
      </c>
      <c r="P349" s="44" t="s">
        <v>1643</v>
      </c>
      <c r="Q349" s="44" t="s">
        <v>1643</v>
      </c>
      <c r="R349" s="44" t="s">
        <v>1643</v>
      </c>
      <c r="S349" s="44" t="s">
        <v>1644</v>
      </c>
    </row>
    <row r="350" spans="1:19" ht="15.75" thickBot="1" x14ac:dyDescent="0.3">
      <c r="A350" s="44" t="s">
        <v>861</v>
      </c>
      <c r="B350" s="48" t="s">
        <v>862</v>
      </c>
      <c r="C350" s="44" t="s">
        <v>837</v>
      </c>
      <c r="D350" s="44" t="s">
        <v>3402</v>
      </c>
      <c r="E350" s="197">
        <v>87500</v>
      </c>
      <c r="F350" s="197">
        <v>87500</v>
      </c>
      <c r="G350" s="47">
        <v>40</v>
      </c>
      <c r="H350" s="44" t="s">
        <v>1643</v>
      </c>
      <c r="I350" s="44" t="s">
        <v>1643</v>
      </c>
      <c r="J350" s="44" t="s">
        <v>1643</v>
      </c>
      <c r="K350" s="44" t="s">
        <v>1643</v>
      </c>
      <c r="L350" s="44" t="s">
        <v>1644</v>
      </c>
      <c r="M350" s="44" t="s">
        <v>1643</v>
      </c>
      <c r="N350" s="44" t="s">
        <v>1643</v>
      </c>
      <c r="O350" s="44" t="s">
        <v>1643</v>
      </c>
      <c r="P350" s="44" t="s">
        <v>1643</v>
      </c>
      <c r="Q350" s="44" t="s">
        <v>1643</v>
      </c>
      <c r="R350" s="44" t="s">
        <v>1644</v>
      </c>
      <c r="S350" s="44" t="s">
        <v>1644</v>
      </c>
    </row>
    <row r="351" spans="1:19" ht="15.75" thickBot="1" x14ac:dyDescent="0.3">
      <c r="A351" s="44" t="s">
        <v>923</v>
      </c>
      <c r="B351" s="48" t="s">
        <v>924</v>
      </c>
      <c r="C351" s="44" t="s">
        <v>837</v>
      </c>
      <c r="D351" s="44" t="s">
        <v>3402</v>
      </c>
      <c r="E351" s="197">
        <v>92800</v>
      </c>
      <c r="F351" s="197">
        <v>143800</v>
      </c>
      <c r="G351" s="47">
        <v>37</v>
      </c>
      <c r="H351" s="44" t="s">
        <v>1643</v>
      </c>
      <c r="I351" s="44" t="s">
        <v>1643</v>
      </c>
      <c r="J351" s="44" t="s">
        <v>1644</v>
      </c>
      <c r="K351" s="44" t="s">
        <v>1643</v>
      </c>
      <c r="L351" s="44" t="s">
        <v>1643</v>
      </c>
      <c r="M351" s="44" t="s">
        <v>1643</v>
      </c>
      <c r="N351" s="44" t="s">
        <v>1643</v>
      </c>
      <c r="O351" s="44" t="s">
        <v>1643</v>
      </c>
      <c r="P351" s="44" t="s">
        <v>1643</v>
      </c>
      <c r="Q351" s="44" t="s">
        <v>1643</v>
      </c>
      <c r="R351" s="44" t="s">
        <v>1643</v>
      </c>
      <c r="S351" s="44" t="s">
        <v>1644</v>
      </c>
    </row>
    <row r="352" spans="1:19" ht="15.75" thickBot="1" x14ac:dyDescent="0.3">
      <c r="A352" s="44" t="s">
        <v>925</v>
      </c>
      <c r="B352" s="48" t="s">
        <v>926</v>
      </c>
      <c r="C352" s="44" t="s">
        <v>837</v>
      </c>
      <c r="D352" s="44" t="s">
        <v>3402</v>
      </c>
      <c r="E352" s="197">
        <v>100000</v>
      </c>
      <c r="F352" s="197">
        <v>125000</v>
      </c>
      <c r="G352" s="47">
        <v>40</v>
      </c>
      <c r="H352" s="44" t="s">
        <v>1643</v>
      </c>
      <c r="I352" s="44" t="s">
        <v>1643</v>
      </c>
      <c r="J352" s="44" t="s">
        <v>1643</v>
      </c>
      <c r="K352" s="44" t="s">
        <v>1643</v>
      </c>
      <c r="L352" s="44" t="s">
        <v>1643</v>
      </c>
      <c r="M352" s="44" t="s">
        <v>1643</v>
      </c>
      <c r="N352" s="44" t="s">
        <v>1643</v>
      </c>
      <c r="O352" s="44" t="s">
        <v>1643</v>
      </c>
      <c r="P352" s="44" t="s">
        <v>1643</v>
      </c>
      <c r="Q352" s="44" t="s">
        <v>1643</v>
      </c>
      <c r="R352" s="44" t="s">
        <v>1643</v>
      </c>
      <c r="S352" s="44" t="s">
        <v>1644</v>
      </c>
    </row>
    <row r="353" spans="1:19" ht="15.75" thickBot="1" x14ac:dyDescent="0.3">
      <c r="A353" s="44" t="s">
        <v>955</v>
      </c>
      <c r="B353" s="48" t="s">
        <v>956</v>
      </c>
      <c r="C353" s="44" t="s">
        <v>837</v>
      </c>
      <c r="D353" s="44" t="s">
        <v>3402</v>
      </c>
      <c r="E353" s="197">
        <v>61006</v>
      </c>
      <c r="F353" s="197">
        <v>75712</v>
      </c>
      <c r="G353" s="47">
        <v>40</v>
      </c>
      <c r="H353" s="44" t="s">
        <v>1643</v>
      </c>
      <c r="I353" s="44" t="s">
        <v>1643</v>
      </c>
      <c r="J353" s="44" t="s">
        <v>1643</v>
      </c>
      <c r="K353" s="44" t="s">
        <v>1643</v>
      </c>
      <c r="L353" s="44" t="s">
        <v>1643</v>
      </c>
      <c r="M353" s="44" t="s">
        <v>1643</v>
      </c>
      <c r="N353" s="44" t="s">
        <v>1643</v>
      </c>
      <c r="O353" s="44" t="s">
        <v>1643</v>
      </c>
      <c r="P353" s="44" t="s">
        <v>1643</v>
      </c>
      <c r="Q353" s="44" t="s">
        <v>1643</v>
      </c>
      <c r="R353" s="44" t="s">
        <v>1644</v>
      </c>
      <c r="S353" s="44" t="s">
        <v>1644</v>
      </c>
    </row>
    <row r="354" spans="1:19" ht="15.75" thickBot="1" x14ac:dyDescent="0.3">
      <c r="A354" s="44" t="s">
        <v>961</v>
      </c>
      <c r="B354" s="48" t="s">
        <v>962</v>
      </c>
      <c r="C354" s="44" t="s">
        <v>837</v>
      </c>
      <c r="D354" s="44" t="s">
        <v>3402</v>
      </c>
      <c r="E354" s="197">
        <v>115131</v>
      </c>
      <c r="F354" s="197">
        <v>143782</v>
      </c>
      <c r="G354" s="47">
        <v>45</v>
      </c>
      <c r="H354" s="44" t="s">
        <v>1643</v>
      </c>
      <c r="I354" s="44" t="s">
        <v>1643</v>
      </c>
      <c r="J354" s="44" t="s">
        <v>1643</v>
      </c>
      <c r="K354" s="44" t="s">
        <v>1643</v>
      </c>
      <c r="L354" s="44" t="s">
        <v>1643</v>
      </c>
      <c r="M354" s="44" t="s">
        <v>1643</v>
      </c>
      <c r="N354" s="44" t="s">
        <v>1643</v>
      </c>
      <c r="O354" s="44" t="s">
        <v>1644</v>
      </c>
      <c r="P354" s="44" t="s">
        <v>1643</v>
      </c>
      <c r="Q354" s="44" t="s">
        <v>1643</v>
      </c>
      <c r="R354" s="44" t="s">
        <v>1643</v>
      </c>
      <c r="S354" s="44" t="s">
        <v>1644</v>
      </c>
    </row>
    <row r="355" spans="1:19" ht="15.75" thickBot="1" x14ac:dyDescent="0.3">
      <c r="A355" s="44" t="s">
        <v>995</v>
      </c>
      <c r="B355" s="48" t="s">
        <v>996</v>
      </c>
      <c r="C355" s="44" t="s">
        <v>837</v>
      </c>
      <c r="D355" s="44" t="s">
        <v>3402</v>
      </c>
      <c r="E355" s="197">
        <v>68500</v>
      </c>
      <c r="F355" s="197">
        <v>80000</v>
      </c>
      <c r="G355" s="47">
        <v>45</v>
      </c>
      <c r="H355" s="44" t="s">
        <v>1643</v>
      </c>
      <c r="I355" s="44" t="s">
        <v>1643</v>
      </c>
      <c r="J355" s="44" t="s">
        <v>1643</v>
      </c>
      <c r="K355" s="44" t="s">
        <v>1643</v>
      </c>
      <c r="L355" s="44" t="s">
        <v>1643</v>
      </c>
      <c r="M355" s="44" t="s">
        <v>1643</v>
      </c>
      <c r="N355" s="44" t="s">
        <v>1643</v>
      </c>
      <c r="O355" s="44" t="s">
        <v>1643</v>
      </c>
      <c r="P355" s="44" t="s">
        <v>1643</v>
      </c>
      <c r="Q355" s="44" t="s">
        <v>1643</v>
      </c>
      <c r="R355" s="44" t="s">
        <v>1643</v>
      </c>
      <c r="S355" s="44" t="s">
        <v>1643</v>
      </c>
    </row>
    <row r="356" spans="1:19" ht="15.75" thickBot="1" x14ac:dyDescent="0.3">
      <c r="A356" s="44" t="s">
        <v>997</v>
      </c>
      <c r="B356" s="48" t="s">
        <v>998</v>
      </c>
      <c r="C356" s="44" t="s">
        <v>837</v>
      </c>
      <c r="D356" s="44" t="s">
        <v>3402</v>
      </c>
      <c r="E356" s="197">
        <v>92017</v>
      </c>
      <c r="F356" s="197">
        <v>116565</v>
      </c>
      <c r="G356" s="47">
        <v>40</v>
      </c>
      <c r="H356" s="44" t="s">
        <v>1643</v>
      </c>
      <c r="I356" s="44" t="s">
        <v>1643</v>
      </c>
      <c r="J356" s="44" t="s">
        <v>1643</v>
      </c>
      <c r="K356" s="44" t="s">
        <v>1643</v>
      </c>
      <c r="L356" s="44" t="s">
        <v>1643</v>
      </c>
      <c r="M356" s="44" t="s">
        <v>1643</v>
      </c>
      <c r="N356" s="44" t="s">
        <v>1643</v>
      </c>
      <c r="O356" s="44" t="s">
        <v>1643</v>
      </c>
      <c r="P356" s="44" t="s">
        <v>1643</v>
      </c>
      <c r="Q356" s="44" t="s">
        <v>1643</v>
      </c>
      <c r="R356" s="44" t="s">
        <v>1644</v>
      </c>
      <c r="S356" s="44" t="s">
        <v>1643</v>
      </c>
    </row>
    <row r="357" spans="1:19" ht="15.75" thickBot="1" x14ac:dyDescent="0.3">
      <c r="A357" s="44" t="s">
        <v>1005</v>
      </c>
      <c r="B357" s="48" t="s">
        <v>1006</v>
      </c>
      <c r="C357" s="44" t="s">
        <v>837</v>
      </c>
      <c r="D357" s="44" t="s">
        <v>3402</v>
      </c>
      <c r="E357" s="197">
        <v>128585</v>
      </c>
      <c r="F357" s="197">
        <v>188551</v>
      </c>
      <c r="G357" s="47">
        <v>40</v>
      </c>
      <c r="H357" s="44" t="s">
        <v>1643</v>
      </c>
      <c r="I357" s="44" t="s">
        <v>1643</v>
      </c>
      <c r="J357" s="44" t="s">
        <v>1643</v>
      </c>
      <c r="K357" s="44" t="s">
        <v>1643</v>
      </c>
      <c r="L357" s="44" t="s">
        <v>1643</v>
      </c>
      <c r="M357" s="44" t="s">
        <v>1643</v>
      </c>
      <c r="N357" s="44" t="s">
        <v>1643</v>
      </c>
      <c r="O357" s="44" t="s">
        <v>1643</v>
      </c>
      <c r="P357" s="44" t="s">
        <v>1643</v>
      </c>
      <c r="Q357" s="44" t="s">
        <v>1643</v>
      </c>
      <c r="R357" s="44" t="s">
        <v>1644</v>
      </c>
      <c r="S357" s="44" t="s">
        <v>1643</v>
      </c>
    </row>
    <row r="358" spans="1:19" ht="15.75" thickBot="1" x14ac:dyDescent="0.3">
      <c r="A358" s="44" t="s">
        <v>1051</v>
      </c>
      <c r="B358" s="48" t="s">
        <v>1052</v>
      </c>
      <c r="C358" s="44" t="s">
        <v>837</v>
      </c>
      <c r="D358" s="44" t="s">
        <v>3402</v>
      </c>
      <c r="E358" s="197">
        <v>0</v>
      </c>
      <c r="F358" s="197">
        <v>0</v>
      </c>
      <c r="G358" s="47">
        <v>40</v>
      </c>
      <c r="H358" s="44" t="s">
        <v>1643</v>
      </c>
      <c r="I358" s="44" t="s">
        <v>1643</v>
      </c>
      <c r="J358" s="44" t="s">
        <v>1643</v>
      </c>
      <c r="K358" s="44" t="s">
        <v>1643</v>
      </c>
      <c r="L358" s="44" t="s">
        <v>1643</v>
      </c>
      <c r="M358" s="44" t="s">
        <v>1643</v>
      </c>
      <c r="N358" s="44" t="s">
        <v>1643</v>
      </c>
      <c r="O358" s="44" t="s">
        <v>1643</v>
      </c>
      <c r="P358" s="44" t="s">
        <v>1643</v>
      </c>
      <c r="Q358" s="44" t="s">
        <v>1644</v>
      </c>
      <c r="R358" s="44" t="s">
        <v>1643</v>
      </c>
      <c r="S358" s="44" t="s">
        <v>1644</v>
      </c>
    </row>
    <row r="359" spans="1:19" ht="15.75" thickBot="1" x14ac:dyDescent="0.3">
      <c r="A359" s="44" t="s">
        <v>1063</v>
      </c>
      <c r="B359" s="48" t="s">
        <v>1064</v>
      </c>
      <c r="C359" s="44" t="s">
        <v>837</v>
      </c>
      <c r="D359" s="44" t="s">
        <v>3402</v>
      </c>
      <c r="E359" s="197">
        <v>91219</v>
      </c>
      <c r="F359" s="197">
        <v>106224</v>
      </c>
      <c r="G359" s="47">
        <v>60</v>
      </c>
      <c r="H359" s="44" t="s">
        <v>1643</v>
      </c>
      <c r="I359" s="44" t="s">
        <v>1643</v>
      </c>
      <c r="J359" s="44" t="s">
        <v>1643</v>
      </c>
      <c r="K359" s="44" t="s">
        <v>1643</v>
      </c>
      <c r="L359" s="44" t="s">
        <v>1643</v>
      </c>
      <c r="M359" s="44" t="s">
        <v>1643</v>
      </c>
      <c r="N359" s="44" t="s">
        <v>1643</v>
      </c>
      <c r="O359" s="44" t="s">
        <v>1644</v>
      </c>
      <c r="P359" s="44" t="s">
        <v>1643</v>
      </c>
      <c r="Q359" s="44" t="s">
        <v>1643</v>
      </c>
      <c r="R359" s="44" t="s">
        <v>1643</v>
      </c>
      <c r="S359" s="44" t="s">
        <v>1643</v>
      </c>
    </row>
    <row r="360" spans="1:19" ht="15.75" thickBot="1" x14ac:dyDescent="0.3">
      <c r="A360" s="44" t="s">
        <v>1089</v>
      </c>
      <c r="B360" s="48" t="s">
        <v>1090</v>
      </c>
      <c r="C360" s="44" t="s">
        <v>837</v>
      </c>
      <c r="D360" s="44" t="s">
        <v>3402</v>
      </c>
      <c r="E360" s="197">
        <v>100171</v>
      </c>
      <c r="F360" s="197">
        <v>100171</v>
      </c>
      <c r="G360" s="47">
        <v>40</v>
      </c>
      <c r="H360" s="44" t="s">
        <v>1643</v>
      </c>
      <c r="I360" s="44" t="s">
        <v>1643</v>
      </c>
      <c r="J360" s="44" t="s">
        <v>1643</v>
      </c>
      <c r="K360" s="44" t="s">
        <v>1643</v>
      </c>
      <c r="L360" s="44" t="s">
        <v>1643</v>
      </c>
      <c r="M360" s="44" t="s">
        <v>1643</v>
      </c>
      <c r="N360" s="44" t="s">
        <v>1643</v>
      </c>
      <c r="O360" s="44" t="s">
        <v>1644</v>
      </c>
      <c r="P360" s="44" t="s">
        <v>1643</v>
      </c>
      <c r="Q360" s="44" t="s">
        <v>1643</v>
      </c>
      <c r="R360" s="44" t="s">
        <v>1643</v>
      </c>
      <c r="S360" s="44" t="s">
        <v>1644</v>
      </c>
    </row>
    <row r="361" spans="1:19" ht="15.75" thickBot="1" x14ac:dyDescent="0.3">
      <c r="A361" s="44" t="s">
        <v>1103</v>
      </c>
      <c r="B361" s="48" t="s">
        <v>1104</v>
      </c>
      <c r="C361" s="44" t="s">
        <v>837</v>
      </c>
      <c r="D361" s="44" t="s">
        <v>3402</v>
      </c>
      <c r="E361" s="197">
        <v>94332</v>
      </c>
      <c r="F361" s="197">
        <v>122203</v>
      </c>
      <c r="G361" s="47">
        <v>40</v>
      </c>
      <c r="H361" s="44" t="s">
        <v>1643</v>
      </c>
      <c r="I361" s="44" t="s">
        <v>1643</v>
      </c>
      <c r="J361" s="44" t="s">
        <v>1643</v>
      </c>
      <c r="K361" s="44" t="s">
        <v>1643</v>
      </c>
      <c r="L361" s="44" t="s">
        <v>1644</v>
      </c>
      <c r="M361" s="44" t="s">
        <v>1644</v>
      </c>
      <c r="N361" s="44" t="s">
        <v>1643</v>
      </c>
      <c r="O361" s="44" t="s">
        <v>1643</v>
      </c>
      <c r="P361" s="44" t="s">
        <v>1643</v>
      </c>
      <c r="Q361" s="44" t="s">
        <v>1643</v>
      </c>
      <c r="R361" s="44" t="s">
        <v>1643</v>
      </c>
      <c r="S361" s="44" t="s">
        <v>1644</v>
      </c>
    </row>
    <row r="362" spans="1:19" ht="15.75" thickBot="1" x14ac:dyDescent="0.3">
      <c r="A362" s="44" t="s">
        <v>1107</v>
      </c>
      <c r="B362" s="48" t="s">
        <v>1108</v>
      </c>
      <c r="C362" s="44" t="s">
        <v>837</v>
      </c>
      <c r="D362" s="44" t="s">
        <v>3402</v>
      </c>
      <c r="E362" s="197">
        <v>111792</v>
      </c>
      <c r="F362" s="197">
        <v>142679</v>
      </c>
      <c r="G362" s="47">
        <v>40</v>
      </c>
      <c r="H362" s="44" t="s">
        <v>1643</v>
      </c>
      <c r="I362" s="44" t="s">
        <v>1643</v>
      </c>
      <c r="J362" s="44" t="s">
        <v>1643</v>
      </c>
      <c r="K362" s="44" t="s">
        <v>1643</v>
      </c>
      <c r="L362" s="44" t="s">
        <v>1644</v>
      </c>
      <c r="M362" s="44" t="s">
        <v>1643</v>
      </c>
      <c r="N362" s="44" t="s">
        <v>1643</v>
      </c>
      <c r="O362" s="44" t="s">
        <v>1643</v>
      </c>
      <c r="P362" s="44" t="s">
        <v>1643</v>
      </c>
      <c r="Q362" s="44" t="s">
        <v>1643</v>
      </c>
      <c r="R362" s="44" t="s">
        <v>1643</v>
      </c>
      <c r="S362" s="44" t="s">
        <v>1644</v>
      </c>
    </row>
    <row r="363" spans="1:19" ht="15.75" thickBot="1" x14ac:dyDescent="0.3">
      <c r="A363" s="44" t="s">
        <v>1111</v>
      </c>
      <c r="B363" s="48" t="s">
        <v>1112</v>
      </c>
      <c r="C363" s="44" t="s">
        <v>837</v>
      </c>
      <c r="D363" s="44" t="s">
        <v>3402</v>
      </c>
      <c r="E363" s="197">
        <v>110000</v>
      </c>
      <c r="F363" s="197">
        <v>110000</v>
      </c>
      <c r="G363" s="47">
        <v>40</v>
      </c>
      <c r="H363" s="44" t="s">
        <v>1643</v>
      </c>
      <c r="I363" s="44" t="s">
        <v>1643</v>
      </c>
      <c r="J363" s="44" t="s">
        <v>1643</v>
      </c>
      <c r="K363" s="44" t="s">
        <v>1643</v>
      </c>
      <c r="L363" s="44" t="s">
        <v>1644</v>
      </c>
      <c r="M363" s="44" t="s">
        <v>1643</v>
      </c>
      <c r="N363" s="44" t="s">
        <v>1643</v>
      </c>
      <c r="O363" s="44" t="s">
        <v>1643</v>
      </c>
      <c r="P363" s="44" t="s">
        <v>1643</v>
      </c>
      <c r="Q363" s="44" t="s">
        <v>1643</v>
      </c>
      <c r="R363" s="44" t="s">
        <v>1643</v>
      </c>
      <c r="S363" s="44" t="s">
        <v>1644</v>
      </c>
    </row>
    <row r="364" spans="1:19" ht="15.75" thickBot="1" x14ac:dyDescent="0.3">
      <c r="A364" s="44" t="s">
        <v>1137</v>
      </c>
      <c r="B364" s="48" t="s">
        <v>1138</v>
      </c>
      <c r="C364" s="44" t="s">
        <v>837</v>
      </c>
      <c r="D364" s="44" t="s">
        <v>3402</v>
      </c>
      <c r="E364" s="197">
        <v>87462</v>
      </c>
      <c r="F364" s="197">
        <v>105000</v>
      </c>
      <c r="G364" s="47">
        <v>50</v>
      </c>
      <c r="H364" s="44" t="s">
        <v>1643</v>
      </c>
      <c r="I364" s="44" t="s">
        <v>1643</v>
      </c>
      <c r="J364" s="44" t="s">
        <v>1644</v>
      </c>
      <c r="K364" s="44" t="s">
        <v>1643</v>
      </c>
      <c r="L364" s="44" t="s">
        <v>1643</v>
      </c>
      <c r="M364" s="44" t="s">
        <v>1643</v>
      </c>
      <c r="N364" s="44" t="s">
        <v>1643</v>
      </c>
      <c r="O364" s="44" t="s">
        <v>1643</v>
      </c>
      <c r="P364" s="44" t="s">
        <v>1643</v>
      </c>
      <c r="Q364" s="44" t="s">
        <v>1643</v>
      </c>
      <c r="R364" s="44" t="s">
        <v>1643</v>
      </c>
      <c r="S364" s="44" t="s">
        <v>1643</v>
      </c>
    </row>
    <row r="365" spans="1:19" ht="15.75" thickBot="1" x14ac:dyDescent="0.3">
      <c r="A365" s="44" t="s">
        <v>1159</v>
      </c>
      <c r="B365" s="48" t="s">
        <v>1160</v>
      </c>
      <c r="C365" s="44" t="s">
        <v>837</v>
      </c>
      <c r="D365" s="44" t="s">
        <v>3402</v>
      </c>
      <c r="E365" s="197">
        <v>70096</v>
      </c>
      <c r="F365" s="197">
        <v>112133</v>
      </c>
      <c r="G365" s="47">
        <v>42</v>
      </c>
      <c r="H365" s="44" t="s">
        <v>1643</v>
      </c>
      <c r="I365" s="44" t="s">
        <v>1644</v>
      </c>
      <c r="J365" s="44" t="s">
        <v>1644</v>
      </c>
      <c r="K365" s="44" t="s">
        <v>1643</v>
      </c>
      <c r="L365" s="44" t="s">
        <v>1643</v>
      </c>
      <c r="M365" s="44" t="s">
        <v>1643</v>
      </c>
      <c r="N365" s="44" t="s">
        <v>1643</v>
      </c>
      <c r="O365" s="44" t="s">
        <v>1644</v>
      </c>
      <c r="P365" s="44" t="s">
        <v>1643</v>
      </c>
      <c r="Q365" s="44" t="s">
        <v>1643</v>
      </c>
      <c r="R365" s="44" t="s">
        <v>1644</v>
      </c>
      <c r="S365" s="44" t="s">
        <v>1644</v>
      </c>
    </row>
    <row r="366" spans="1:19" ht="15.75" thickBot="1" x14ac:dyDescent="0.3">
      <c r="A366" s="44" t="s">
        <v>1179</v>
      </c>
      <c r="B366" s="48" t="s">
        <v>1180</v>
      </c>
      <c r="C366" s="44" t="s">
        <v>837</v>
      </c>
      <c r="D366" s="44" t="s">
        <v>3402</v>
      </c>
      <c r="E366" s="197">
        <v>99500</v>
      </c>
      <c r="F366" s="197">
        <v>135000</v>
      </c>
      <c r="G366" s="47">
        <v>40</v>
      </c>
      <c r="H366" s="44" t="s">
        <v>1643</v>
      </c>
      <c r="I366" s="44" t="s">
        <v>1643</v>
      </c>
      <c r="J366" s="44" t="s">
        <v>1643</v>
      </c>
      <c r="K366" s="44" t="s">
        <v>1643</v>
      </c>
      <c r="L366" s="44" t="s">
        <v>1643</v>
      </c>
      <c r="M366" s="44" t="s">
        <v>1643</v>
      </c>
      <c r="N366" s="44" t="s">
        <v>1643</v>
      </c>
      <c r="O366" s="44" t="s">
        <v>1643</v>
      </c>
      <c r="P366" s="44" t="s">
        <v>1643</v>
      </c>
      <c r="Q366" s="44" t="s">
        <v>1643</v>
      </c>
      <c r="R366" s="44" t="s">
        <v>1643</v>
      </c>
      <c r="S366" s="44" t="s">
        <v>1644</v>
      </c>
    </row>
    <row r="367" spans="1:19" ht="15.75" thickBot="1" x14ac:dyDescent="0.3">
      <c r="A367" s="44" t="s">
        <v>1187</v>
      </c>
      <c r="B367" s="48" t="s">
        <v>1188</v>
      </c>
      <c r="C367" s="44" t="s">
        <v>837</v>
      </c>
      <c r="D367" s="44" t="s">
        <v>3402</v>
      </c>
      <c r="E367" s="197">
        <v>131968</v>
      </c>
      <c r="F367" s="197">
        <v>131968</v>
      </c>
      <c r="G367" s="47">
        <v>40</v>
      </c>
      <c r="H367" s="44" t="s">
        <v>1643</v>
      </c>
      <c r="I367" s="44" t="s">
        <v>1643</v>
      </c>
      <c r="J367" s="44" t="s">
        <v>1643</v>
      </c>
      <c r="K367" s="44" t="s">
        <v>1643</v>
      </c>
      <c r="L367" s="44" t="s">
        <v>1643</v>
      </c>
      <c r="M367" s="44" t="s">
        <v>1643</v>
      </c>
      <c r="N367" s="44" t="s">
        <v>1643</v>
      </c>
      <c r="O367" s="44" t="s">
        <v>1643</v>
      </c>
      <c r="P367" s="44" t="s">
        <v>1643</v>
      </c>
      <c r="Q367" s="44" t="s">
        <v>1644</v>
      </c>
      <c r="R367" s="44" t="s">
        <v>1643</v>
      </c>
      <c r="S367" s="44" t="s">
        <v>1644</v>
      </c>
    </row>
    <row r="368" spans="1:19" ht="15.75" thickBot="1" x14ac:dyDescent="0.3">
      <c r="A368" s="44" t="s">
        <v>1191</v>
      </c>
      <c r="B368" s="48" t="s">
        <v>1192</v>
      </c>
      <c r="C368" s="44" t="s">
        <v>837</v>
      </c>
      <c r="D368" s="44" t="s">
        <v>3402</v>
      </c>
      <c r="E368" s="198">
        <v>0</v>
      </c>
      <c r="F368" s="198">
        <v>0</v>
      </c>
      <c r="G368" s="47">
        <v>50</v>
      </c>
      <c r="H368" s="44" t="s">
        <v>1643</v>
      </c>
      <c r="I368" s="44" t="s">
        <v>1643</v>
      </c>
      <c r="J368" s="44" t="s">
        <v>1643</v>
      </c>
      <c r="K368" s="44" t="s">
        <v>1643</v>
      </c>
      <c r="L368" s="44" t="s">
        <v>1644</v>
      </c>
      <c r="M368" s="44" t="s">
        <v>1643</v>
      </c>
      <c r="N368" s="44" t="s">
        <v>1643</v>
      </c>
      <c r="O368" s="44" t="s">
        <v>1644</v>
      </c>
      <c r="P368" s="44" t="s">
        <v>1643</v>
      </c>
      <c r="Q368" s="44" t="s">
        <v>1643</v>
      </c>
      <c r="R368" s="44" t="s">
        <v>1643</v>
      </c>
      <c r="S368" s="44" t="s">
        <v>1644</v>
      </c>
    </row>
    <row r="369" spans="1:19" ht="15.75" thickBot="1" x14ac:dyDescent="0.3">
      <c r="A369" s="44" t="s">
        <v>1201</v>
      </c>
      <c r="B369" s="48" t="s">
        <v>1202</v>
      </c>
      <c r="C369" s="44" t="s">
        <v>837</v>
      </c>
      <c r="D369" s="44" t="s">
        <v>3402</v>
      </c>
      <c r="E369" s="197">
        <v>65000</v>
      </c>
      <c r="F369" s="197">
        <v>85000</v>
      </c>
      <c r="G369" s="47">
        <v>40</v>
      </c>
      <c r="H369" s="44" t="s">
        <v>1643</v>
      </c>
      <c r="I369" s="44" t="s">
        <v>1643</v>
      </c>
      <c r="J369" s="44" t="s">
        <v>1643</v>
      </c>
      <c r="K369" s="44" t="s">
        <v>1643</v>
      </c>
      <c r="L369" s="44" t="s">
        <v>1643</v>
      </c>
      <c r="M369" s="44" t="s">
        <v>1643</v>
      </c>
      <c r="N369" s="44" t="s">
        <v>1643</v>
      </c>
      <c r="O369" s="44" t="s">
        <v>1643</v>
      </c>
      <c r="P369" s="44" t="s">
        <v>1643</v>
      </c>
      <c r="Q369" s="44" t="s">
        <v>1643</v>
      </c>
      <c r="R369" s="44" t="s">
        <v>1643</v>
      </c>
      <c r="S369" s="44" t="s">
        <v>1644</v>
      </c>
    </row>
    <row r="370" spans="1:19" ht="15.75" thickBot="1" x14ac:dyDescent="0.3">
      <c r="A370" s="44" t="s">
        <v>1227</v>
      </c>
      <c r="B370" s="48" t="s">
        <v>1228</v>
      </c>
      <c r="C370" s="44" t="s">
        <v>837</v>
      </c>
      <c r="D370" s="44" t="s">
        <v>3402</v>
      </c>
      <c r="E370" s="197">
        <v>87630</v>
      </c>
      <c r="F370" s="197">
        <v>102232</v>
      </c>
      <c r="G370" s="47">
        <v>40</v>
      </c>
      <c r="H370" s="44" t="s">
        <v>1643</v>
      </c>
      <c r="I370" s="44" t="s">
        <v>1643</v>
      </c>
      <c r="J370" s="44" t="s">
        <v>1643</v>
      </c>
      <c r="K370" s="44" t="s">
        <v>1643</v>
      </c>
      <c r="L370" s="44" t="s">
        <v>1644</v>
      </c>
      <c r="M370" s="44" t="s">
        <v>1643</v>
      </c>
      <c r="N370" s="44" t="s">
        <v>1643</v>
      </c>
      <c r="O370" s="44" t="s">
        <v>1643</v>
      </c>
      <c r="P370" s="44" t="s">
        <v>1643</v>
      </c>
      <c r="Q370" s="44" t="s">
        <v>1643</v>
      </c>
      <c r="R370" s="44" t="s">
        <v>1643</v>
      </c>
      <c r="S370" s="44" t="s">
        <v>1643</v>
      </c>
    </row>
    <row r="371" spans="1:19" ht="15.75" thickBot="1" x14ac:dyDescent="0.3">
      <c r="A371" s="44" t="s">
        <v>1293</v>
      </c>
      <c r="B371" s="48" t="s">
        <v>1294</v>
      </c>
      <c r="C371" s="44" t="s">
        <v>837</v>
      </c>
      <c r="D371" s="44" t="s">
        <v>3402</v>
      </c>
      <c r="E371" s="197">
        <v>114046</v>
      </c>
      <c r="F371" s="197">
        <v>114046</v>
      </c>
      <c r="G371" s="47">
        <v>40</v>
      </c>
      <c r="H371" s="44" t="s">
        <v>1643</v>
      </c>
      <c r="I371" s="44" t="s">
        <v>1643</v>
      </c>
      <c r="J371" s="44" t="s">
        <v>1643</v>
      </c>
      <c r="K371" s="44" t="s">
        <v>1643</v>
      </c>
      <c r="L371" s="44" t="s">
        <v>1643</v>
      </c>
      <c r="M371" s="44" t="s">
        <v>1643</v>
      </c>
      <c r="N371" s="44" t="s">
        <v>1643</v>
      </c>
      <c r="O371" s="44" t="s">
        <v>1643</v>
      </c>
      <c r="P371" s="44" t="s">
        <v>1643</v>
      </c>
      <c r="Q371" s="44" t="s">
        <v>1643</v>
      </c>
      <c r="R371" s="44" t="s">
        <v>1643</v>
      </c>
      <c r="S371" s="44" t="s">
        <v>1643</v>
      </c>
    </row>
    <row r="372" spans="1:19" ht="15.75" thickBot="1" x14ac:dyDescent="0.3">
      <c r="A372" s="44" t="s">
        <v>1307</v>
      </c>
      <c r="B372" s="48" t="s">
        <v>1308</v>
      </c>
      <c r="C372" s="44" t="s">
        <v>837</v>
      </c>
      <c r="D372" s="44" t="s">
        <v>3402</v>
      </c>
      <c r="E372" s="197">
        <v>96000</v>
      </c>
      <c r="F372" s="197">
        <v>96000</v>
      </c>
      <c r="G372" s="47">
        <v>40</v>
      </c>
      <c r="H372" s="44" t="s">
        <v>1643</v>
      </c>
      <c r="I372" s="44" t="s">
        <v>1643</v>
      </c>
      <c r="J372" s="44" t="s">
        <v>1643</v>
      </c>
      <c r="K372" s="44" t="s">
        <v>1643</v>
      </c>
      <c r="L372" s="44" t="s">
        <v>1643</v>
      </c>
      <c r="M372" s="44" t="s">
        <v>1643</v>
      </c>
      <c r="N372" s="44" t="s">
        <v>1643</v>
      </c>
      <c r="O372" s="44" t="s">
        <v>1643</v>
      </c>
      <c r="P372" s="44" t="s">
        <v>1643</v>
      </c>
      <c r="Q372" s="44" t="s">
        <v>1643</v>
      </c>
      <c r="R372" s="44" t="s">
        <v>1643</v>
      </c>
      <c r="S372" s="44" t="s">
        <v>1643</v>
      </c>
    </row>
    <row r="373" spans="1:19" ht="15.75" thickBot="1" x14ac:dyDescent="0.3">
      <c r="A373" s="44" t="s">
        <v>1327</v>
      </c>
      <c r="B373" s="48" t="s">
        <v>1328</v>
      </c>
      <c r="C373" s="44" t="s">
        <v>837</v>
      </c>
      <c r="D373" s="44" t="s">
        <v>3402</v>
      </c>
      <c r="E373" s="197">
        <v>85990</v>
      </c>
      <c r="F373" s="197">
        <v>120386</v>
      </c>
      <c r="G373" s="47">
        <v>40</v>
      </c>
      <c r="H373" s="44" t="s">
        <v>1643</v>
      </c>
      <c r="I373" s="44" t="s">
        <v>1643</v>
      </c>
      <c r="J373" s="44" t="s">
        <v>1643</v>
      </c>
      <c r="K373" s="44" t="s">
        <v>1643</v>
      </c>
      <c r="L373" s="44" t="s">
        <v>1644</v>
      </c>
      <c r="M373" s="44" t="s">
        <v>1643</v>
      </c>
      <c r="N373" s="44" t="s">
        <v>1643</v>
      </c>
      <c r="O373" s="44" t="s">
        <v>1643</v>
      </c>
      <c r="P373" s="44" t="s">
        <v>1643</v>
      </c>
      <c r="Q373" s="44" t="s">
        <v>1643</v>
      </c>
      <c r="R373" s="44" t="s">
        <v>1644</v>
      </c>
      <c r="S373" s="44" t="s">
        <v>1644</v>
      </c>
    </row>
    <row r="374" spans="1:19" ht="15.75" thickBot="1" x14ac:dyDescent="0.3">
      <c r="A374" s="44" t="s">
        <v>1375</v>
      </c>
      <c r="B374" s="48" t="s">
        <v>1376</v>
      </c>
      <c r="C374" s="44" t="s">
        <v>837</v>
      </c>
      <c r="D374" s="44" t="s">
        <v>3402</v>
      </c>
      <c r="E374" s="197">
        <v>51000</v>
      </c>
      <c r="F374" s="197">
        <v>80000</v>
      </c>
      <c r="G374" s="47">
        <v>40</v>
      </c>
      <c r="H374" s="44" t="s">
        <v>1643</v>
      </c>
      <c r="I374" s="44" t="s">
        <v>1643</v>
      </c>
      <c r="J374" s="44" t="s">
        <v>1644</v>
      </c>
      <c r="K374" s="44" t="s">
        <v>1644</v>
      </c>
      <c r="L374" s="44" t="s">
        <v>1644</v>
      </c>
      <c r="M374" s="44" t="s">
        <v>1643</v>
      </c>
      <c r="N374" s="44" t="s">
        <v>1643</v>
      </c>
      <c r="O374" s="44" t="s">
        <v>1643</v>
      </c>
      <c r="P374" s="44" t="s">
        <v>1643</v>
      </c>
      <c r="Q374" s="44" t="s">
        <v>1644</v>
      </c>
      <c r="R374" s="44" t="s">
        <v>1644</v>
      </c>
      <c r="S374" s="44" t="s">
        <v>1644</v>
      </c>
    </row>
    <row r="375" spans="1:19" ht="15.75" thickBot="1" x14ac:dyDescent="0.3">
      <c r="A375" s="44" t="s">
        <v>1379</v>
      </c>
      <c r="B375" s="48" t="s">
        <v>1380</v>
      </c>
      <c r="C375" s="44" t="s">
        <v>837</v>
      </c>
      <c r="D375" s="44" t="s">
        <v>3402</v>
      </c>
      <c r="E375" s="197">
        <v>70000</v>
      </c>
      <c r="F375" s="197">
        <v>105000</v>
      </c>
      <c r="G375" s="47">
        <v>45</v>
      </c>
      <c r="H375" s="44" t="s">
        <v>1643</v>
      </c>
      <c r="I375" s="44" t="s">
        <v>1643</v>
      </c>
      <c r="J375" s="44" t="s">
        <v>1643</v>
      </c>
      <c r="K375" s="44" t="s">
        <v>1643</v>
      </c>
      <c r="L375" s="44" t="s">
        <v>1644</v>
      </c>
      <c r="M375" s="44" t="s">
        <v>1643</v>
      </c>
      <c r="N375" s="44" t="s">
        <v>1643</v>
      </c>
      <c r="O375" s="44" t="s">
        <v>1644</v>
      </c>
      <c r="P375" s="44" t="s">
        <v>1643</v>
      </c>
      <c r="Q375" s="44" t="s">
        <v>1643</v>
      </c>
      <c r="R375" s="44" t="s">
        <v>1643</v>
      </c>
      <c r="S375" s="44" t="s">
        <v>1644</v>
      </c>
    </row>
    <row r="376" spans="1:19" ht="15.75" thickBot="1" x14ac:dyDescent="0.3">
      <c r="A376" s="44" t="s">
        <v>1389</v>
      </c>
      <c r="B376" s="48" t="s">
        <v>1390</v>
      </c>
      <c r="C376" s="44" t="s">
        <v>837</v>
      </c>
      <c r="D376" s="44" t="s">
        <v>3402</v>
      </c>
      <c r="E376" s="197">
        <v>75000</v>
      </c>
      <c r="F376" s="197">
        <v>87780</v>
      </c>
      <c r="G376" s="47">
        <v>40</v>
      </c>
      <c r="H376" s="44" t="s">
        <v>1643</v>
      </c>
      <c r="I376" s="44" t="s">
        <v>1643</v>
      </c>
      <c r="J376" s="44" t="s">
        <v>1643</v>
      </c>
      <c r="K376" s="44" t="s">
        <v>1643</v>
      </c>
      <c r="L376" s="44" t="s">
        <v>1643</v>
      </c>
      <c r="M376" s="44" t="s">
        <v>1643</v>
      </c>
      <c r="N376" s="44" t="s">
        <v>1643</v>
      </c>
      <c r="O376" s="44" t="s">
        <v>1643</v>
      </c>
      <c r="P376" s="44" t="s">
        <v>1643</v>
      </c>
      <c r="Q376" s="44" t="s">
        <v>1643</v>
      </c>
      <c r="R376" s="44" t="s">
        <v>1644</v>
      </c>
      <c r="S376" s="44" t="s">
        <v>1644</v>
      </c>
    </row>
    <row r="377" spans="1:19" ht="15.75" thickBot="1" x14ac:dyDescent="0.3">
      <c r="A377" s="44" t="s">
        <v>1423</v>
      </c>
      <c r="B377" s="48" t="s">
        <v>1424</v>
      </c>
      <c r="C377" s="44" t="s">
        <v>837</v>
      </c>
      <c r="D377" s="44" t="s">
        <v>3402</v>
      </c>
      <c r="E377" s="197">
        <v>110726</v>
      </c>
      <c r="F377" s="197">
        <v>157598</v>
      </c>
      <c r="G377" s="47">
        <v>38</v>
      </c>
      <c r="H377" s="44" t="s">
        <v>1643</v>
      </c>
      <c r="I377" s="44" t="s">
        <v>1643</v>
      </c>
      <c r="J377" s="44" t="s">
        <v>1643</v>
      </c>
      <c r="K377" s="44" t="s">
        <v>1644</v>
      </c>
      <c r="L377" s="44" t="s">
        <v>1643</v>
      </c>
      <c r="M377" s="44" t="s">
        <v>1643</v>
      </c>
      <c r="N377" s="44" t="s">
        <v>1643</v>
      </c>
      <c r="O377" s="44" t="s">
        <v>1644</v>
      </c>
      <c r="P377" s="44" t="s">
        <v>1643</v>
      </c>
      <c r="Q377" s="44" t="s">
        <v>1643</v>
      </c>
      <c r="R377" s="44" t="s">
        <v>1643</v>
      </c>
      <c r="S377" s="44" t="s">
        <v>1644</v>
      </c>
    </row>
    <row r="378" spans="1:19" ht="15.75" thickBot="1" x14ac:dyDescent="0.3">
      <c r="A378" s="44" t="s">
        <v>1433</v>
      </c>
      <c r="B378" s="48" t="s">
        <v>1434</v>
      </c>
      <c r="C378" s="44" t="s">
        <v>837</v>
      </c>
      <c r="D378" s="44" t="s">
        <v>3402</v>
      </c>
      <c r="E378" s="197">
        <v>78504</v>
      </c>
      <c r="F378" s="197">
        <v>95569</v>
      </c>
      <c r="G378" s="47">
        <v>40</v>
      </c>
      <c r="H378" s="44" t="s">
        <v>1643</v>
      </c>
      <c r="I378" s="44" t="s">
        <v>1643</v>
      </c>
      <c r="J378" s="44" t="s">
        <v>1643</v>
      </c>
      <c r="K378" s="44" t="s">
        <v>1643</v>
      </c>
      <c r="L378" s="44" t="s">
        <v>1644</v>
      </c>
      <c r="M378" s="44" t="s">
        <v>1643</v>
      </c>
      <c r="N378" s="44" t="s">
        <v>1643</v>
      </c>
      <c r="O378" s="44" t="s">
        <v>1643</v>
      </c>
      <c r="P378" s="44" t="s">
        <v>1643</v>
      </c>
      <c r="Q378" s="44" t="s">
        <v>1643</v>
      </c>
      <c r="R378" s="44" t="s">
        <v>1643</v>
      </c>
      <c r="S378" s="44" t="s">
        <v>1643</v>
      </c>
    </row>
    <row r="379" spans="1:19" ht="15.75" thickBot="1" x14ac:dyDescent="0.3">
      <c r="A379" s="44" t="s">
        <v>1439</v>
      </c>
      <c r="B379" s="48" t="s">
        <v>1440</v>
      </c>
      <c r="C379" s="44" t="s">
        <v>837</v>
      </c>
      <c r="D379" s="44" t="s">
        <v>3402</v>
      </c>
      <c r="E379" s="197">
        <v>84603</v>
      </c>
      <c r="F379" s="197">
        <v>87986</v>
      </c>
      <c r="G379" s="47">
        <v>40</v>
      </c>
      <c r="H379" s="44" t="s">
        <v>1643</v>
      </c>
      <c r="I379" s="44" t="s">
        <v>1643</v>
      </c>
      <c r="J379" s="44" t="s">
        <v>1643</v>
      </c>
      <c r="K379" s="44" t="s">
        <v>1643</v>
      </c>
      <c r="L379" s="44" t="s">
        <v>1643</v>
      </c>
      <c r="M379" s="44" t="s">
        <v>1643</v>
      </c>
      <c r="N379" s="44" t="s">
        <v>1643</v>
      </c>
      <c r="O379" s="44" t="s">
        <v>1644</v>
      </c>
      <c r="P379" s="44" t="s">
        <v>1643</v>
      </c>
      <c r="Q379" s="44" t="s">
        <v>1643</v>
      </c>
      <c r="R379" s="44" t="s">
        <v>1643</v>
      </c>
      <c r="S379" s="44" t="s">
        <v>1644</v>
      </c>
    </row>
    <row r="380" spans="1:19" ht="15.75" thickBot="1" x14ac:dyDescent="0.3">
      <c r="A380" s="44" t="s">
        <v>1441</v>
      </c>
      <c r="B380" s="48" t="s">
        <v>1442</v>
      </c>
      <c r="C380" s="44" t="s">
        <v>837</v>
      </c>
      <c r="D380" s="44" t="s">
        <v>3402</v>
      </c>
      <c r="E380" s="197">
        <v>87340</v>
      </c>
      <c r="F380" s="197">
        <v>100738</v>
      </c>
      <c r="G380" s="47">
        <v>38</v>
      </c>
      <c r="H380" s="44" t="s">
        <v>1643</v>
      </c>
      <c r="I380" s="44" t="s">
        <v>1643</v>
      </c>
      <c r="J380" s="44" t="s">
        <v>1643</v>
      </c>
      <c r="K380" s="44" t="s">
        <v>1643</v>
      </c>
      <c r="L380" s="44" t="s">
        <v>1643</v>
      </c>
      <c r="M380" s="44" t="s">
        <v>1643</v>
      </c>
      <c r="N380" s="44" t="s">
        <v>1643</v>
      </c>
      <c r="O380" s="44" t="s">
        <v>1643</v>
      </c>
      <c r="P380" s="44" t="s">
        <v>1643</v>
      </c>
      <c r="Q380" s="44" t="s">
        <v>1643</v>
      </c>
      <c r="R380" s="44" t="s">
        <v>1643</v>
      </c>
      <c r="S380" s="44" t="s">
        <v>1643</v>
      </c>
    </row>
    <row r="381" spans="1:19" ht="15.75" thickBot="1" x14ac:dyDescent="0.3">
      <c r="A381" s="44" t="s">
        <v>1470</v>
      </c>
      <c r="B381" s="48" t="s">
        <v>1471</v>
      </c>
      <c r="C381" s="44" t="s">
        <v>837</v>
      </c>
      <c r="D381" s="44" t="s">
        <v>3402</v>
      </c>
      <c r="E381" s="197">
        <v>86302</v>
      </c>
      <c r="F381" s="197">
        <v>99239</v>
      </c>
      <c r="G381" s="47">
        <v>38</v>
      </c>
      <c r="H381" s="44" t="s">
        <v>1643</v>
      </c>
      <c r="I381" s="44" t="s">
        <v>1643</v>
      </c>
      <c r="J381" s="44" t="s">
        <v>1643</v>
      </c>
      <c r="K381" s="44" t="s">
        <v>1643</v>
      </c>
      <c r="L381" s="44" t="s">
        <v>1643</v>
      </c>
      <c r="M381" s="44" t="s">
        <v>1643</v>
      </c>
      <c r="N381" s="44" t="s">
        <v>1643</v>
      </c>
      <c r="O381" s="44" t="s">
        <v>1643</v>
      </c>
      <c r="P381" s="44" t="s">
        <v>1643</v>
      </c>
      <c r="Q381" s="44" t="s">
        <v>1643</v>
      </c>
      <c r="R381" s="44" t="s">
        <v>1643</v>
      </c>
      <c r="S381" s="44" t="s">
        <v>1644</v>
      </c>
    </row>
    <row r="382" spans="1:19" ht="15.75" thickBot="1" x14ac:dyDescent="0.3">
      <c r="A382" s="44" t="s">
        <v>1482</v>
      </c>
      <c r="B382" s="48" t="s">
        <v>1483</v>
      </c>
      <c r="C382" s="44" t="s">
        <v>837</v>
      </c>
      <c r="D382" s="44" t="s">
        <v>3402</v>
      </c>
      <c r="E382" s="197">
        <v>80016</v>
      </c>
      <c r="F382" s="197">
        <v>108258</v>
      </c>
      <c r="G382" s="47">
        <v>40</v>
      </c>
      <c r="H382" s="44" t="s">
        <v>1643</v>
      </c>
      <c r="I382" s="44" t="s">
        <v>1643</v>
      </c>
      <c r="J382" s="44" t="s">
        <v>1643</v>
      </c>
      <c r="K382" s="44" t="s">
        <v>1643</v>
      </c>
      <c r="L382" s="44" t="s">
        <v>1643</v>
      </c>
      <c r="M382" s="44" t="s">
        <v>1643</v>
      </c>
      <c r="N382" s="44" t="s">
        <v>1643</v>
      </c>
      <c r="O382" s="44" t="s">
        <v>1643</v>
      </c>
      <c r="P382" s="44" t="s">
        <v>1643</v>
      </c>
      <c r="Q382" s="44" t="s">
        <v>1643</v>
      </c>
      <c r="R382" s="44" t="s">
        <v>1643</v>
      </c>
      <c r="S382" s="44" t="s">
        <v>1644</v>
      </c>
    </row>
    <row r="383" spans="1:19" ht="15.75" thickBot="1" x14ac:dyDescent="0.3">
      <c r="A383" s="44" t="s">
        <v>1496</v>
      </c>
      <c r="B383" s="48" t="s">
        <v>1497</v>
      </c>
      <c r="C383" s="44" t="s">
        <v>837</v>
      </c>
      <c r="D383" s="44" t="s">
        <v>3402</v>
      </c>
      <c r="E383" s="197">
        <v>99566</v>
      </c>
      <c r="F383" s="197">
        <v>123444</v>
      </c>
      <c r="G383" s="47">
        <v>24</v>
      </c>
      <c r="H383" s="44" t="s">
        <v>1643</v>
      </c>
      <c r="I383" s="44" t="s">
        <v>1643</v>
      </c>
      <c r="J383" s="44" t="s">
        <v>1643</v>
      </c>
      <c r="K383" s="44" t="s">
        <v>1643</v>
      </c>
      <c r="L383" s="44" t="s">
        <v>1644</v>
      </c>
      <c r="M383" s="44" t="s">
        <v>1643</v>
      </c>
      <c r="N383" s="44" t="s">
        <v>1643</v>
      </c>
      <c r="O383" s="44" t="s">
        <v>1643</v>
      </c>
      <c r="P383" s="44" t="s">
        <v>1643</v>
      </c>
      <c r="Q383" s="44" t="s">
        <v>1643</v>
      </c>
      <c r="R383" s="44" t="s">
        <v>1643</v>
      </c>
      <c r="S383" s="44" t="s">
        <v>1643</v>
      </c>
    </row>
    <row r="384" spans="1:19" ht="15.75" thickBot="1" x14ac:dyDescent="0.3">
      <c r="A384" s="44" t="s">
        <v>1512</v>
      </c>
      <c r="B384" s="48" t="s">
        <v>1513</v>
      </c>
      <c r="C384" s="44" t="s">
        <v>837</v>
      </c>
      <c r="D384" s="44" t="s">
        <v>3402</v>
      </c>
      <c r="E384" s="197">
        <v>65000</v>
      </c>
      <c r="F384" s="197">
        <v>70000</v>
      </c>
      <c r="G384" s="47">
        <v>40</v>
      </c>
      <c r="H384" s="44" t="s">
        <v>1643</v>
      </c>
      <c r="I384" s="44" t="s">
        <v>1643</v>
      </c>
      <c r="J384" s="44" t="s">
        <v>1643</v>
      </c>
      <c r="K384" s="44" t="s">
        <v>1643</v>
      </c>
      <c r="L384" s="44" t="s">
        <v>1644</v>
      </c>
      <c r="M384" s="44" t="s">
        <v>1644</v>
      </c>
      <c r="N384" s="44" t="s">
        <v>1644</v>
      </c>
      <c r="O384" s="44" t="s">
        <v>1643</v>
      </c>
      <c r="P384" s="44" t="s">
        <v>1643</v>
      </c>
      <c r="Q384" s="44" t="s">
        <v>1643</v>
      </c>
      <c r="R384" s="44" t="s">
        <v>1644</v>
      </c>
      <c r="S384" s="44" t="s">
        <v>1644</v>
      </c>
    </row>
    <row r="385" spans="1:19" ht="15.75" thickBot="1" x14ac:dyDescent="0.3">
      <c r="A385" s="44" t="s">
        <v>1538</v>
      </c>
      <c r="B385" s="48" t="s">
        <v>1539</v>
      </c>
      <c r="C385" s="44" t="s">
        <v>837</v>
      </c>
      <c r="D385" s="44" t="s">
        <v>3402</v>
      </c>
      <c r="E385" s="197">
        <v>90000</v>
      </c>
      <c r="F385" s="197">
        <v>90000</v>
      </c>
      <c r="G385" s="47">
        <v>40</v>
      </c>
      <c r="H385" s="44" t="s">
        <v>1643</v>
      </c>
      <c r="I385" s="44" t="s">
        <v>1643</v>
      </c>
      <c r="J385" s="44" t="s">
        <v>1643</v>
      </c>
      <c r="K385" s="44" t="s">
        <v>1643</v>
      </c>
      <c r="L385" s="44" t="s">
        <v>1643</v>
      </c>
      <c r="M385" s="44" t="s">
        <v>1643</v>
      </c>
      <c r="N385" s="44" t="s">
        <v>1643</v>
      </c>
      <c r="O385" s="44" t="s">
        <v>1643</v>
      </c>
      <c r="P385" s="44" t="s">
        <v>1643</v>
      </c>
      <c r="Q385" s="44" t="s">
        <v>1643</v>
      </c>
      <c r="R385" s="44" t="s">
        <v>1643</v>
      </c>
      <c r="S385" s="44" t="s">
        <v>1644</v>
      </c>
    </row>
    <row r="386" spans="1:19" ht="15.75" thickBot="1" x14ac:dyDescent="0.3">
      <c r="A386" s="44" t="s">
        <v>1540</v>
      </c>
      <c r="B386" s="48" t="s">
        <v>1541</v>
      </c>
      <c r="C386" s="44" t="s">
        <v>837</v>
      </c>
      <c r="D386" s="44" t="s">
        <v>3402</v>
      </c>
      <c r="E386" s="197">
        <v>61102</v>
      </c>
      <c r="F386" s="197">
        <v>71481</v>
      </c>
      <c r="G386" s="47">
        <v>40</v>
      </c>
      <c r="H386" s="44" t="s">
        <v>1643</v>
      </c>
      <c r="I386" s="44" t="s">
        <v>1643</v>
      </c>
      <c r="J386" s="44" t="s">
        <v>1643</v>
      </c>
      <c r="K386" s="44" t="s">
        <v>1643</v>
      </c>
      <c r="L386" s="44" t="s">
        <v>1644</v>
      </c>
      <c r="M386" s="44" t="s">
        <v>1643</v>
      </c>
      <c r="N386" s="44" t="s">
        <v>1643</v>
      </c>
      <c r="O386" s="44" t="s">
        <v>1643</v>
      </c>
      <c r="P386" s="44" t="s">
        <v>1643</v>
      </c>
      <c r="Q386" s="44" t="s">
        <v>1643</v>
      </c>
      <c r="R386" s="44" t="s">
        <v>1643</v>
      </c>
      <c r="S386" s="44" t="s">
        <v>1644</v>
      </c>
    </row>
    <row r="387" spans="1:19" ht="15.75" thickBot="1" x14ac:dyDescent="0.3">
      <c r="A387" s="44" t="s">
        <v>1542</v>
      </c>
      <c r="B387" s="48" t="s">
        <v>1543</v>
      </c>
      <c r="C387" s="44" t="s">
        <v>837</v>
      </c>
      <c r="D387" s="44" t="s">
        <v>3402</v>
      </c>
      <c r="E387" s="197">
        <v>86691</v>
      </c>
      <c r="F387" s="197">
        <v>130036</v>
      </c>
      <c r="G387" s="47">
        <v>40</v>
      </c>
      <c r="H387" s="44" t="s">
        <v>1643</v>
      </c>
      <c r="I387" s="44" t="s">
        <v>1643</v>
      </c>
      <c r="J387" s="44" t="s">
        <v>1643</v>
      </c>
      <c r="K387" s="44" t="s">
        <v>1643</v>
      </c>
      <c r="L387" s="44" t="s">
        <v>1644</v>
      </c>
      <c r="M387" s="44" t="s">
        <v>1643</v>
      </c>
      <c r="N387" s="44" t="s">
        <v>1643</v>
      </c>
      <c r="O387" s="44" t="s">
        <v>1643</v>
      </c>
      <c r="P387" s="44" t="s">
        <v>1643</v>
      </c>
      <c r="Q387" s="44" t="s">
        <v>1643</v>
      </c>
      <c r="R387" s="44" t="s">
        <v>1643</v>
      </c>
      <c r="S387" s="44" t="s">
        <v>1644</v>
      </c>
    </row>
    <row r="388" spans="1:19" ht="15.75" thickBot="1" x14ac:dyDescent="0.3">
      <c r="A388" s="44" t="s">
        <v>1564</v>
      </c>
      <c r="B388" s="48" t="s">
        <v>1565</v>
      </c>
      <c r="C388" s="44" t="s">
        <v>837</v>
      </c>
      <c r="D388" s="44" t="s">
        <v>3402</v>
      </c>
      <c r="E388" s="197">
        <v>102757</v>
      </c>
      <c r="F388" s="197">
        <v>104041</v>
      </c>
      <c r="G388" s="47">
        <v>38</v>
      </c>
      <c r="H388" s="44" t="s">
        <v>1643</v>
      </c>
      <c r="I388" s="44" t="s">
        <v>1643</v>
      </c>
      <c r="J388" s="44" t="s">
        <v>1643</v>
      </c>
      <c r="K388" s="44" t="s">
        <v>1643</v>
      </c>
      <c r="L388" s="44" t="s">
        <v>1643</v>
      </c>
      <c r="M388" s="44" t="s">
        <v>1643</v>
      </c>
      <c r="N388" s="44" t="s">
        <v>1643</v>
      </c>
      <c r="O388" s="44" t="s">
        <v>1643</v>
      </c>
      <c r="P388" s="44" t="s">
        <v>1643</v>
      </c>
      <c r="Q388" s="44" t="s">
        <v>1643</v>
      </c>
      <c r="R388" s="44" t="s">
        <v>1643</v>
      </c>
      <c r="S388" s="44" t="s">
        <v>1643</v>
      </c>
    </row>
    <row r="389" spans="1:19" ht="15.75" thickBot="1" x14ac:dyDescent="0.3">
      <c r="A389" s="44" t="s">
        <v>1566</v>
      </c>
      <c r="B389" s="48" t="s">
        <v>1567</v>
      </c>
      <c r="C389" s="44" t="s">
        <v>837</v>
      </c>
      <c r="D389" s="44" t="s">
        <v>3402</v>
      </c>
      <c r="E389" s="197">
        <v>91888</v>
      </c>
      <c r="F389" s="197">
        <v>116971</v>
      </c>
      <c r="G389" s="47">
        <v>40</v>
      </c>
      <c r="H389" s="44" t="s">
        <v>1643</v>
      </c>
      <c r="I389" s="44" t="s">
        <v>1643</v>
      </c>
      <c r="J389" s="44" t="s">
        <v>1643</v>
      </c>
      <c r="K389" s="44" t="s">
        <v>1643</v>
      </c>
      <c r="L389" s="44" t="s">
        <v>1643</v>
      </c>
      <c r="M389" s="44" t="s">
        <v>1643</v>
      </c>
      <c r="N389" s="44" t="s">
        <v>1643</v>
      </c>
      <c r="O389" s="44" t="s">
        <v>1643</v>
      </c>
      <c r="P389" s="44" t="s">
        <v>1643</v>
      </c>
      <c r="Q389" s="44" t="s">
        <v>1643</v>
      </c>
      <c r="R389" s="44" t="s">
        <v>1643</v>
      </c>
      <c r="S389" s="44" t="s">
        <v>1643</v>
      </c>
    </row>
    <row r="390" spans="1:19" ht="15.75" thickBot="1" x14ac:dyDescent="0.3">
      <c r="A390" s="44" t="s">
        <v>1574</v>
      </c>
      <c r="B390" s="48" t="s">
        <v>1575</v>
      </c>
      <c r="C390" s="44" t="s">
        <v>837</v>
      </c>
      <c r="D390" s="44" t="s">
        <v>3402</v>
      </c>
      <c r="E390" s="197">
        <v>85705</v>
      </c>
      <c r="F390" s="197">
        <v>122195</v>
      </c>
      <c r="G390" s="47">
        <v>35</v>
      </c>
      <c r="H390" s="44" t="s">
        <v>1643</v>
      </c>
      <c r="I390" s="44" t="s">
        <v>1643</v>
      </c>
      <c r="J390" s="44" t="s">
        <v>1643</v>
      </c>
      <c r="K390" s="44" t="s">
        <v>1643</v>
      </c>
      <c r="L390" s="44" t="s">
        <v>1643</v>
      </c>
      <c r="M390" s="44" t="s">
        <v>1643</v>
      </c>
      <c r="N390" s="44" t="s">
        <v>1643</v>
      </c>
      <c r="O390" s="44" t="s">
        <v>1643</v>
      </c>
      <c r="P390" s="44" t="s">
        <v>1643</v>
      </c>
      <c r="Q390" s="44" t="s">
        <v>1643</v>
      </c>
      <c r="R390" s="44" t="s">
        <v>1643</v>
      </c>
      <c r="S390" s="44" t="s">
        <v>1643</v>
      </c>
    </row>
    <row r="391" spans="1:19" ht="15.75" thickBot="1" x14ac:dyDescent="0.3">
      <c r="A391" s="44" t="s">
        <v>1594</v>
      </c>
      <c r="B391" s="48" t="s">
        <v>1595</v>
      </c>
      <c r="C391" s="44" t="s">
        <v>837</v>
      </c>
      <c r="D391" s="44" t="s">
        <v>3402</v>
      </c>
      <c r="E391" s="197">
        <v>100600</v>
      </c>
      <c r="F391" s="197">
        <v>100600</v>
      </c>
      <c r="G391" s="47">
        <v>40</v>
      </c>
      <c r="H391" s="44" t="s">
        <v>1643</v>
      </c>
      <c r="I391" s="44" t="s">
        <v>1643</v>
      </c>
      <c r="J391" s="44" t="s">
        <v>1643</v>
      </c>
      <c r="K391" s="44" t="s">
        <v>1643</v>
      </c>
      <c r="L391" s="44" t="s">
        <v>1643</v>
      </c>
      <c r="M391" s="44" t="s">
        <v>1643</v>
      </c>
      <c r="N391" s="44" t="s">
        <v>1643</v>
      </c>
      <c r="O391" s="44" t="s">
        <v>1643</v>
      </c>
      <c r="P391" s="44" t="s">
        <v>1643</v>
      </c>
      <c r="Q391" s="44" t="s">
        <v>1644</v>
      </c>
      <c r="R391" s="44" t="s">
        <v>1643</v>
      </c>
      <c r="S391" s="44" t="s">
        <v>1644</v>
      </c>
    </row>
    <row r="392" spans="1:19" ht="15.75" thickBot="1" x14ac:dyDescent="0.3">
      <c r="A392" s="44" t="s">
        <v>1596</v>
      </c>
      <c r="B392" s="48" t="s">
        <v>1597</v>
      </c>
      <c r="C392" s="44" t="s">
        <v>837</v>
      </c>
      <c r="D392" s="44" t="s">
        <v>3402</v>
      </c>
      <c r="E392" s="197">
        <v>70000</v>
      </c>
      <c r="F392" s="197">
        <v>92000</v>
      </c>
      <c r="G392" s="47">
        <v>40</v>
      </c>
      <c r="H392" s="44" t="s">
        <v>1643</v>
      </c>
      <c r="I392" s="44" t="s">
        <v>1643</v>
      </c>
      <c r="J392" s="44" t="s">
        <v>1643</v>
      </c>
      <c r="K392" s="44" t="s">
        <v>1643</v>
      </c>
      <c r="L392" s="44" t="s">
        <v>1643</v>
      </c>
      <c r="M392" s="44" t="s">
        <v>1644</v>
      </c>
      <c r="N392" s="44" t="s">
        <v>1643</v>
      </c>
      <c r="O392" s="44" t="s">
        <v>1643</v>
      </c>
      <c r="P392" s="44" t="s">
        <v>1643</v>
      </c>
      <c r="Q392" s="44" t="s">
        <v>1643</v>
      </c>
      <c r="R392" s="44" t="s">
        <v>1644</v>
      </c>
      <c r="S392" s="44" t="s">
        <v>1644</v>
      </c>
    </row>
    <row r="393" spans="1:19" ht="15.75" thickBot="1" x14ac:dyDescent="0.3">
      <c r="A393" s="44" t="s">
        <v>1602</v>
      </c>
      <c r="B393" s="48" t="s">
        <v>1603</v>
      </c>
      <c r="C393" s="44" t="s">
        <v>837</v>
      </c>
      <c r="D393" s="44" t="s">
        <v>3402</v>
      </c>
      <c r="E393" s="197">
        <v>102485</v>
      </c>
      <c r="F393" s="197">
        <v>102485</v>
      </c>
      <c r="G393" s="47">
        <v>40</v>
      </c>
      <c r="H393" s="44" t="s">
        <v>1643</v>
      </c>
      <c r="I393" s="44" t="s">
        <v>1643</v>
      </c>
      <c r="J393" s="44" t="s">
        <v>1643</v>
      </c>
      <c r="K393" s="44" t="s">
        <v>1643</v>
      </c>
      <c r="L393" s="44" t="s">
        <v>1644</v>
      </c>
      <c r="M393" s="44" t="s">
        <v>1643</v>
      </c>
      <c r="N393" s="44" t="s">
        <v>1643</v>
      </c>
      <c r="O393" s="44" t="s">
        <v>1643</v>
      </c>
      <c r="P393" s="44" t="s">
        <v>1643</v>
      </c>
      <c r="Q393" s="44" t="s">
        <v>1643</v>
      </c>
      <c r="R393" s="44" t="s">
        <v>1643</v>
      </c>
      <c r="S393" s="44" t="s">
        <v>1644</v>
      </c>
    </row>
    <row r="394" spans="1:19" ht="15.75" thickBot="1" x14ac:dyDescent="0.3"/>
    <row r="395" spans="1:19" ht="18.75" thickBot="1" x14ac:dyDescent="0.3">
      <c r="B395" s="147" t="s">
        <v>3450</v>
      </c>
      <c r="C395" s="199">
        <f>SUBTOTAL(103,Table11[Library Class])</f>
        <v>390</v>
      </c>
      <c r="D395" s="200" t="s">
        <v>3465</v>
      </c>
      <c r="E395" s="181">
        <f>SUBTOTAL(101,Table11[Director Minimum Salary])</f>
        <v>47044.535897435897</v>
      </c>
      <c r="F395" s="181">
        <f>SUBTOTAL(101,Table11[Director Maximum Salary])</f>
        <v>57197.892307692309</v>
      </c>
      <c r="G395" s="201">
        <f>SUBTOTAL(101,Table11[Director Average Hrs/Wk])</f>
        <v>36.774358974358975</v>
      </c>
    </row>
    <row r="396" spans="1:19" ht="39.75" thickBot="1" x14ac:dyDescent="0.3">
      <c r="E396" s="202" t="s">
        <v>3474</v>
      </c>
      <c r="F396" s="49" t="s">
        <v>3390</v>
      </c>
      <c r="G396" s="49" t="s">
        <v>3391</v>
      </c>
      <c r="H396" s="49" t="s">
        <v>3392</v>
      </c>
      <c r="I396" s="49" t="s">
        <v>3393</v>
      </c>
      <c r="J396" s="49" t="s">
        <v>3394</v>
      </c>
      <c r="K396" s="49" t="s">
        <v>3395</v>
      </c>
      <c r="L396" s="49" t="s">
        <v>3396</v>
      </c>
      <c r="M396" s="49" t="s">
        <v>3397</v>
      </c>
      <c r="N396" s="49" t="s">
        <v>3398</v>
      </c>
      <c r="O396" s="49" t="s">
        <v>3399</v>
      </c>
      <c r="P396" s="49" t="s">
        <v>3400</v>
      </c>
      <c r="Q396" s="49" t="s">
        <v>3401</v>
      </c>
    </row>
    <row r="397" spans="1:19" ht="15.75" thickBot="1" x14ac:dyDescent="0.3">
      <c r="E397" s="204" t="s">
        <v>3456</v>
      </c>
      <c r="F397" s="205">
        <v>0.17910447761194029</v>
      </c>
      <c r="G397" s="205">
        <v>0.13432835820895522</v>
      </c>
      <c r="H397" s="205">
        <v>8.9552238805970144E-2</v>
      </c>
      <c r="I397" s="205">
        <v>0.1044776119402985</v>
      </c>
      <c r="J397" s="205">
        <v>0.17910447761194029</v>
      </c>
      <c r="K397" s="205">
        <v>0.44776119402985076</v>
      </c>
      <c r="L397" s="205">
        <v>0.71641791044776115</v>
      </c>
      <c r="M397" s="205">
        <v>0.52238805970149249</v>
      </c>
      <c r="N397" s="205">
        <v>0.71641791044776115</v>
      </c>
      <c r="O397" s="205">
        <v>8.9552238805970144E-2</v>
      </c>
      <c r="P397" s="205">
        <v>4.4776119402985072E-2</v>
      </c>
      <c r="Q397" s="205">
        <v>0.1044776119402985</v>
      </c>
    </row>
    <row r="398" spans="1:19" ht="15.75" thickBot="1" x14ac:dyDescent="0.3">
      <c r="E398" s="203" t="s">
        <v>3457</v>
      </c>
      <c r="F398" s="206">
        <v>0.34615384615384615</v>
      </c>
      <c r="G398" s="206">
        <v>0.21794871794871795</v>
      </c>
      <c r="H398" s="206">
        <v>0.19230769230769232</v>
      </c>
      <c r="I398" s="206">
        <v>0.17948717948717949</v>
      </c>
      <c r="J398" s="206">
        <v>0.25641025641025639</v>
      </c>
      <c r="K398" s="206">
        <v>0.76923076923076927</v>
      </c>
      <c r="L398" s="206">
        <v>0.9358974358974359</v>
      </c>
      <c r="M398" s="206">
        <v>0.64102564102564108</v>
      </c>
      <c r="N398" s="206">
        <v>0.91025641025641024</v>
      </c>
      <c r="O398" s="206">
        <v>0.15384615384615385</v>
      </c>
      <c r="P398" s="206">
        <v>0.10256410256410256</v>
      </c>
      <c r="Q398" s="207">
        <v>8.9743589743589744E-2</v>
      </c>
    </row>
    <row r="399" spans="1:19" ht="15.75" thickBot="1" x14ac:dyDescent="0.3">
      <c r="E399" s="204" t="s">
        <v>3458</v>
      </c>
      <c r="F399" s="205">
        <v>0.62820512820512819</v>
      </c>
      <c r="G399" s="205">
        <v>0.48717948717948717</v>
      </c>
      <c r="H399" s="205">
        <v>0.4358974358974359</v>
      </c>
      <c r="I399" s="205">
        <v>0.4358974358974359</v>
      </c>
      <c r="J399" s="205">
        <v>0.46153846153846156</v>
      </c>
      <c r="K399" s="205">
        <v>0.80769230769230771</v>
      </c>
      <c r="L399" s="205">
        <v>0.91025641025641024</v>
      </c>
      <c r="M399" s="205">
        <v>0.69230769230769229</v>
      </c>
      <c r="N399" s="205">
        <v>0.91025641025641024</v>
      </c>
      <c r="O399" s="205">
        <v>0.34615384615384615</v>
      </c>
      <c r="P399" s="205">
        <v>0.37179487179487181</v>
      </c>
      <c r="Q399" s="205">
        <v>0.15384615384615385</v>
      </c>
    </row>
    <row r="400" spans="1:19" ht="15.75" thickBot="1" x14ac:dyDescent="0.3">
      <c r="E400" s="203" t="s">
        <v>3459</v>
      </c>
      <c r="F400" s="206">
        <v>0.86075949367088611</v>
      </c>
      <c r="G400" s="206">
        <v>0.73417721518987344</v>
      </c>
      <c r="H400" s="206">
        <v>0.64556962025316456</v>
      </c>
      <c r="I400" s="206">
        <v>0.73417721518987344</v>
      </c>
      <c r="J400" s="206">
        <v>0.569620253164557</v>
      </c>
      <c r="K400" s="206">
        <v>0.92405063291139244</v>
      </c>
      <c r="L400" s="206">
        <v>0.97468354430379744</v>
      </c>
      <c r="M400" s="206">
        <v>0.70886075949367089</v>
      </c>
      <c r="N400" s="206">
        <v>0.97468354430379744</v>
      </c>
      <c r="O400" s="206">
        <v>0.59493670886075944</v>
      </c>
      <c r="P400" s="206">
        <v>0.46835443037974683</v>
      </c>
      <c r="Q400" s="207">
        <v>0.24050632911392406</v>
      </c>
    </row>
    <row r="401" spans="5:17" ht="15.75" thickBot="1" x14ac:dyDescent="0.3">
      <c r="E401" s="204" t="s">
        <v>3460</v>
      </c>
      <c r="F401" s="205">
        <v>1</v>
      </c>
      <c r="G401" s="205">
        <v>0.95348837209302328</v>
      </c>
      <c r="H401" s="205">
        <v>0.90697674418604646</v>
      </c>
      <c r="I401" s="205">
        <v>0.90697674418604646</v>
      </c>
      <c r="J401" s="205">
        <v>0.79069767441860461</v>
      </c>
      <c r="K401" s="205">
        <v>1</v>
      </c>
      <c r="L401" s="205">
        <v>1</v>
      </c>
      <c r="M401" s="205">
        <v>0.81395348837209303</v>
      </c>
      <c r="N401" s="205">
        <v>1</v>
      </c>
      <c r="O401" s="205">
        <v>0.72093023255813948</v>
      </c>
      <c r="P401" s="205">
        <v>0.7441860465116279</v>
      </c>
      <c r="Q401" s="205">
        <v>0.41860465116279072</v>
      </c>
    </row>
    <row r="402" spans="5:17" ht="15.75" thickBot="1" x14ac:dyDescent="0.3">
      <c r="E402" s="203" t="s">
        <v>3461</v>
      </c>
      <c r="F402" s="206">
        <v>1</v>
      </c>
      <c r="G402" s="206">
        <v>0.97777777777777775</v>
      </c>
      <c r="H402" s="206">
        <v>0.91111111111111109</v>
      </c>
      <c r="I402" s="206">
        <v>0.9555555555555556</v>
      </c>
      <c r="J402" s="206">
        <v>0.64444444444444449</v>
      </c>
      <c r="K402" s="206">
        <v>0.93333333333333335</v>
      </c>
      <c r="L402" s="206">
        <v>0.97777777777777775</v>
      </c>
      <c r="M402" s="206">
        <v>0.8</v>
      </c>
      <c r="N402" s="206">
        <v>1</v>
      </c>
      <c r="O402" s="206">
        <v>0.91111111111111109</v>
      </c>
      <c r="P402" s="206">
        <v>0.77777777777777779</v>
      </c>
      <c r="Q402" s="207">
        <v>0.31111111111111112</v>
      </c>
    </row>
    <row r="406" spans="5:17" x14ac:dyDescent="0.25">
      <c r="H406" s="208"/>
    </row>
  </sheetData>
  <sortState xmlns:xlrd2="http://schemas.microsoft.com/office/spreadsheetml/2017/richdata2" ref="A4:S393">
    <sortCondition ref="F4"/>
  </sortState>
  <hyperlinks>
    <hyperlink ref="G1" location="'Table of Contents'!A1" display="Return to Table of Contents" xr:uid="{DDA31D58-0C58-4F17-ACC3-D30C132DC097}"/>
  </hyperlinks>
  <pageMargins left="0.7" right="0.7" top="0.75" bottom="0.75" header="0.3" footer="0.3"/>
  <pageSetup orientation="portrait" horizontalDpi="1200" verticalDpi="12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20FD4-22DC-4523-997D-9F73833338DC}">
  <sheetPr>
    <tabColor theme="3" tint="0.59999389629810485"/>
  </sheetPr>
  <dimension ref="A1:AS413"/>
  <sheetViews>
    <sheetView workbookViewId="0">
      <pane ySplit="3" topLeftCell="A390" activePane="bottomLeft" state="frozen"/>
      <selection activeCell="C1" sqref="C1"/>
      <selection pane="bottomLeft" activeCell="A420" sqref="A420"/>
    </sheetView>
  </sheetViews>
  <sheetFormatPr defaultRowHeight="15" x14ac:dyDescent="0.25"/>
  <cols>
    <col min="1" max="1" width="15.28515625" customWidth="1"/>
    <col min="2" max="2" width="49" bestFit="1" customWidth="1"/>
    <col min="3" max="3" width="25.85546875" bestFit="1" customWidth="1"/>
    <col min="4" max="4" width="12" customWidth="1"/>
    <col min="5" max="5" width="11.85546875" customWidth="1"/>
    <col min="6" max="45" width="10.7109375" customWidth="1"/>
  </cols>
  <sheetData>
    <row r="1" spans="1:45" ht="18.75" x14ac:dyDescent="0.3">
      <c r="B1" s="56" t="s">
        <v>3449</v>
      </c>
      <c r="D1" s="54" t="s">
        <v>12</v>
      </c>
      <c r="G1" s="55" t="s">
        <v>13</v>
      </c>
    </row>
    <row r="2" spans="1:45" ht="15.75" thickBot="1" x14ac:dyDescent="0.3"/>
    <row r="3" spans="1:45" s="39" customFormat="1" ht="78" thickBot="1" x14ac:dyDescent="0.3">
      <c r="A3" s="49" t="s">
        <v>784</v>
      </c>
      <c r="B3" s="49" t="s">
        <v>785</v>
      </c>
      <c r="C3" s="49" t="s">
        <v>786</v>
      </c>
      <c r="D3" s="49" t="s">
        <v>3405</v>
      </c>
      <c r="E3" s="49" t="s">
        <v>3406</v>
      </c>
      <c r="F3" s="49" t="s">
        <v>3407</v>
      </c>
      <c r="G3" s="49" t="s">
        <v>3408</v>
      </c>
      <c r="H3" s="49" t="s">
        <v>3409</v>
      </c>
      <c r="I3" s="49" t="s">
        <v>3410</v>
      </c>
      <c r="J3" s="49" t="s">
        <v>3411</v>
      </c>
      <c r="K3" s="49" t="s">
        <v>3412</v>
      </c>
      <c r="L3" s="49" t="s">
        <v>3413</v>
      </c>
      <c r="M3" s="49" t="s">
        <v>3414</v>
      </c>
      <c r="N3" s="49" t="s">
        <v>3415</v>
      </c>
      <c r="O3" s="49" t="s">
        <v>3416</v>
      </c>
      <c r="P3" s="49" t="s">
        <v>3417</v>
      </c>
      <c r="Q3" s="49" t="s">
        <v>3418</v>
      </c>
      <c r="R3" s="49" t="s">
        <v>3419</v>
      </c>
      <c r="S3" s="49" t="s">
        <v>3420</v>
      </c>
      <c r="T3" s="49" t="s">
        <v>3421</v>
      </c>
      <c r="U3" s="49" t="s">
        <v>3422</v>
      </c>
      <c r="V3" s="51" t="s">
        <v>3423</v>
      </c>
      <c r="W3" s="51" t="s">
        <v>3424</v>
      </c>
      <c r="X3" s="51" t="s">
        <v>3425</v>
      </c>
      <c r="Y3" s="51" t="s">
        <v>3426</v>
      </c>
      <c r="Z3" s="51" t="s">
        <v>3427</v>
      </c>
      <c r="AA3" s="51" t="s">
        <v>3428</v>
      </c>
      <c r="AB3" s="51" t="s">
        <v>3429</v>
      </c>
      <c r="AC3" s="51" t="s">
        <v>3430</v>
      </c>
      <c r="AD3" s="51" t="s">
        <v>3431</v>
      </c>
      <c r="AE3" s="51" t="s">
        <v>3432</v>
      </c>
      <c r="AF3" s="51" t="s">
        <v>3433</v>
      </c>
      <c r="AG3" s="51" t="s">
        <v>3434</v>
      </c>
      <c r="AH3" s="52" t="s">
        <v>3435</v>
      </c>
      <c r="AI3" s="52" t="s">
        <v>3436</v>
      </c>
      <c r="AJ3" s="52" t="s">
        <v>3437</v>
      </c>
      <c r="AK3" s="52" t="s">
        <v>3438</v>
      </c>
      <c r="AL3" s="52" t="s">
        <v>3439</v>
      </c>
      <c r="AM3" s="52" t="s">
        <v>3440</v>
      </c>
      <c r="AN3" s="52" t="s">
        <v>3441</v>
      </c>
      <c r="AO3" s="52" t="s">
        <v>3442</v>
      </c>
      <c r="AP3" s="52" t="s">
        <v>3443</v>
      </c>
      <c r="AQ3" s="52" t="s">
        <v>3444</v>
      </c>
      <c r="AR3" s="52" t="s">
        <v>3445</v>
      </c>
      <c r="AS3" s="52" t="s">
        <v>3446</v>
      </c>
    </row>
    <row r="4" spans="1:45" ht="15.75" thickBot="1" x14ac:dyDescent="0.3">
      <c r="A4" s="212" t="s">
        <v>815</v>
      </c>
      <c r="B4" s="48" t="s">
        <v>816</v>
      </c>
      <c r="C4" s="214" t="s">
        <v>817</v>
      </c>
      <c r="D4" s="218">
        <v>8</v>
      </c>
      <c r="E4" s="219">
        <v>5037</v>
      </c>
      <c r="F4" s="219">
        <v>5037</v>
      </c>
      <c r="G4" s="220" t="s">
        <v>850</v>
      </c>
      <c r="H4" s="220" t="s">
        <v>850</v>
      </c>
      <c r="I4" s="220" t="s">
        <v>850</v>
      </c>
      <c r="J4" s="220" t="s">
        <v>850</v>
      </c>
      <c r="K4" s="220" t="s">
        <v>850</v>
      </c>
      <c r="L4" s="220" t="s">
        <v>850</v>
      </c>
      <c r="M4" s="220" t="s">
        <v>850</v>
      </c>
      <c r="N4" s="220" t="s">
        <v>850</v>
      </c>
      <c r="O4" s="220" t="s">
        <v>850</v>
      </c>
      <c r="P4" s="220" t="s">
        <v>850</v>
      </c>
      <c r="Q4" s="220" t="s">
        <v>850</v>
      </c>
      <c r="R4" s="220" t="s">
        <v>850</v>
      </c>
      <c r="S4" s="221">
        <v>40</v>
      </c>
      <c r="T4" s="219">
        <v>11590</v>
      </c>
      <c r="U4" s="222">
        <v>11843</v>
      </c>
      <c r="V4" s="209" t="s">
        <v>1644</v>
      </c>
      <c r="W4" s="210" t="s">
        <v>1644</v>
      </c>
      <c r="X4" s="210" t="s">
        <v>1644</v>
      </c>
      <c r="Y4" s="210" t="s">
        <v>1644</v>
      </c>
      <c r="Z4" s="210" t="s">
        <v>1644</v>
      </c>
      <c r="AA4" s="210" t="s">
        <v>1644</v>
      </c>
      <c r="AB4" s="210" t="s">
        <v>1644</v>
      </c>
      <c r="AC4" s="210" t="s">
        <v>1644</v>
      </c>
      <c r="AD4" s="210" t="s">
        <v>1644</v>
      </c>
      <c r="AE4" s="210" t="s">
        <v>1644</v>
      </c>
      <c r="AF4" s="210" t="s">
        <v>1644</v>
      </c>
      <c r="AG4" s="211" t="s">
        <v>1644</v>
      </c>
      <c r="AH4" s="209" t="s">
        <v>1644</v>
      </c>
      <c r="AI4" s="210" t="s">
        <v>1644</v>
      </c>
      <c r="AJ4" s="210" t="s">
        <v>1644</v>
      </c>
      <c r="AK4" s="210" t="s">
        <v>1644</v>
      </c>
      <c r="AL4" s="210" t="s">
        <v>1644</v>
      </c>
      <c r="AM4" s="210" t="s">
        <v>1644</v>
      </c>
      <c r="AN4" s="210" t="s">
        <v>1644</v>
      </c>
      <c r="AO4" s="210" t="s">
        <v>1644</v>
      </c>
      <c r="AP4" s="210" t="s">
        <v>1644</v>
      </c>
      <c r="AQ4" s="210" t="s">
        <v>1644</v>
      </c>
      <c r="AR4" s="210" t="s">
        <v>1644</v>
      </c>
      <c r="AS4" s="211" t="s">
        <v>1644</v>
      </c>
    </row>
    <row r="5" spans="1:45" ht="15.75" thickBot="1" x14ac:dyDescent="0.3">
      <c r="A5" s="212" t="s">
        <v>840</v>
      </c>
      <c r="B5" s="48" t="s">
        <v>841</v>
      </c>
      <c r="C5" s="214" t="s">
        <v>817</v>
      </c>
      <c r="D5" s="223" t="s">
        <v>850</v>
      </c>
      <c r="E5" s="220" t="s">
        <v>850</v>
      </c>
      <c r="F5" s="220" t="s">
        <v>850</v>
      </c>
      <c r="G5" s="220" t="s">
        <v>850</v>
      </c>
      <c r="H5" s="220" t="s">
        <v>850</v>
      </c>
      <c r="I5" s="220" t="s">
        <v>850</v>
      </c>
      <c r="J5" s="220" t="s">
        <v>850</v>
      </c>
      <c r="K5" s="220" t="s">
        <v>850</v>
      </c>
      <c r="L5" s="220" t="s">
        <v>850</v>
      </c>
      <c r="M5" s="220" t="s">
        <v>850</v>
      </c>
      <c r="N5" s="220" t="s">
        <v>850</v>
      </c>
      <c r="O5" s="220" t="s">
        <v>850</v>
      </c>
      <c r="P5" s="220" t="s">
        <v>850</v>
      </c>
      <c r="Q5" s="220" t="s">
        <v>850</v>
      </c>
      <c r="R5" s="220" t="s">
        <v>850</v>
      </c>
      <c r="S5" s="220" t="s">
        <v>850</v>
      </c>
      <c r="T5" s="220" t="s">
        <v>850</v>
      </c>
      <c r="U5" s="224" t="s">
        <v>850</v>
      </c>
      <c r="V5" s="209" t="s">
        <v>1644</v>
      </c>
      <c r="W5" s="210" t="s">
        <v>1644</v>
      </c>
      <c r="X5" s="210" t="s">
        <v>1644</v>
      </c>
      <c r="Y5" s="210" t="s">
        <v>1644</v>
      </c>
      <c r="Z5" s="210" t="s">
        <v>1644</v>
      </c>
      <c r="AA5" s="210" t="s">
        <v>1644</v>
      </c>
      <c r="AB5" s="210" t="s">
        <v>1644</v>
      </c>
      <c r="AC5" s="210" t="s">
        <v>1644</v>
      </c>
      <c r="AD5" s="210" t="s">
        <v>1644</v>
      </c>
      <c r="AE5" s="210" t="s">
        <v>1644</v>
      </c>
      <c r="AF5" s="210" t="s">
        <v>1644</v>
      </c>
      <c r="AG5" s="211" t="s">
        <v>1644</v>
      </c>
      <c r="AH5" s="209" t="s">
        <v>1644</v>
      </c>
      <c r="AI5" s="210" t="s">
        <v>1644</v>
      </c>
      <c r="AJ5" s="210" t="s">
        <v>1644</v>
      </c>
      <c r="AK5" s="210" t="s">
        <v>1644</v>
      </c>
      <c r="AL5" s="210" t="s">
        <v>1644</v>
      </c>
      <c r="AM5" s="210" t="s">
        <v>1644</v>
      </c>
      <c r="AN5" s="210" t="s">
        <v>1644</v>
      </c>
      <c r="AO5" s="210" t="s">
        <v>1644</v>
      </c>
      <c r="AP5" s="210" t="s">
        <v>1644</v>
      </c>
      <c r="AQ5" s="210" t="s">
        <v>1644</v>
      </c>
      <c r="AR5" s="210" t="s">
        <v>1644</v>
      </c>
      <c r="AS5" s="211" t="s">
        <v>1644</v>
      </c>
    </row>
    <row r="6" spans="1:45" ht="15.75" thickBot="1" x14ac:dyDescent="0.3">
      <c r="A6" s="212" t="s">
        <v>863</v>
      </c>
      <c r="B6" s="48" t="s">
        <v>864</v>
      </c>
      <c r="C6" s="214" t="s">
        <v>817</v>
      </c>
      <c r="D6" s="225"/>
      <c r="E6" s="226"/>
      <c r="F6" s="226"/>
      <c r="G6" s="227"/>
      <c r="H6" s="226"/>
      <c r="I6" s="226"/>
      <c r="J6" s="221">
        <v>12</v>
      </c>
      <c r="K6" s="219">
        <v>5500</v>
      </c>
      <c r="L6" s="219">
        <v>9500</v>
      </c>
      <c r="M6" s="221">
        <v>8</v>
      </c>
      <c r="N6" s="219">
        <v>4160</v>
      </c>
      <c r="O6" s="219">
        <v>7500</v>
      </c>
      <c r="P6" s="227"/>
      <c r="Q6" s="226"/>
      <c r="R6" s="226"/>
      <c r="S6" s="227"/>
      <c r="T6" s="226"/>
      <c r="U6" s="228"/>
      <c r="V6" s="209" t="s">
        <v>1644</v>
      </c>
      <c r="W6" s="210" t="s">
        <v>1644</v>
      </c>
      <c r="X6" s="210" t="s">
        <v>1644</v>
      </c>
      <c r="Y6" s="210" t="s">
        <v>1644</v>
      </c>
      <c r="Z6" s="210" t="s">
        <v>1644</v>
      </c>
      <c r="AA6" s="210" t="s">
        <v>1644</v>
      </c>
      <c r="AB6" s="210" t="s">
        <v>1644</v>
      </c>
      <c r="AC6" s="210" t="s">
        <v>1644</v>
      </c>
      <c r="AD6" s="210" t="s">
        <v>1644</v>
      </c>
      <c r="AE6" s="210" t="s">
        <v>1644</v>
      </c>
      <c r="AF6" s="210" t="s">
        <v>1644</v>
      </c>
      <c r="AG6" s="211" t="s">
        <v>1644</v>
      </c>
      <c r="AH6" s="212" t="s">
        <v>1644</v>
      </c>
      <c r="AI6" s="213" t="s">
        <v>1644</v>
      </c>
      <c r="AJ6" s="213" t="s">
        <v>1644</v>
      </c>
      <c r="AK6" s="213" t="s">
        <v>1644</v>
      </c>
      <c r="AL6" s="213" t="s">
        <v>1644</v>
      </c>
      <c r="AM6" s="213" t="s">
        <v>1644</v>
      </c>
      <c r="AN6" s="213" t="s">
        <v>1644</v>
      </c>
      <c r="AO6" s="213" t="s">
        <v>1643</v>
      </c>
      <c r="AP6" s="213" t="s">
        <v>1644</v>
      </c>
      <c r="AQ6" s="213" t="s">
        <v>1644</v>
      </c>
      <c r="AR6" s="213" t="s">
        <v>1644</v>
      </c>
      <c r="AS6" s="214" t="s">
        <v>1644</v>
      </c>
    </row>
    <row r="7" spans="1:45" ht="15.75" thickBot="1" x14ac:dyDescent="0.3">
      <c r="A7" s="212" t="s">
        <v>865</v>
      </c>
      <c r="B7" s="48" t="s">
        <v>866</v>
      </c>
      <c r="C7" s="214" t="s">
        <v>817</v>
      </c>
      <c r="D7" s="225"/>
      <c r="E7" s="226"/>
      <c r="F7" s="226"/>
      <c r="G7" s="227"/>
      <c r="H7" s="226"/>
      <c r="I7" s="226"/>
      <c r="J7" s="221">
        <v>25</v>
      </c>
      <c r="K7" s="219">
        <v>10000</v>
      </c>
      <c r="L7" s="219">
        <v>20000</v>
      </c>
      <c r="M7" s="221">
        <v>12</v>
      </c>
      <c r="N7" s="219">
        <v>7000</v>
      </c>
      <c r="O7" s="219">
        <v>10000</v>
      </c>
      <c r="P7" s="227"/>
      <c r="Q7" s="226"/>
      <c r="R7" s="226"/>
      <c r="S7" s="221">
        <v>8</v>
      </c>
      <c r="T7" s="219">
        <v>4000</v>
      </c>
      <c r="U7" s="222">
        <v>7000</v>
      </c>
      <c r="V7" s="212" t="s">
        <v>1644</v>
      </c>
      <c r="W7" s="213" t="s">
        <v>1644</v>
      </c>
      <c r="X7" s="213" t="s">
        <v>1644</v>
      </c>
      <c r="Y7" s="213" t="s">
        <v>1644</v>
      </c>
      <c r="Z7" s="213" t="s">
        <v>1644</v>
      </c>
      <c r="AA7" s="213" t="s">
        <v>1644</v>
      </c>
      <c r="AB7" s="213" t="s">
        <v>1643</v>
      </c>
      <c r="AC7" s="213" t="s">
        <v>1643</v>
      </c>
      <c r="AD7" s="213" t="s">
        <v>1644</v>
      </c>
      <c r="AE7" s="213" t="s">
        <v>1644</v>
      </c>
      <c r="AF7" s="213" t="s">
        <v>1643</v>
      </c>
      <c r="AG7" s="214" t="s">
        <v>1644</v>
      </c>
      <c r="AH7" s="212" t="s">
        <v>1644</v>
      </c>
      <c r="AI7" s="213" t="s">
        <v>1644</v>
      </c>
      <c r="AJ7" s="213" t="s">
        <v>1644</v>
      </c>
      <c r="AK7" s="213" t="s">
        <v>1644</v>
      </c>
      <c r="AL7" s="213" t="s">
        <v>1644</v>
      </c>
      <c r="AM7" s="213" t="s">
        <v>1644</v>
      </c>
      <c r="AN7" s="213" t="s">
        <v>1643</v>
      </c>
      <c r="AO7" s="213" t="s">
        <v>1643</v>
      </c>
      <c r="AP7" s="213" t="s">
        <v>1644</v>
      </c>
      <c r="AQ7" s="213" t="s">
        <v>1644</v>
      </c>
      <c r="AR7" s="213" t="s">
        <v>1643</v>
      </c>
      <c r="AS7" s="214" t="s">
        <v>1644</v>
      </c>
    </row>
    <row r="8" spans="1:45" ht="15.75" thickBot="1" x14ac:dyDescent="0.3">
      <c r="A8" s="212" t="s">
        <v>869</v>
      </c>
      <c r="B8" s="48" t="s">
        <v>870</v>
      </c>
      <c r="C8" s="214" t="s">
        <v>817</v>
      </c>
      <c r="D8" s="223" t="s">
        <v>850</v>
      </c>
      <c r="E8" s="220" t="s">
        <v>850</v>
      </c>
      <c r="F8" s="220" t="s">
        <v>850</v>
      </c>
      <c r="G8" s="220" t="s">
        <v>850</v>
      </c>
      <c r="H8" s="220" t="s">
        <v>850</v>
      </c>
      <c r="I8" s="220" t="s">
        <v>850</v>
      </c>
      <c r="J8" s="220" t="s">
        <v>850</v>
      </c>
      <c r="K8" s="220" t="s">
        <v>850</v>
      </c>
      <c r="L8" s="220" t="s">
        <v>850</v>
      </c>
      <c r="M8" s="220" t="s">
        <v>850</v>
      </c>
      <c r="N8" s="220" t="s">
        <v>850</v>
      </c>
      <c r="O8" s="220" t="s">
        <v>850</v>
      </c>
      <c r="P8" s="220" t="s">
        <v>850</v>
      </c>
      <c r="Q8" s="220" t="s">
        <v>850</v>
      </c>
      <c r="R8" s="220" t="s">
        <v>850</v>
      </c>
      <c r="S8" s="220" t="s">
        <v>850</v>
      </c>
      <c r="T8" s="220" t="s">
        <v>850</v>
      </c>
      <c r="U8" s="224" t="s">
        <v>850</v>
      </c>
      <c r="V8" s="212" t="s">
        <v>1644</v>
      </c>
      <c r="W8" s="213" t="s">
        <v>1644</v>
      </c>
      <c r="X8" s="213" t="s">
        <v>1644</v>
      </c>
      <c r="Y8" s="213" t="s">
        <v>1644</v>
      </c>
      <c r="Z8" s="213" t="s">
        <v>1644</v>
      </c>
      <c r="AA8" s="213" t="s">
        <v>1644</v>
      </c>
      <c r="AB8" s="213" t="s">
        <v>1644</v>
      </c>
      <c r="AC8" s="213" t="s">
        <v>1644</v>
      </c>
      <c r="AD8" s="213" t="s">
        <v>1644</v>
      </c>
      <c r="AE8" s="213" t="s">
        <v>1644</v>
      </c>
      <c r="AF8" s="213" t="s">
        <v>1644</v>
      </c>
      <c r="AG8" s="214" t="s">
        <v>1644</v>
      </c>
      <c r="AH8" s="212" t="s">
        <v>1643</v>
      </c>
      <c r="AI8" s="213" t="s">
        <v>1644</v>
      </c>
      <c r="AJ8" s="213" t="s">
        <v>1644</v>
      </c>
      <c r="AK8" s="213" t="s">
        <v>1644</v>
      </c>
      <c r="AL8" s="213" t="s">
        <v>1644</v>
      </c>
      <c r="AM8" s="213" t="s">
        <v>1644</v>
      </c>
      <c r="AN8" s="213" t="s">
        <v>1644</v>
      </c>
      <c r="AO8" s="213" t="s">
        <v>1644</v>
      </c>
      <c r="AP8" s="213" t="s">
        <v>1644</v>
      </c>
      <c r="AQ8" s="213" t="s">
        <v>1644</v>
      </c>
      <c r="AR8" s="213" t="s">
        <v>1644</v>
      </c>
      <c r="AS8" s="214" t="s">
        <v>1644</v>
      </c>
    </row>
    <row r="9" spans="1:45" ht="15.75" thickBot="1" x14ac:dyDescent="0.3">
      <c r="A9" s="212" t="s">
        <v>873</v>
      </c>
      <c r="B9" s="48" t="s">
        <v>874</v>
      </c>
      <c r="C9" s="214" t="s">
        <v>817</v>
      </c>
      <c r="D9" s="223" t="s">
        <v>850</v>
      </c>
      <c r="E9" s="220" t="s">
        <v>850</v>
      </c>
      <c r="F9" s="220" t="s">
        <v>850</v>
      </c>
      <c r="G9" s="220" t="s">
        <v>850</v>
      </c>
      <c r="H9" s="220" t="s">
        <v>850</v>
      </c>
      <c r="I9" s="220" t="s">
        <v>850</v>
      </c>
      <c r="J9" s="220" t="s">
        <v>850</v>
      </c>
      <c r="K9" s="220" t="s">
        <v>850</v>
      </c>
      <c r="L9" s="220" t="s">
        <v>850</v>
      </c>
      <c r="M9" s="221">
        <v>40</v>
      </c>
      <c r="N9" s="219">
        <v>30</v>
      </c>
      <c r="O9" s="219">
        <v>40</v>
      </c>
      <c r="P9" s="220" t="s">
        <v>850</v>
      </c>
      <c r="Q9" s="220" t="s">
        <v>850</v>
      </c>
      <c r="R9" s="220" t="s">
        <v>850</v>
      </c>
      <c r="S9" s="221">
        <v>12</v>
      </c>
      <c r="T9" s="219">
        <v>8000</v>
      </c>
      <c r="U9" s="222">
        <v>12000</v>
      </c>
      <c r="V9" s="212" t="s">
        <v>1643</v>
      </c>
      <c r="W9" s="213" t="s">
        <v>1644</v>
      </c>
      <c r="X9" s="213" t="s">
        <v>1643</v>
      </c>
      <c r="Y9" s="213" t="s">
        <v>1644</v>
      </c>
      <c r="Z9" s="213" t="s">
        <v>1644</v>
      </c>
      <c r="AA9" s="213" t="s">
        <v>1643</v>
      </c>
      <c r="AB9" s="213" t="s">
        <v>1643</v>
      </c>
      <c r="AC9" s="213" t="s">
        <v>1643</v>
      </c>
      <c r="AD9" s="213" t="s">
        <v>1643</v>
      </c>
      <c r="AE9" s="213" t="s">
        <v>1643</v>
      </c>
      <c r="AF9" s="213" t="s">
        <v>1643</v>
      </c>
      <c r="AG9" s="214" t="s">
        <v>1644</v>
      </c>
      <c r="AH9" s="212" t="s">
        <v>1644</v>
      </c>
      <c r="AI9" s="213" t="s">
        <v>1644</v>
      </c>
      <c r="AJ9" s="213" t="s">
        <v>1644</v>
      </c>
      <c r="AK9" s="213" t="s">
        <v>1644</v>
      </c>
      <c r="AL9" s="213" t="s">
        <v>1644</v>
      </c>
      <c r="AM9" s="213" t="s">
        <v>1644</v>
      </c>
      <c r="AN9" s="213" t="s">
        <v>1644</v>
      </c>
      <c r="AO9" s="213" t="s">
        <v>1644</v>
      </c>
      <c r="AP9" s="213" t="s">
        <v>1644</v>
      </c>
      <c r="AQ9" s="213" t="s">
        <v>1644</v>
      </c>
      <c r="AR9" s="213" t="s">
        <v>1644</v>
      </c>
      <c r="AS9" s="214" t="s">
        <v>1644</v>
      </c>
    </row>
    <row r="10" spans="1:45" ht="15.75" thickBot="1" x14ac:dyDescent="0.3">
      <c r="A10" s="212" t="s">
        <v>875</v>
      </c>
      <c r="B10" s="48" t="s">
        <v>876</v>
      </c>
      <c r="C10" s="214" t="s">
        <v>817</v>
      </c>
      <c r="D10" s="218">
        <v>15</v>
      </c>
      <c r="E10" s="219">
        <v>9320</v>
      </c>
      <c r="F10" s="219">
        <v>10100</v>
      </c>
      <c r="G10" s="220" t="s">
        <v>850</v>
      </c>
      <c r="H10" s="220" t="s">
        <v>850</v>
      </c>
      <c r="I10" s="220" t="s">
        <v>850</v>
      </c>
      <c r="J10" s="221">
        <v>2</v>
      </c>
      <c r="K10" s="219">
        <v>1659</v>
      </c>
      <c r="L10" s="219">
        <v>1700</v>
      </c>
      <c r="M10" s="221">
        <v>11</v>
      </c>
      <c r="N10" s="219">
        <v>6322</v>
      </c>
      <c r="O10" s="219">
        <v>6645</v>
      </c>
      <c r="P10" s="220" t="s">
        <v>850</v>
      </c>
      <c r="Q10" s="220" t="s">
        <v>850</v>
      </c>
      <c r="R10" s="220" t="s">
        <v>850</v>
      </c>
      <c r="S10" s="221">
        <v>4</v>
      </c>
      <c r="T10" s="219">
        <v>2131</v>
      </c>
      <c r="U10" s="222">
        <v>2496</v>
      </c>
      <c r="V10" s="212" t="s">
        <v>1644</v>
      </c>
      <c r="W10" s="213" t="s">
        <v>1644</v>
      </c>
      <c r="X10" s="213" t="s">
        <v>1644</v>
      </c>
      <c r="Y10" s="213" t="s">
        <v>1644</v>
      </c>
      <c r="Z10" s="213" t="s">
        <v>1644</v>
      </c>
      <c r="AA10" s="213" t="s">
        <v>1644</v>
      </c>
      <c r="AB10" s="213" t="s">
        <v>1644</v>
      </c>
      <c r="AC10" s="213" t="s">
        <v>1644</v>
      </c>
      <c r="AD10" s="213" t="s">
        <v>1644</v>
      </c>
      <c r="AE10" s="213" t="s">
        <v>1644</v>
      </c>
      <c r="AF10" s="213" t="s">
        <v>1644</v>
      </c>
      <c r="AG10" s="214" t="s">
        <v>1644</v>
      </c>
      <c r="AH10" s="212" t="s">
        <v>1644</v>
      </c>
      <c r="AI10" s="213" t="s">
        <v>1644</v>
      </c>
      <c r="AJ10" s="213" t="s">
        <v>1644</v>
      </c>
      <c r="AK10" s="213" t="s">
        <v>1644</v>
      </c>
      <c r="AL10" s="213" t="s">
        <v>1644</v>
      </c>
      <c r="AM10" s="213" t="s">
        <v>1644</v>
      </c>
      <c r="AN10" s="213" t="s">
        <v>1644</v>
      </c>
      <c r="AO10" s="213" t="s">
        <v>1644</v>
      </c>
      <c r="AP10" s="213" t="s">
        <v>1644</v>
      </c>
      <c r="AQ10" s="213" t="s">
        <v>1644</v>
      </c>
      <c r="AR10" s="213" t="s">
        <v>1644</v>
      </c>
      <c r="AS10" s="214" t="s">
        <v>1644</v>
      </c>
    </row>
    <row r="11" spans="1:45" ht="15.75" thickBot="1" x14ac:dyDescent="0.3">
      <c r="A11" s="212" t="s">
        <v>883</v>
      </c>
      <c r="B11" s="48" t="s">
        <v>884</v>
      </c>
      <c r="C11" s="214" t="s">
        <v>817</v>
      </c>
      <c r="D11" s="218">
        <v>18</v>
      </c>
      <c r="E11" s="219">
        <v>14748</v>
      </c>
      <c r="F11" s="219">
        <v>14748</v>
      </c>
      <c r="G11" s="220" t="s">
        <v>850</v>
      </c>
      <c r="H11" s="220" t="s">
        <v>850</v>
      </c>
      <c r="I11" s="220" t="s">
        <v>850</v>
      </c>
      <c r="J11" s="220" t="s">
        <v>850</v>
      </c>
      <c r="K11" s="220" t="s">
        <v>850</v>
      </c>
      <c r="L11" s="220" t="s">
        <v>850</v>
      </c>
      <c r="M11" s="221">
        <v>13</v>
      </c>
      <c r="N11" s="219">
        <v>9686</v>
      </c>
      <c r="O11" s="219">
        <v>9686</v>
      </c>
      <c r="P11" s="220" t="s">
        <v>850</v>
      </c>
      <c r="Q11" s="220" t="s">
        <v>850</v>
      </c>
      <c r="R11" s="220" t="s">
        <v>850</v>
      </c>
      <c r="S11" s="220" t="s">
        <v>850</v>
      </c>
      <c r="T11" s="220" t="s">
        <v>850</v>
      </c>
      <c r="U11" s="224" t="s">
        <v>850</v>
      </c>
      <c r="V11" s="212" t="s">
        <v>1644</v>
      </c>
      <c r="W11" s="213" t="s">
        <v>1644</v>
      </c>
      <c r="X11" s="213" t="s">
        <v>1644</v>
      </c>
      <c r="Y11" s="213" t="s">
        <v>1644</v>
      </c>
      <c r="Z11" s="213" t="s">
        <v>1644</v>
      </c>
      <c r="AA11" s="213" t="s">
        <v>1644</v>
      </c>
      <c r="AB11" s="213" t="s">
        <v>1644</v>
      </c>
      <c r="AC11" s="213" t="s">
        <v>1644</v>
      </c>
      <c r="AD11" s="213" t="s">
        <v>1644</v>
      </c>
      <c r="AE11" s="213" t="s">
        <v>1644</v>
      </c>
      <c r="AF11" s="213" t="s">
        <v>1644</v>
      </c>
      <c r="AG11" s="214" t="s">
        <v>1644</v>
      </c>
      <c r="AH11" s="212" t="s">
        <v>1644</v>
      </c>
      <c r="AI11" s="213" t="s">
        <v>1644</v>
      </c>
      <c r="AJ11" s="213" t="s">
        <v>1644</v>
      </c>
      <c r="AK11" s="213" t="s">
        <v>1644</v>
      </c>
      <c r="AL11" s="213" t="s">
        <v>1644</v>
      </c>
      <c r="AM11" s="213" t="s">
        <v>1644</v>
      </c>
      <c r="AN11" s="213" t="s">
        <v>1643</v>
      </c>
      <c r="AO11" s="213" t="s">
        <v>1643</v>
      </c>
      <c r="AP11" s="213" t="s">
        <v>1644</v>
      </c>
      <c r="AQ11" s="213" t="s">
        <v>1644</v>
      </c>
      <c r="AR11" s="213" t="s">
        <v>1643</v>
      </c>
      <c r="AS11" s="214" t="s">
        <v>1644</v>
      </c>
    </row>
    <row r="12" spans="1:45" ht="15.75" thickBot="1" x14ac:dyDescent="0.3">
      <c r="A12" s="212" t="s">
        <v>915</v>
      </c>
      <c r="B12" s="48" t="s">
        <v>916</v>
      </c>
      <c r="C12" s="214" t="s">
        <v>817</v>
      </c>
      <c r="D12" s="225"/>
      <c r="E12" s="226"/>
      <c r="F12" s="226"/>
      <c r="G12" s="227"/>
      <c r="H12" s="226"/>
      <c r="I12" s="226"/>
      <c r="J12" s="227"/>
      <c r="K12" s="226"/>
      <c r="L12" s="226"/>
      <c r="M12" s="227"/>
      <c r="N12" s="226"/>
      <c r="O12" s="226"/>
      <c r="P12" s="227"/>
      <c r="Q12" s="226"/>
      <c r="R12" s="226"/>
      <c r="S12" s="221">
        <v>17</v>
      </c>
      <c r="T12" s="219">
        <v>7800</v>
      </c>
      <c r="U12" s="222">
        <v>11000</v>
      </c>
      <c r="V12" s="212" t="s">
        <v>1644</v>
      </c>
      <c r="W12" s="213" t="s">
        <v>1644</v>
      </c>
      <c r="X12" s="213" t="s">
        <v>1644</v>
      </c>
      <c r="Y12" s="213" t="s">
        <v>1644</v>
      </c>
      <c r="Z12" s="213" t="s">
        <v>1644</v>
      </c>
      <c r="AA12" s="213" t="s">
        <v>1644</v>
      </c>
      <c r="AB12" s="213" t="s">
        <v>1644</v>
      </c>
      <c r="AC12" s="213" t="s">
        <v>1644</v>
      </c>
      <c r="AD12" s="213" t="s">
        <v>1644</v>
      </c>
      <c r="AE12" s="213" t="s">
        <v>1644</v>
      </c>
      <c r="AF12" s="213" t="s">
        <v>1644</v>
      </c>
      <c r="AG12" s="214" t="s">
        <v>1644</v>
      </c>
      <c r="AH12" s="212" t="s">
        <v>1644</v>
      </c>
      <c r="AI12" s="213" t="s">
        <v>1644</v>
      </c>
      <c r="AJ12" s="213" t="s">
        <v>1644</v>
      </c>
      <c r="AK12" s="213" t="s">
        <v>1644</v>
      </c>
      <c r="AL12" s="213" t="s">
        <v>1644</v>
      </c>
      <c r="AM12" s="213" t="s">
        <v>1644</v>
      </c>
      <c r="AN12" s="213" t="s">
        <v>1644</v>
      </c>
      <c r="AO12" s="213" t="s">
        <v>1644</v>
      </c>
      <c r="AP12" s="213" t="s">
        <v>1644</v>
      </c>
      <c r="AQ12" s="213" t="s">
        <v>1644</v>
      </c>
      <c r="AR12" s="213" t="s">
        <v>1644</v>
      </c>
      <c r="AS12" s="214" t="s">
        <v>1644</v>
      </c>
    </row>
    <row r="13" spans="1:45" ht="15.75" thickBot="1" x14ac:dyDescent="0.3">
      <c r="A13" s="212" t="s">
        <v>929</v>
      </c>
      <c r="B13" s="48" t="s">
        <v>930</v>
      </c>
      <c r="C13" s="214" t="s">
        <v>817</v>
      </c>
      <c r="D13" s="223" t="s">
        <v>850</v>
      </c>
      <c r="E13" s="220" t="s">
        <v>850</v>
      </c>
      <c r="F13" s="220" t="s">
        <v>850</v>
      </c>
      <c r="G13" s="220" t="s">
        <v>850</v>
      </c>
      <c r="H13" s="220" t="s">
        <v>850</v>
      </c>
      <c r="I13" s="220" t="s">
        <v>850</v>
      </c>
      <c r="J13" s="220" t="s">
        <v>850</v>
      </c>
      <c r="K13" s="220" t="s">
        <v>850</v>
      </c>
      <c r="L13" s="220" t="s">
        <v>850</v>
      </c>
      <c r="M13" s="220" t="s">
        <v>850</v>
      </c>
      <c r="N13" s="220" t="s">
        <v>850</v>
      </c>
      <c r="O13" s="220" t="s">
        <v>850</v>
      </c>
      <c r="P13" s="220" t="s">
        <v>850</v>
      </c>
      <c r="Q13" s="220" t="s">
        <v>850</v>
      </c>
      <c r="R13" s="220" t="s">
        <v>850</v>
      </c>
      <c r="S13" s="221">
        <v>4</v>
      </c>
      <c r="T13" s="219">
        <v>1326</v>
      </c>
      <c r="U13" s="222">
        <v>1950</v>
      </c>
      <c r="V13" s="209" t="s">
        <v>1644</v>
      </c>
      <c r="W13" s="210" t="s">
        <v>1644</v>
      </c>
      <c r="X13" s="210" t="s">
        <v>1644</v>
      </c>
      <c r="Y13" s="210" t="s">
        <v>1644</v>
      </c>
      <c r="Z13" s="210" t="s">
        <v>1644</v>
      </c>
      <c r="AA13" s="210" t="s">
        <v>1644</v>
      </c>
      <c r="AB13" s="210" t="s">
        <v>1644</v>
      </c>
      <c r="AC13" s="210" t="s">
        <v>1644</v>
      </c>
      <c r="AD13" s="210" t="s">
        <v>1644</v>
      </c>
      <c r="AE13" s="210" t="s">
        <v>1644</v>
      </c>
      <c r="AF13" s="210" t="s">
        <v>1644</v>
      </c>
      <c r="AG13" s="211" t="s">
        <v>1644</v>
      </c>
      <c r="AH13" s="209" t="s">
        <v>1644</v>
      </c>
      <c r="AI13" s="210" t="s">
        <v>1644</v>
      </c>
      <c r="AJ13" s="210" t="s">
        <v>1644</v>
      </c>
      <c r="AK13" s="210" t="s">
        <v>1644</v>
      </c>
      <c r="AL13" s="210" t="s">
        <v>1644</v>
      </c>
      <c r="AM13" s="210" t="s">
        <v>1644</v>
      </c>
      <c r="AN13" s="210" t="s">
        <v>1644</v>
      </c>
      <c r="AO13" s="210" t="s">
        <v>1644</v>
      </c>
      <c r="AP13" s="210" t="s">
        <v>1644</v>
      </c>
      <c r="AQ13" s="210" t="s">
        <v>1644</v>
      </c>
      <c r="AR13" s="210" t="s">
        <v>1644</v>
      </c>
      <c r="AS13" s="211" t="s">
        <v>1644</v>
      </c>
    </row>
    <row r="14" spans="1:45" ht="15.75" thickBot="1" x14ac:dyDescent="0.3">
      <c r="A14" s="212" t="s">
        <v>939</v>
      </c>
      <c r="B14" s="48" t="s">
        <v>940</v>
      </c>
      <c r="C14" s="214" t="s">
        <v>817</v>
      </c>
      <c r="D14" s="218">
        <v>37</v>
      </c>
      <c r="E14" s="219">
        <v>24161</v>
      </c>
      <c r="F14" s="219">
        <v>27936</v>
      </c>
      <c r="G14" s="227"/>
      <c r="H14" s="226"/>
      <c r="I14" s="226"/>
      <c r="J14" s="227"/>
      <c r="K14" s="226"/>
      <c r="L14" s="226"/>
      <c r="M14" s="227"/>
      <c r="N14" s="226"/>
      <c r="O14" s="226"/>
      <c r="P14" s="227"/>
      <c r="Q14" s="226"/>
      <c r="R14" s="226"/>
      <c r="S14" s="221">
        <v>20</v>
      </c>
      <c r="T14" s="219">
        <v>9560</v>
      </c>
      <c r="U14" s="222">
        <v>10400</v>
      </c>
      <c r="V14" s="212" t="s">
        <v>1644</v>
      </c>
      <c r="W14" s="213" t="s">
        <v>1644</v>
      </c>
      <c r="X14" s="213" t="s">
        <v>1644</v>
      </c>
      <c r="Y14" s="213" t="s">
        <v>1644</v>
      </c>
      <c r="Z14" s="213" t="s">
        <v>1644</v>
      </c>
      <c r="AA14" s="213" t="s">
        <v>1643</v>
      </c>
      <c r="AB14" s="213" t="s">
        <v>1643</v>
      </c>
      <c r="AC14" s="213" t="s">
        <v>1643</v>
      </c>
      <c r="AD14" s="213" t="s">
        <v>1643</v>
      </c>
      <c r="AE14" s="213" t="s">
        <v>1643</v>
      </c>
      <c r="AF14" s="213" t="s">
        <v>1644</v>
      </c>
      <c r="AG14" s="214" t="s">
        <v>1643</v>
      </c>
      <c r="AH14" s="212" t="s">
        <v>1644</v>
      </c>
      <c r="AI14" s="213" t="s">
        <v>1644</v>
      </c>
      <c r="AJ14" s="213" t="s">
        <v>1644</v>
      </c>
      <c r="AK14" s="213" t="s">
        <v>1644</v>
      </c>
      <c r="AL14" s="213" t="s">
        <v>1644</v>
      </c>
      <c r="AM14" s="213" t="s">
        <v>1644</v>
      </c>
      <c r="AN14" s="213" t="s">
        <v>1644</v>
      </c>
      <c r="AO14" s="213" t="s">
        <v>1644</v>
      </c>
      <c r="AP14" s="213" t="s">
        <v>1644</v>
      </c>
      <c r="AQ14" s="213" t="s">
        <v>1644</v>
      </c>
      <c r="AR14" s="213" t="s">
        <v>1644</v>
      </c>
      <c r="AS14" s="214" t="s">
        <v>1644</v>
      </c>
    </row>
    <row r="15" spans="1:45" ht="15.75" thickBot="1" x14ac:dyDescent="0.3">
      <c r="A15" s="212" t="s">
        <v>947</v>
      </c>
      <c r="B15" s="48" t="s">
        <v>948</v>
      </c>
      <c r="C15" s="214" t="s">
        <v>817</v>
      </c>
      <c r="D15" s="223" t="s">
        <v>850</v>
      </c>
      <c r="E15" s="220" t="s">
        <v>850</v>
      </c>
      <c r="F15" s="220" t="s">
        <v>850</v>
      </c>
      <c r="G15" s="220" t="s">
        <v>850</v>
      </c>
      <c r="H15" s="220" t="s">
        <v>850</v>
      </c>
      <c r="I15" s="220" t="s">
        <v>850</v>
      </c>
      <c r="J15" s="220" t="s">
        <v>850</v>
      </c>
      <c r="K15" s="220" t="s">
        <v>850</v>
      </c>
      <c r="L15" s="220" t="s">
        <v>850</v>
      </c>
      <c r="M15" s="220" t="s">
        <v>850</v>
      </c>
      <c r="N15" s="220" t="s">
        <v>850</v>
      </c>
      <c r="O15" s="220" t="s">
        <v>850</v>
      </c>
      <c r="P15" s="220" t="s">
        <v>850</v>
      </c>
      <c r="Q15" s="220" t="s">
        <v>850</v>
      </c>
      <c r="R15" s="220" t="s">
        <v>850</v>
      </c>
      <c r="S15" s="220" t="s">
        <v>850</v>
      </c>
      <c r="T15" s="220" t="s">
        <v>850</v>
      </c>
      <c r="U15" s="224" t="s">
        <v>850</v>
      </c>
      <c r="V15" s="209" t="s">
        <v>1644</v>
      </c>
      <c r="W15" s="210" t="s">
        <v>1644</v>
      </c>
      <c r="X15" s="210" t="s">
        <v>1644</v>
      </c>
      <c r="Y15" s="210" t="s">
        <v>1644</v>
      </c>
      <c r="Z15" s="210" t="s">
        <v>1644</v>
      </c>
      <c r="AA15" s="210" t="s">
        <v>1644</v>
      </c>
      <c r="AB15" s="210" t="s">
        <v>1644</v>
      </c>
      <c r="AC15" s="210" t="s">
        <v>1644</v>
      </c>
      <c r="AD15" s="210" t="s">
        <v>1644</v>
      </c>
      <c r="AE15" s="210" t="s">
        <v>1644</v>
      </c>
      <c r="AF15" s="210" t="s">
        <v>1644</v>
      </c>
      <c r="AG15" s="211" t="s">
        <v>1644</v>
      </c>
      <c r="AH15" s="209" t="s">
        <v>1644</v>
      </c>
      <c r="AI15" s="210" t="s">
        <v>1644</v>
      </c>
      <c r="AJ15" s="210" t="s">
        <v>1644</v>
      </c>
      <c r="AK15" s="210" t="s">
        <v>1644</v>
      </c>
      <c r="AL15" s="210" t="s">
        <v>1644</v>
      </c>
      <c r="AM15" s="210" t="s">
        <v>1644</v>
      </c>
      <c r="AN15" s="210" t="s">
        <v>1644</v>
      </c>
      <c r="AO15" s="210" t="s">
        <v>1644</v>
      </c>
      <c r="AP15" s="210" t="s">
        <v>1644</v>
      </c>
      <c r="AQ15" s="210" t="s">
        <v>1644</v>
      </c>
      <c r="AR15" s="210" t="s">
        <v>1644</v>
      </c>
      <c r="AS15" s="211" t="s">
        <v>1644</v>
      </c>
    </row>
    <row r="16" spans="1:45" ht="15.75" thickBot="1" x14ac:dyDescent="0.3">
      <c r="A16" s="212" t="s">
        <v>959</v>
      </c>
      <c r="B16" s="48" t="s">
        <v>960</v>
      </c>
      <c r="C16" s="214" t="s">
        <v>817</v>
      </c>
      <c r="D16" s="225"/>
      <c r="E16" s="226"/>
      <c r="F16" s="226"/>
      <c r="G16" s="227"/>
      <c r="H16" s="226"/>
      <c r="I16" s="226"/>
      <c r="J16" s="227"/>
      <c r="K16" s="226"/>
      <c r="L16" s="226"/>
      <c r="M16" s="227"/>
      <c r="N16" s="226"/>
      <c r="O16" s="226"/>
      <c r="P16" s="227"/>
      <c r="Q16" s="226"/>
      <c r="R16" s="226"/>
      <c r="S16" s="221">
        <v>20</v>
      </c>
      <c r="T16" s="219">
        <v>8819</v>
      </c>
      <c r="U16" s="222">
        <v>15350</v>
      </c>
      <c r="V16" s="209" t="s">
        <v>1644</v>
      </c>
      <c r="W16" s="210" t="s">
        <v>1644</v>
      </c>
      <c r="X16" s="210" t="s">
        <v>1644</v>
      </c>
      <c r="Y16" s="210" t="s">
        <v>1644</v>
      </c>
      <c r="Z16" s="210" t="s">
        <v>1644</v>
      </c>
      <c r="AA16" s="210" t="s">
        <v>1644</v>
      </c>
      <c r="AB16" s="210" t="s">
        <v>1644</v>
      </c>
      <c r="AC16" s="210" t="s">
        <v>1644</v>
      </c>
      <c r="AD16" s="210" t="s">
        <v>1644</v>
      </c>
      <c r="AE16" s="210" t="s">
        <v>1644</v>
      </c>
      <c r="AF16" s="210" t="s">
        <v>1644</v>
      </c>
      <c r="AG16" s="211" t="s">
        <v>1644</v>
      </c>
      <c r="AH16" s="212" t="s">
        <v>1644</v>
      </c>
      <c r="AI16" s="213" t="s">
        <v>1644</v>
      </c>
      <c r="AJ16" s="213" t="s">
        <v>1644</v>
      </c>
      <c r="AK16" s="213" t="s">
        <v>1644</v>
      </c>
      <c r="AL16" s="213" t="s">
        <v>1644</v>
      </c>
      <c r="AM16" s="213" t="s">
        <v>1644</v>
      </c>
      <c r="AN16" s="213" t="s">
        <v>1643</v>
      </c>
      <c r="AO16" s="213" t="s">
        <v>1644</v>
      </c>
      <c r="AP16" s="213" t="s">
        <v>1644</v>
      </c>
      <c r="AQ16" s="213" t="s">
        <v>1644</v>
      </c>
      <c r="AR16" s="213" t="s">
        <v>1643</v>
      </c>
      <c r="AS16" s="214" t="s">
        <v>1644</v>
      </c>
    </row>
    <row r="17" spans="1:45" ht="15.75" thickBot="1" x14ac:dyDescent="0.3">
      <c r="A17" s="212" t="s">
        <v>967</v>
      </c>
      <c r="B17" s="48" t="s">
        <v>968</v>
      </c>
      <c r="C17" s="214" t="s">
        <v>817</v>
      </c>
      <c r="D17" s="218">
        <v>28</v>
      </c>
      <c r="E17" s="219">
        <v>12000</v>
      </c>
      <c r="F17" s="219">
        <v>15000</v>
      </c>
      <c r="G17" s="220" t="s">
        <v>850</v>
      </c>
      <c r="H17" s="220" t="s">
        <v>850</v>
      </c>
      <c r="I17" s="220" t="s">
        <v>850</v>
      </c>
      <c r="J17" s="220" t="s">
        <v>850</v>
      </c>
      <c r="K17" s="220" t="s">
        <v>850</v>
      </c>
      <c r="L17" s="220" t="s">
        <v>850</v>
      </c>
      <c r="M17" s="220" t="s">
        <v>850</v>
      </c>
      <c r="N17" s="220" t="s">
        <v>850</v>
      </c>
      <c r="O17" s="220" t="s">
        <v>850</v>
      </c>
      <c r="P17" s="220" t="s">
        <v>850</v>
      </c>
      <c r="Q17" s="220" t="s">
        <v>850</v>
      </c>
      <c r="R17" s="220" t="s">
        <v>850</v>
      </c>
      <c r="S17" s="221">
        <v>15</v>
      </c>
      <c r="T17" s="219">
        <v>5200</v>
      </c>
      <c r="U17" s="222">
        <v>15000</v>
      </c>
      <c r="V17" s="209" t="s">
        <v>1644</v>
      </c>
      <c r="W17" s="210" t="s">
        <v>1644</v>
      </c>
      <c r="X17" s="210" t="s">
        <v>1644</v>
      </c>
      <c r="Y17" s="210" t="s">
        <v>1644</v>
      </c>
      <c r="Z17" s="210" t="s">
        <v>1644</v>
      </c>
      <c r="AA17" s="210" t="s">
        <v>1644</v>
      </c>
      <c r="AB17" s="210" t="s">
        <v>1644</v>
      </c>
      <c r="AC17" s="210" t="s">
        <v>1644</v>
      </c>
      <c r="AD17" s="210" t="s">
        <v>1644</v>
      </c>
      <c r="AE17" s="210" t="s">
        <v>1644</v>
      </c>
      <c r="AF17" s="210" t="s">
        <v>1644</v>
      </c>
      <c r="AG17" s="211" t="s">
        <v>1644</v>
      </c>
      <c r="AH17" s="209" t="s">
        <v>1644</v>
      </c>
      <c r="AI17" s="210" t="s">
        <v>1644</v>
      </c>
      <c r="AJ17" s="210" t="s">
        <v>1644</v>
      </c>
      <c r="AK17" s="210" t="s">
        <v>1644</v>
      </c>
      <c r="AL17" s="210" t="s">
        <v>1644</v>
      </c>
      <c r="AM17" s="210" t="s">
        <v>1644</v>
      </c>
      <c r="AN17" s="210" t="s">
        <v>1644</v>
      </c>
      <c r="AO17" s="213" t="s">
        <v>1643</v>
      </c>
      <c r="AP17" s="210" t="s">
        <v>1644</v>
      </c>
      <c r="AQ17" s="210" t="s">
        <v>1644</v>
      </c>
      <c r="AR17" s="210" t="s">
        <v>1644</v>
      </c>
      <c r="AS17" s="211" t="s">
        <v>1644</v>
      </c>
    </row>
    <row r="18" spans="1:45" ht="15.75" thickBot="1" x14ac:dyDescent="0.3">
      <c r="A18" s="212" t="s">
        <v>969</v>
      </c>
      <c r="B18" s="48" t="s">
        <v>970</v>
      </c>
      <c r="C18" s="214" t="s">
        <v>817</v>
      </c>
      <c r="D18" s="223" t="s">
        <v>850</v>
      </c>
      <c r="E18" s="220" t="s">
        <v>850</v>
      </c>
      <c r="F18" s="220" t="s">
        <v>850</v>
      </c>
      <c r="G18" s="220" t="s">
        <v>850</v>
      </c>
      <c r="H18" s="220" t="s">
        <v>850</v>
      </c>
      <c r="I18" s="220" t="s">
        <v>850</v>
      </c>
      <c r="J18" s="221">
        <v>12</v>
      </c>
      <c r="K18" s="219">
        <v>8000</v>
      </c>
      <c r="L18" s="219">
        <v>16000</v>
      </c>
      <c r="M18" s="220" t="s">
        <v>850</v>
      </c>
      <c r="N18" s="220" t="s">
        <v>850</v>
      </c>
      <c r="O18" s="220" t="s">
        <v>850</v>
      </c>
      <c r="P18" s="220" t="s">
        <v>850</v>
      </c>
      <c r="Q18" s="220" t="s">
        <v>850</v>
      </c>
      <c r="R18" s="220" t="s">
        <v>850</v>
      </c>
      <c r="S18" s="221">
        <v>28</v>
      </c>
      <c r="T18" s="219">
        <v>7000</v>
      </c>
      <c r="U18" s="222">
        <v>15500</v>
      </c>
      <c r="V18" s="212" t="s">
        <v>1644</v>
      </c>
      <c r="W18" s="213" t="s">
        <v>1644</v>
      </c>
      <c r="X18" s="213" t="s">
        <v>1644</v>
      </c>
      <c r="Y18" s="213" t="s">
        <v>1644</v>
      </c>
      <c r="Z18" s="213" t="s">
        <v>1644</v>
      </c>
      <c r="AA18" s="213" t="s">
        <v>1644</v>
      </c>
      <c r="AB18" s="213" t="s">
        <v>1644</v>
      </c>
      <c r="AC18" s="213" t="s">
        <v>1644</v>
      </c>
      <c r="AD18" s="213" t="s">
        <v>1644</v>
      </c>
      <c r="AE18" s="213" t="s">
        <v>1644</v>
      </c>
      <c r="AF18" s="213" t="s">
        <v>1644</v>
      </c>
      <c r="AG18" s="214" t="s">
        <v>1644</v>
      </c>
      <c r="AH18" s="212" t="s">
        <v>1644</v>
      </c>
      <c r="AI18" s="213" t="s">
        <v>1644</v>
      </c>
      <c r="AJ18" s="213" t="s">
        <v>1644</v>
      </c>
      <c r="AK18" s="213" t="s">
        <v>1644</v>
      </c>
      <c r="AL18" s="213" t="s">
        <v>1644</v>
      </c>
      <c r="AM18" s="213" t="s">
        <v>1644</v>
      </c>
      <c r="AN18" s="213" t="s">
        <v>1644</v>
      </c>
      <c r="AO18" s="213" t="s">
        <v>1644</v>
      </c>
      <c r="AP18" s="213" t="s">
        <v>1644</v>
      </c>
      <c r="AQ18" s="213" t="s">
        <v>1644</v>
      </c>
      <c r="AR18" s="213" t="s">
        <v>1644</v>
      </c>
      <c r="AS18" s="214" t="s">
        <v>1644</v>
      </c>
    </row>
    <row r="19" spans="1:45" ht="15.75" thickBot="1" x14ac:dyDescent="0.3">
      <c r="A19" s="212" t="s">
        <v>985</v>
      </c>
      <c r="B19" s="48" t="s">
        <v>986</v>
      </c>
      <c r="C19" s="214" t="s">
        <v>817</v>
      </c>
      <c r="D19" s="223" t="s">
        <v>850</v>
      </c>
      <c r="E19" s="220" t="s">
        <v>850</v>
      </c>
      <c r="F19" s="220" t="s">
        <v>850</v>
      </c>
      <c r="G19" s="221">
        <v>25</v>
      </c>
      <c r="H19" s="219">
        <v>16000</v>
      </c>
      <c r="I19" s="219">
        <v>17000</v>
      </c>
      <c r="J19" s="220" t="s">
        <v>850</v>
      </c>
      <c r="K19" s="220" t="s">
        <v>850</v>
      </c>
      <c r="L19" s="220" t="s">
        <v>850</v>
      </c>
      <c r="M19" s="221">
        <v>25</v>
      </c>
      <c r="N19" s="219">
        <v>13000</v>
      </c>
      <c r="O19" s="219">
        <v>14000</v>
      </c>
      <c r="P19" s="220" t="s">
        <v>850</v>
      </c>
      <c r="Q19" s="220" t="s">
        <v>850</v>
      </c>
      <c r="R19" s="220" t="s">
        <v>850</v>
      </c>
      <c r="S19" s="220" t="s">
        <v>850</v>
      </c>
      <c r="T19" s="220" t="s">
        <v>850</v>
      </c>
      <c r="U19" s="224" t="s">
        <v>850</v>
      </c>
      <c r="V19" s="209" t="s">
        <v>1644</v>
      </c>
      <c r="W19" s="210" t="s">
        <v>1644</v>
      </c>
      <c r="X19" s="210" t="s">
        <v>1644</v>
      </c>
      <c r="Y19" s="210" t="s">
        <v>1644</v>
      </c>
      <c r="Z19" s="210" t="s">
        <v>1644</v>
      </c>
      <c r="AA19" s="210" t="s">
        <v>1644</v>
      </c>
      <c r="AB19" s="210" t="s">
        <v>1644</v>
      </c>
      <c r="AC19" s="210" t="s">
        <v>1644</v>
      </c>
      <c r="AD19" s="210" t="s">
        <v>1644</v>
      </c>
      <c r="AE19" s="210" t="s">
        <v>1644</v>
      </c>
      <c r="AF19" s="210" t="s">
        <v>1644</v>
      </c>
      <c r="AG19" s="211" t="s">
        <v>1644</v>
      </c>
      <c r="AH19" s="212" t="s">
        <v>1644</v>
      </c>
      <c r="AI19" s="213" t="s">
        <v>1644</v>
      </c>
      <c r="AJ19" s="213" t="s">
        <v>1644</v>
      </c>
      <c r="AK19" s="213" t="s">
        <v>1644</v>
      </c>
      <c r="AL19" s="213" t="s">
        <v>1644</v>
      </c>
      <c r="AM19" s="213" t="s">
        <v>1644</v>
      </c>
      <c r="AN19" s="213" t="s">
        <v>1644</v>
      </c>
      <c r="AO19" s="213" t="s">
        <v>1644</v>
      </c>
      <c r="AP19" s="213" t="s">
        <v>1644</v>
      </c>
      <c r="AQ19" s="213" t="s">
        <v>1644</v>
      </c>
      <c r="AR19" s="213" t="s">
        <v>1643</v>
      </c>
      <c r="AS19" s="214" t="s">
        <v>1644</v>
      </c>
    </row>
    <row r="20" spans="1:45" ht="15.75" thickBot="1" x14ac:dyDescent="0.3">
      <c r="A20" s="212" t="s">
        <v>987</v>
      </c>
      <c r="B20" s="48" t="s">
        <v>988</v>
      </c>
      <c r="C20" s="214" t="s">
        <v>817</v>
      </c>
      <c r="D20" s="225"/>
      <c r="E20" s="226"/>
      <c r="F20" s="226"/>
      <c r="G20" s="227"/>
      <c r="H20" s="226"/>
      <c r="I20" s="226"/>
      <c r="J20" s="227"/>
      <c r="K20" s="226"/>
      <c r="L20" s="226"/>
      <c r="M20" s="227"/>
      <c r="N20" s="226"/>
      <c r="O20" s="226"/>
      <c r="P20" s="227"/>
      <c r="Q20" s="226"/>
      <c r="R20" s="226"/>
      <c r="S20" s="221">
        <v>16</v>
      </c>
      <c r="T20" s="219">
        <v>8112</v>
      </c>
      <c r="U20" s="222">
        <v>12168</v>
      </c>
      <c r="V20" s="212" t="s">
        <v>1644</v>
      </c>
      <c r="W20" s="213" t="s">
        <v>1644</v>
      </c>
      <c r="X20" s="213" t="s">
        <v>1644</v>
      </c>
      <c r="Y20" s="213" t="s">
        <v>1644</v>
      </c>
      <c r="Z20" s="213" t="s">
        <v>1644</v>
      </c>
      <c r="AA20" s="213" t="s">
        <v>1644</v>
      </c>
      <c r="AB20" s="213" t="s">
        <v>1643</v>
      </c>
      <c r="AC20" s="213" t="s">
        <v>1643</v>
      </c>
      <c r="AD20" s="213" t="s">
        <v>1644</v>
      </c>
      <c r="AE20" s="213" t="s">
        <v>1644</v>
      </c>
      <c r="AF20" s="213" t="s">
        <v>1644</v>
      </c>
      <c r="AG20" s="214" t="s">
        <v>1644</v>
      </c>
      <c r="AH20" s="212" t="s">
        <v>1644</v>
      </c>
      <c r="AI20" s="213" t="s">
        <v>1644</v>
      </c>
      <c r="AJ20" s="213" t="s">
        <v>1644</v>
      </c>
      <c r="AK20" s="213" t="s">
        <v>1644</v>
      </c>
      <c r="AL20" s="213" t="s">
        <v>1644</v>
      </c>
      <c r="AM20" s="213" t="s">
        <v>1644</v>
      </c>
      <c r="AN20" s="213" t="s">
        <v>1643</v>
      </c>
      <c r="AO20" s="213" t="s">
        <v>1643</v>
      </c>
      <c r="AP20" s="213" t="s">
        <v>1644</v>
      </c>
      <c r="AQ20" s="213" t="s">
        <v>1644</v>
      </c>
      <c r="AR20" s="213" t="s">
        <v>1644</v>
      </c>
      <c r="AS20" s="214" t="s">
        <v>1644</v>
      </c>
    </row>
    <row r="21" spans="1:45" ht="15.75" thickBot="1" x14ac:dyDescent="0.3">
      <c r="A21" s="212" t="s">
        <v>989</v>
      </c>
      <c r="B21" s="48" t="s">
        <v>990</v>
      </c>
      <c r="C21" s="214" t="s">
        <v>817</v>
      </c>
      <c r="D21" s="218">
        <v>39</v>
      </c>
      <c r="E21" s="219">
        <v>29913</v>
      </c>
      <c r="F21" s="219">
        <v>30680</v>
      </c>
      <c r="G21" s="221">
        <v>13</v>
      </c>
      <c r="H21" s="219">
        <v>7436</v>
      </c>
      <c r="I21" s="219">
        <v>9750</v>
      </c>
      <c r="J21" s="227"/>
      <c r="K21" s="226"/>
      <c r="L21" s="226"/>
      <c r="M21" s="227"/>
      <c r="N21" s="226"/>
      <c r="O21" s="226"/>
      <c r="P21" s="227"/>
      <c r="Q21" s="226"/>
      <c r="R21" s="226"/>
      <c r="S21" s="221">
        <v>54</v>
      </c>
      <c r="T21" s="219">
        <v>25974</v>
      </c>
      <c r="U21" s="222">
        <v>41418</v>
      </c>
      <c r="V21" s="212" t="s">
        <v>1644</v>
      </c>
      <c r="W21" s="213" t="s">
        <v>1644</v>
      </c>
      <c r="X21" s="213" t="s">
        <v>1644</v>
      </c>
      <c r="Y21" s="213" t="s">
        <v>1644</v>
      </c>
      <c r="Z21" s="213" t="s">
        <v>1644</v>
      </c>
      <c r="AA21" s="213" t="s">
        <v>1644</v>
      </c>
      <c r="AB21" s="213" t="s">
        <v>1643</v>
      </c>
      <c r="AC21" s="213" t="s">
        <v>1643</v>
      </c>
      <c r="AD21" s="213" t="s">
        <v>1644</v>
      </c>
      <c r="AE21" s="213" t="s">
        <v>1644</v>
      </c>
      <c r="AF21" s="213" t="s">
        <v>1644</v>
      </c>
      <c r="AG21" s="214" t="s">
        <v>1643</v>
      </c>
      <c r="AH21" s="212" t="s">
        <v>1644</v>
      </c>
      <c r="AI21" s="213" t="s">
        <v>1644</v>
      </c>
      <c r="AJ21" s="213" t="s">
        <v>1644</v>
      </c>
      <c r="AK21" s="213" t="s">
        <v>1644</v>
      </c>
      <c r="AL21" s="213" t="s">
        <v>1644</v>
      </c>
      <c r="AM21" s="213" t="s">
        <v>1644</v>
      </c>
      <c r="AN21" s="213" t="s">
        <v>1643</v>
      </c>
      <c r="AO21" s="213" t="s">
        <v>1643</v>
      </c>
      <c r="AP21" s="213" t="s">
        <v>1644</v>
      </c>
      <c r="AQ21" s="213" t="s">
        <v>1644</v>
      </c>
      <c r="AR21" s="213" t="s">
        <v>1644</v>
      </c>
      <c r="AS21" s="214" t="s">
        <v>1643</v>
      </c>
    </row>
    <row r="22" spans="1:45" ht="15.75" thickBot="1" x14ac:dyDescent="0.3">
      <c r="A22" s="212" t="s">
        <v>991</v>
      </c>
      <c r="B22" s="48" t="s">
        <v>992</v>
      </c>
      <c r="C22" s="214" t="s">
        <v>817</v>
      </c>
      <c r="D22" s="225"/>
      <c r="E22" s="226"/>
      <c r="F22" s="226"/>
      <c r="G22" s="227"/>
      <c r="H22" s="226"/>
      <c r="I22" s="226"/>
      <c r="J22" s="227"/>
      <c r="K22" s="226"/>
      <c r="L22" s="226"/>
      <c r="M22" s="227"/>
      <c r="N22" s="226"/>
      <c r="O22" s="226"/>
      <c r="P22" s="227"/>
      <c r="Q22" s="226"/>
      <c r="R22" s="226"/>
      <c r="S22" s="221">
        <v>23</v>
      </c>
      <c r="T22" s="219">
        <v>10083</v>
      </c>
      <c r="U22" s="222">
        <v>10999</v>
      </c>
      <c r="V22" s="209" t="s">
        <v>1644</v>
      </c>
      <c r="W22" s="210" t="s">
        <v>1644</v>
      </c>
      <c r="X22" s="210" t="s">
        <v>1644</v>
      </c>
      <c r="Y22" s="210" t="s">
        <v>1644</v>
      </c>
      <c r="Z22" s="210" t="s">
        <v>1644</v>
      </c>
      <c r="AA22" s="210" t="s">
        <v>1644</v>
      </c>
      <c r="AB22" s="210" t="s">
        <v>1644</v>
      </c>
      <c r="AC22" s="210" t="s">
        <v>1644</v>
      </c>
      <c r="AD22" s="210" t="s">
        <v>1644</v>
      </c>
      <c r="AE22" s="210" t="s">
        <v>1644</v>
      </c>
      <c r="AF22" s="210" t="s">
        <v>1644</v>
      </c>
      <c r="AG22" s="211" t="s">
        <v>1644</v>
      </c>
      <c r="AH22" s="212" t="s">
        <v>1644</v>
      </c>
      <c r="AI22" s="213" t="s">
        <v>1644</v>
      </c>
      <c r="AJ22" s="213" t="s">
        <v>1644</v>
      </c>
      <c r="AK22" s="213" t="s">
        <v>1644</v>
      </c>
      <c r="AL22" s="213" t="s">
        <v>1644</v>
      </c>
      <c r="AM22" s="213" t="s">
        <v>1644</v>
      </c>
      <c r="AN22" s="213" t="s">
        <v>1644</v>
      </c>
      <c r="AO22" s="213" t="s">
        <v>1644</v>
      </c>
      <c r="AP22" s="213" t="s">
        <v>1644</v>
      </c>
      <c r="AQ22" s="213" t="s">
        <v>1644</v>
      </c>
      <c r="AR22" s="213" t="s">
        <v>1644</v>
      </c>
      <c r="AS22" s="214" t="s">
        <v>1644</v>
      </c>
    </row>
    <row r="23" spans="1:45" ht="15.75" thickBot="1" x14ac:dyDescent="0.3">
      <c r="A23" s="212" t="s">
        <v>993</v>
      </c>
      <c r="B23" s="48" t="s">
        <v>994</v>
      </c>
      <c r="C23" s="214" t="s">
        <v>817</v>
      </c>
      <c r="D23" s="223" t="s">
        <v>850</v>
      </c>
      <c r="E23" s="220" t="s">
        <v>850</v>
      </c>
      <c r="F23" s="220" t="s">
        <v>850</v>
      </c>
      <c r="G23" s="220" t="s">
        <v>850</v>
      </c>
      <c r="H23" s="220" t="s">
        <v>850</v>
      </c>
      <c r="I23" s="220" t="s">
        <v>850</v>
      </c>
      <c r="J23" s="221">
        <v>7</v>
      </c>
      <c r="K23" s="219">
        <v>5000</v>
      </c>
      <c r="L23" s="219">
        <v>8000</v>
      </c>
      <c r="M23" s="221">
        <v>11</v>
      </c>
      <c r="N23" s="219">
        <v>6000</v>
      </c>
      <c r="O23" s="219">
        <v>7000</v>
      </c>
      <c r="P23" s="220" t="s">
        <v>850</v>
      </c>
      <c r="Q23" s="220" t="s">
        <v>850</v>
      </c>
      <c r="R23" s="220" t="s">
        <v>850</v>
      </c>
      <c r="S23" s="220" t="s">
        <v>850</v>
      </c>
      <c r="T23" s="220" t="s">
        <v>850</v>
      </c>
      <c r="U23" s="224" t="s">
        <v>850</v>
      </c>
      <c r="V23" s="212" t="s">
        <v>1644</v>
      </c>
      <c r="W23" s="213" t="s">
        <v>1644</v>
      </c>
      <c r="X23" s="213" t="s">
        <v>1644</v>
      </c>
      <c r="Y23" s="213" t="s">
        <v>1644</v>
      </c>
      <c r="Z23" s="213" t="s">
        <v>1644</v>
      </c>
      <c r="AA23" s="213" t="s">
        <v>1644</v>
      </c>
      <c r="AB23" s="213" t="s">
        <v>1644</v>
      </c>
      <c r="AC23" s="213" t="s">
        <v>1644</v>
      </c>
      <c r="AD23" s="213" t="s">
        <v>1644</v>
      </c>
      <c r="AE23" s="213" t="s">
        <v>1644</v>
      </c>
      <c r="AF23" s="213" t="s">
        <v>1644</v>
      </c>
      <c r="AG23" s="214" t="s">
        <v>1644</v>
      </c>
      <c r="AH23" s="212" t="s">
        <v>1644</v>
      </c>
      <c r="AI23" s="213" t="s">
        <v>1644</v>
      </c>
      <c r="AJ23" s="213" t="s">
        <v>1644</v>
      </c>
      <c r="AK23" s="213" t="s">
        <v>1644</v>
      </c>
      <c r="AL23" s="213" t="s">
        <v>1644</v>
      </c>
      <c r="AM23" s="213" t="s">
        <v>1644</v>
      </c>
      <c r="AN23" s="213" t="s">
        <v>1644</v>
      </c>
      <c r="AO23" s="213" t="s">
        <v>1644</v>
      </c>
      <c r="AP23" s="213" t="s">
        <v>1644</v>
      </c>
      <c r="AQ23" s="213" t="s">
        <v>1644</v>
      </c>
      <c r="AR23" s="213" t="s">
        <v>1644</v>
      </c>
      <c r="AS23" s="214" t="s">
        <v>1644</v>
      </c>
    </row>
    <row r="24" spans="1:45" ht="15.75" thickBot="1" x14ac:dyDescent="0.3">
      <c r="A24" s="212" t="s">
        <v>1039</v>
      </c>
      <c r="B24" s="48" t="s">
        <v>1040</v>
      </c>
      <c r="C24" s="214" t="s">
        <v>817</v>
      </c>
      <c r="D24" s="225"/>
      <c r="E24" s="226"/>
      <c r="F24" s="226"/>
      <c r="G24" s="227"/>
      <c r="H24" s="226"/>
      <c r="I24" s="226"/>
      <c r="J24" s="227"/>
      <c r="K24" s="226"/>
      <c r="L24" s="226"/>
      <c r="M24" s="227"/>
      <c r="N24" s="226"/>
      <c r="O24" s="226"/>
      <c r="P24" s="227"/>
      <c r="Q24" s="226"/>
      <c r="R24" s="226"/>
      <c r="S24" s="227"/>
      <c r="T24" s="226"/>
      <c r="U24" s="228"/>
      <c r="V24" s="212" t="s">
        <v>1644</v>
      </c>
      <c r="W24" s="213" t="s">
        <v>1644</v>
      </c>
      <c r="X24" s="213" t="s">
        <v>1644</v>
      </c>
      <c r="Y24" s="213" t="s">
        <v>1644</v>
      </c>
      <c r="Z24" s="213" t="s">
        <v>1644</v>
      </c>
      <c r="AA24" s="213" t="s">
        <v>1644</v>
      </c>
      <c r="AB24" s="213" t="s">
        <v>1643</v>
      </c>
      <c r="AC24" s="213" t="s">
        <v>1643</v>
      </c>
      <c r="AD24" s="213" t="s">
        <v>1644</v>
      </c>
      <c r="AE24" s="213" t="s">
        <v>1644</v>
      </c>
      <c r="AF24" s="213" t="s">
        <v>1644</v>
      </c>
      <c r="AG24" s="214" t="s">
        <v>1644</v>
      </c>
      <c r="AH24" s="212" t="s">
        <v>1644</v>
      </c>
      <c r="AI24" s="213" t="s">
        <v>1644</v>
      </c>
      <c r="AJ24" s="213" t="s">
        <v>1644</v>
      </c>
      <c r="AK24" s="213" t="s">
        <v>1644</v>
      </c>
      <c r="AL24" s="213" t="s">
        <v>1644</v>
      </c>
      <c r="AM24" s="213" t="s">
        <v>1644</v>
      </c>
      <c r="AN24" s="213" t="s">
        <v>1644</v>
      </c>
      <c r="AO24" s="213" t="s">
        <v>1644</v>
      </c>
      <c r="AP24" s="213" t="s">
        <v>1644</v>
      </c>
      <c r="AQ24" s="213" t="s">
        <v>1644</v>
      </c>
      <c r="AR24" s="213" t="s">
        <v>1644</v>
      </c>
      <c r="AS24" s="214" t="s">
        <v>1644</v>
      </c>
    </row>
    <row r="25" spans="1:45" ht="15.75" thickBot="1" x14ac:dyDescent="0.3">
      <c r="A25" s="212" t="s">
        <v>1041</v>
      </c>
      <c r="B25" s="48" t="s">
        <v>1042</v>
      </c>
      <c r="C25" s="214" t="s">
        <v>817</v>
      </c>
      <c r="D25" s="223" t="s">
        <v>850</v>
      </c>
      <c r="E25" s="220" t="s">
        <v>850</v>
      </c>
      <c r="F25" s="220" t="s">
        <v>850</v>
      </c>
      <c r="G25" s="220" t="s">
        <v>850</v>
      </c>
      <c r="H25" s="220" t="s">
        <v>850</v>
      </c>
      <c r="I25" s="220" t="s">
        <v>850</v>
      </c>
      <c r="J25" s="221">
        <v>12</v>
      </c>
      <c r="K25" s="219">
        <v>6000</v>
      </c>
      <c r="L25" s="219">
        <v>8000</v>
      </c>
      <c r="M25" s="221">
        <v>10</v>
      </c>
      <c r="N25" s="219">
        <v>4915</v>
      </c>
      <c r="O25" s="219">
        <v>7000</v>
      </c>
      <c r="P25" s="221">
        <v>6</v>
      </c>
      <c r="Q25" s="219">
        <v>2950</v>
      </c>
      <c r="R25" s="219">
        <v>4500</v>
      </c>
      <c r="S25" s="221">
        <v>22</v>
      </c>
      <c r="T25" s="219">
        <v>10926</v>
      </c>
      <c r="U25" s="222">
        <v>16500</v>
      </c>
      <c r="V25" s="209" t="s">
        <v>1644</v>
      </c>
      <c r="W25" s="210" t="s">
        <v>1644</v>
      </c>
      <c r="X25" s="210" t="s">
        <v>1644</v>
      </c>
      <c r="Y25" s="210" t="s">
        <v>1644</v>
      </c>
      <c r="Z25" s="210" t="s">
        <v>1644</v>
      </c>
      <c r="AA25" s="210" t="s">
        <v>1644</v>
      </c>
      <c r="AB25" s="210" t="s">
        <v>1644</v>
      </c>
      <c r="AC25" s="210" t="s">
        <v>1644</v>
      </c>
      <c r="AD25" s="210" t="s">
        <v>1644</v>
      </c>
      <c r="AE25" s="210" t="s">
        <v>1644</v>
      </c>
      <c r="AF25" s="210" t="s">
        <v>1644</v>
      </c>
      <c r="AG25" s="211" t="s">
        <v>1644</v>
      </c>
      <c r="AH25" s="212" t="s">
        <v>1644</v>
      </c>
      <c r="AI25" s="213" t="s">
        <v>1644</v>
      </c>
      <c r="AJ25" s="213" t="s">
        <v>1644</v>
      </c>
      <c r="AK25" s="213" t="s">
        <v>1644</v>
      </c>
      <c r="AL25" s="213" t="s">
        <v>1644</v>
      </c>
      <c r="AM25" s="213" t="s">
        <v>1644</v>
      </c>
      <c r="AN25" s="213" t="s">
        <v>1644</v>
      </c>
      <c r="AO25" s="213" t="s">
        <v>1643</v>
      </c>
      <c r="AP25" s="213" t="s">
        <v>1644</v>
      </c>
      <c r="AQ25" s="213" t="s">
        <v>1643</v>
      </c>
      <c r="AR25" s="213" t="s">
        <v>1644</v>
      </c>
      <c r="AS25" s="214" t="s">
        <v>1644</v>
      </c>
    </row>
    <row r="26" spans="1:45" ht="15.75" thickBot="1" x14ac:dyDescent="0.3">
      <c r="A26" s="212" t="s">
        <v>1049</v>
      </c>
      <c r="B26" s="48" t="s">
        <v>1050</v>
      </c>
      <c r="C26" s="214" t="s">
        <v>817</v>
      </c>
      <c r="D26" s="218">
        <v>30</v>
      </c>
      <c r="E26" s="219">
        <v>28440</v>
      </c>
      <c r="F26" s="219">
        <v>28440</v>
      </c>
      <c r="G26" s="227"/>
      <c r="H26" s="226"/>
      <c r="I26" s="226"/>
      <c r="J26" s="221">
        <v>8</v>
      </c>
      <c r="K26" s="219">
        <v>4704</v>
      </c>
      <c r="L26" s="219">
        <v>4704</v>
      </c>
      <c r="M26" s="221">
        <v>23</v>
      </c>
      <c r="N26" s="219">
        <v>13524</v>
      </c>
      <c r="O26" s="219">
        <v>13524</v>
      </c>
      <c r="P26" s="227"/>
      <c r="Q26" s="226"/>
      <c r="R26" s="226"/>
      <c r="S26" s="221">
        <v>21</v>
      </c>
      <c r="T26" s="219">
        <v>9727</v>
      </c>
      <c r="U26" s="222">
        <v>9727</v>
      </c>
      <c r="V26" s="212" t="s">
        <v>1643</v>
      </c>
      <c r="W26" s="213" t="s">
        <v>1644</v>
      </c>
      <c r="X26" s="213" t="s">
        <v>1644</v>
      </c>
      <c r="Y26" s="213" t="s">
        <v>1644</v>
      </c>
      <c r="Z26" s="213" t="s">
        <v>1644</v>
      </c>
      <c r="AA26" s="213" t="s">
        <v>1643</v>
      </c>
      <c r="AB26" s="213" t="s">
        <v>1643</v>
      </c>
      <c r="AC26" s="213" t="s">
        <v>1643</v>
      </c>
      <c r="AD26" s="213" t="s">
        <v>1644</v>
      </c>
      <c r="AE26" s="213" t="s">
        <v>1644</v>
      </c>
      <c r="AF26" s="213" t="s">
        <v>1643</v>
      </c>
      <c r="AG26" s="214" t="s">
        <v>1644</v>
      </c>
      <c r="AH26" s="212" t="s">
        <v>1643</v>
      </c>
      <c r="AI26" s="213" t="s">
        <v>1644</v>
      </c>
      <c r="AJ26" s="213" t="s">
        <v>1644</v>
      </c>
      <c r="AK26" s="213" t="s">
        <v>1644</v>
      </c>
      <c r="AL26" s="213" t="s">
        <v>1644</v>
      </c>
      <c r="AM26" s="213" t="s">
        <v>1644</v>
      </c>
      <c r="AN26" s="213" t="s">
        <v>1644</v>
      </c>
      <c r="AO26" s="213" t="s">
        <v>1643</v>
      </c>
      <c r="AP26" s="213" t="s">
        <v>1644</v>
      </c>
      <c r="AQ26" s="213" t="s">
        <v>1644</v>
      </c>
      <c r="AR26" s="213" t="s">
        <v>1644</v>
      </c>
      <c r="AS26" s="214" t="s">
        <v>1644</v>
      </c>
    </row>
    <row r="27" spans="1:45" ht="15.75" thickBot="1" x14ac:dyDescent="0.3">
      <c r="A27" s="212" t="s">
        <v>1057</v>
      </c>
      <c r="B27" s="48" t="s">
        <v>1058</v>
      </c>
      <c r="C27" s="214" t="s">
        <v>817</v>
      </c>
      <c r="D27" s="223" t="s">
        <v>850</v>
      </c>
      <c r="E27" s="220" t="s">
        <v>850</v>
      </c>
      <c r="F27" s="220" t="s">
        <v>850</v>
      </c>
      <c r="G27" s="220" t="s">
        <v>850</v>
      </c>
      <c r="H27" s="220" t="s">
        <v>850</v>
      </c>
      <c r="I27" s="220" t="s">
        <v>850</v>
      </c>
      <c r="J27" s="221">
        <v>15</v>
      </c>
      <c r="K27" s="219">
        <v>2000</v>
      </c>
      <c r="L27" s="219">
        <v>8398</v>
      </c>
      <c r="M27" s="227"/>
      <c r="N27" s="226"/>
      <c r="O27" s="226"/>
      <c r="P27" s="220" t="s">
        <v>850</v>
      </c>
      <c r="Q27" s="220" t="s">
        <v>850</v>
      </c>
      <c r="R27" s="220" t="s">
        <v>850</v>
      </c>
      <c r="S27" s="221">
        <v>11</v>
      </c>
      <c r="T27" s="219">
        <v>2000</v>
      </c>
      <c r="U27" s="222">
        <v>9500</v>
      </c>
      <c r="V27" s="212" t="s">
        <v>1644</v>
      </c>
      <c r="W27" s="213" t="s">
        <v>1644</v>
      </c>
      <c r="X27" s="213" t="s">
        <v>1644</v>
      </c>
      <c r="Y27" s="213" t="s">
        <v>1644</v>
      </c>
      <c r="Z27" s="213" t="s">
        <v>1644</v>
      </c>
      <c r="AA27" s="213" t="s">
        <v>1644</v>
      </c>
      <c r="AB27" s="213" t="s">
        <v>1644</v>
      </c>
      <c r="AC27" s="213" t="s">
        <v>1644</v>
      </c>
      <c r="AD27" s="213" t="s">
        <v>1643</v>
      </c>
      <c r="AE27" s="213" t="s">
        <v>1644</v>
      </c>
      <c r="AF27" s="213" t="s">
        <v>1644</v>
      </c>
      <c r="AG27" s="214" t="s">
        <v>1644</v>
      </c>
      <c r="AH27" s="212" t="s">
        <v>1644</v>
      </c>
      <c r="AI27" s="213" t="s">
        <v>1644</v>
      </c>
      <c r="AJ27" s="213" t="s">
        <v>1644</v>
      </c>
      <c r="AK27" s="213" t="s">
        <v>1644</v>
      </c>
      <c r="AL27" s="213" t="s">
        <v>1644</v>
      </c>
      <c r="AM27" s="213" t="s">
        <v>1644</v>
      </c>
      <c r="AN27" s="213" t="s">
        <v>1644</v>
      </c>
      <c r="AO27" s="213" t="s">
        <v>1644</v>
      </c>
      <c r="AP27" s="213" t="s">
        <v>1644</v>
      </c>
      <c r="AQ27" s="213" t="s">
        <v>1644</v>
      </c>
      <c r="AR27" s="213" t="s">
        <v>1644</v>
      </c>
      <c r="AS27" s="214" t="s">
        <v>1644</v>
      </c>
    </row>
    <row r="28" spans="1:45" ht="15.75" thickBot="1" x14ac:dyDescent="0.3">
      <c r="A28" s="212" t="s">
        <v>1071</v>
      </c>
      <c r="B28" s="48" t="s">
        <v>1072</v>
      </c>
      <c r="C28" s="214" t="s">
        <v>817</v>
      </c>
      <c r="D28" s="223" t="s">
        <v>850</v>
      </c>
      <c r="E28" s="220" t="s">
        <v>850</v>
      </c>
      <c r="F28" s="220" t="s">
        <v>850</v>
      </c>
      <c r="G28" s="220" t="s">
        <v>850</v>
      </c>
      <c r="H28" s="220" t="s">
        <v>850</v>
      </c>
      <c r="I28" s="220" t="s">
        <v>850</v>
      </c>
      <c r="J28" s="220" t="s">
        <v>850</v>
      </c>
      <c r="K28" s="220" t="s">
        <v>850</v>
      </c>
      <c r="L28" s="220" t="s">
        <v>850</v>
      </c>
      <c r="M28" s="220" t="s">
        <v>850</v>
      </c>
      <c r="N28" s="220" t="s">
        <v>850</v>
      </c>
      <c r="O28" s="220" t="s">
        <v>850</v>
      </c>
      <c r="P28" s="220" t="s">
        <v>850</v>
      </c>
      <c r="Q28" s="220" t="s">
        <v>850</v>
      </c>
      <c r="R28" s="220" t="s">
        <v>850</v>
      </c>
      <c r="S28" s="220" t="s">
        <v>850</v>
      </c>
      <c r="T28" s="220" t="s">
        <v>850</v>
      </c>
      <c r="U28" s="224" t="s">
        <v>850</v>
      </c>
      <c r="V28" s="209" t="s">
        <v>1644</v>
      </c>
      <c r="W28" s="210" t="s">
        <v>1644</v>
      </c>
      <c r="X28" s="210" t="s">
        <v>1644</v>
      </c>
      <c r="Y28" s="210" t="s">
        <v>1644</v>
      </c>
      <c r="Z28" s="210" t="s">
        <v>1644</v>
      </c>
      <c r="AA28" s="210" t="s">
        <v>1644</v>
      </c>
      <c r="AB28" s="210" t="s">
        <v>1644</v>
      </c>
      <c r="AC28" s="210" t="s">
        <v>1644</v>
      </c>
      <c r="AD28" s="210" t="s">
        <v>1644</v>
      </c>
      <c r="AE28" s="210" t="s">
        <v>1644</v>
      </c>
      <c r="AF28" s="210" t="s">
        <v>1644</v>
      </c>
      <c r="AG28" s="211" t="s">
        <v>1644</v>
      </c>
      <c r="AH28" s="209" t="s">
        <v>1644</v>
      </c>
      <c r="AI28" s="210" t="s">
        <v>1644</v>
      </c>
      <c r="AJ28" s="210" t="s">
        <v>1644</v>
      </c>
      <c r="AK28" s="210" t="s">
        <v>1644</v>
      </c>
      <c r="AL28" s="210" t="s">
        <v>1644</v>
      </c>
      <c r="AM28" s="210" t="s">
        <v>1644</v>
      </c>
      <c r="AN28" s="210" t="s">
        <v>1644</v>
      </c>
      <c r="AO28" s="210" t="s">
        <v>1644</v>
      </c>
      <c r="AP28" s="210" t="s">
        <v>1644</v>
      </c>
      <c r="AQ28" s="210" t="s">
        <v>1644</v>
      </c>
      <c r="AR28" s="210" t="s">
        <v>1644</v>
      </c>
      <c r="AS28" s="211" t="s">
        <v>1644</v>
      </c>
    </row>
    <row r="29" spans="1:45" ht="15.75" thickBot="1" x14ac:dyDescent="0.3">
      <c r="A29" s="212" t="s">
        <v>1083</v>
      </c>
      <c r="B29" s="48" t="s">
        <v>1084</v>
      </c>
      <c r="C29" s="214" t="s">
        <v>817</v>
      </c>
      <c r="D29" s="225"/>
      <c r="E29" s="226"/>
      <c r="F29" s="226"/>
      <c r="G29" s="227"/>
      <c r="H29" s="226"/>
      <c r="I29" s="226"/>
      <c r="J29" s="227"/>
      <c r="K29" s="226"/>
      <c r="L29" s="226"/>
      <c r="M29" s="227"/>
      <c r="N29" s="226"/>
      <c r="O29" s="226"/>
      <c r="P29" s="227"/>
      <c r="Q29" s="226"/>
      <c r="R29" s="226"/>
      <c r="S29" s="227"/>
      <c r="T29" s="226"/>
      <c r="U29" s="228"/>
      <c r="V29" s="212" t="s">
        <v>1644</v>
      </c>
      <c r="W29" s="213" t="s">
        <v>1644</v>
      </c>
      <c r="X29" s="213" t="s">
        <v>1644</v>
      </c>
      <c r="Y29" s="213" t="s">
        <v>1644</v>
      </c>
      <c r="Z29" s="213" t="s">
        <v>1644</v>
      </c>
      <c r="AA29" s="213" t="s">
        <v>1644</v>
      </c>
      <c r="AB29" s="213" t="s">
        <v>1644</v>
      </c>
      <c r="AC29" s="213" t="s">
        <v>1644</v>
      </c>
      <c r="AD29" s="213" t="s">
        <v>1644</v>
      </c>
      <c r="AE29" s="213" t="s">
        <v>1644</v>
      </c>
      <c r="AF29" s="213" t="s">
        <v>1644</v>
      </c>
      <c r="AG29" s="214" t="s">
        <v>1644</v>
      </c>
      <c r="AH29" s="212" t="s">
        <v>1644</v>
      </c>
      <c r="AI29" s="213" t="s">
        <v>1644</v>
      </c>
      <c r="AJ29" s="213" t="s">
        <v>1644</v>
      </c>
      <c r="AK29" s="213" t="s">
        <v>1644</v>
      </c>
      <c r="AL29" s="213" t="s">
        <v>1644</v>
      </c>
      <c r="AM29" s="213" t="s">
        <v>1644</v>
      </c>
      <c r="AN29" s="213" t="s">
        <v>1644</v>
      </c>
      <c r="AO29" s="213" t="s">
        <v>1644</v>
      </c>
      <c r="AP29" s="213" t="s">
        <v>1644</v>
      </c>
      <c r="AQ29" s="213" t="s">
        <v>1644</v>
      </c>
      <c r="AR29" s="213" t="s">
        <v>1644</v>
      </c>
      <c r="AS29" s="214" t="s">
        <v>1644</v>
      </c>
    </row>
    <row r="30" spans="1:45" ht="15.75" thickBot="1" x14ac:dyDescent="0.3">
      <c r="A30" s="212" t="s">
        <v>1091</v>
      </c>
      <c r="B30" s="48" t="s">
        <v>1092</v>
      </c>
      <c r="C30" s="214" t="s">
        <v>817</v>
      </c>
      <c r="D30" s="223" t="s">
        <v>850</v>
      </c>
      <c r="E30" s="220" t="s">
        <v>850</v>
      </c>
      <c r="F30" s="220" t="s">
        <v>850</v>
      </c>
      <c r="G30" s="220" t="s">
        <v>850</v>
      </c>
      <c r="H30" s="220" t="s">
        <v>850</v>
      </c>
      <c r="I30" s="220" t="s">
        <v>850</v>
      </c>
      <c r="J30" s="220" t="s">
        <v>850</v>
      </c>
      <c r="K30" s="220" t="s">
        <v>850</v>
      </c>
      <c r="L30" s="220" t="s">
        <v>850</v>
      </c>
      <c r="M30" s="220" t="s">
        <v>850</v>
      </c>
      <c r="N30" s="220" t="s">
        <v>850</v>
      </c>
      <c r="O30" s="220" t="s">
        <v>850</v>
      </c>
      <c r="P30" s="220" t="s">
        <v>850</v>
      </c>
      <c r="Q30" s="220" t="s">
        <v>850</v>
      </c>
      <c r="R30" s="220" t="s">
        <v>850</v>
      </c>
      <c r="S30" s="221">
        <v>3</v>
      </c>
      <c r="T30" s="219">
        <v>50</v>
      </c>
      <c r="U30" s="222">
        <v>2500</v>
      </c>
      <c r="V30" s="209" t="s">
        <v>1644</v>
      </c>
      <c r="W30" s="210" t="s">
        <v>1644</v>
      </c>
      <c r="X30" s="210" t="s">
        <v>1644</v>
      </c>
      <c r="Y30" s="210" t="s">
        <v>1644</v>
      </c>
      <c r="Z30" s="210" t="s">
        <v>1644</v>
      </c>
      <c r="AA30" s="210" t="s">
        <v>1644</v>
      </c>
      <c r="AB30" s="210" t="s">
        <v>1644</v>
      </c>
      <c r="AC30" s="210" t="s">
        <v>1644</v>
      </c>
      <c r="AD30" s="210" t="s">
        <v>1644</v>
      </c>
      <c r="AE30" s="210" t="s">
        <v>1644</v>
      </c>
      <c r="AF30" s="210" t="s">
        <v>1644</v>
      </c>
      <c r="AG30" s="211" t="s">
        <v>1644</v>
      </c>
      <c r="AH30" s="209" t="s">
        <v>1644</v>
      </c>
      <c r="AI30" s="210" t="s">
        <v>1644</v>
      </c>
      <c r="AJ30" s="210" t="s">
        <v>1644</v>
      </c>
      <c r="AK30" s="210" t="s">
        <v>1644</v>
      </c>
      <c r="AL30" s="210" t="s">
        <v>1644</v>
      </c>
      <c r="AM30" s="210" t="s">
        <v>1644</v>
      </c>
      <c r="AN30" s="210" t="s">
        <v>1644</v>
      </c>
      <c r="AO30" s="210" t="s">
        <v>1644</v>
      </c>
      <c r="AP30" s="210" t="s">
        <v>1644</v>
      </c>
      <c r="AQ30" s="210" t="s">
        <v>1644</v>
      </c>
      <c r="AR30" s="210" t="s">
        <v>1644</v>
      </c>
      <c r="AS30" s="211" t="s">
        <v>1644</v>
      </c>
    </row>
    <row r="31" spans="1:45" ht="15.75" thickBot="1" x14ac:dyDescent="0.3">
      <c r="A31" s="212" t="s">
        <v>1099</v>
      </c>
      <c r="B31" s="48" t="s">
        <v>1100</v>
      </c>
      <c r="C31" s="214" t="s">
        <v>817</v>
      </c>
      <c r="D31" s="223" t="s">
        <v>850</v>
      </c>
      <c r="E31" s="220" t="s">
        <v>850</v>
      </c>
      <c r="F31" s="220" t="s">
        <v>850</v>
      </c>
      <c r="G31" s="220" t="s">
        <v>850</v>
      </c>
      <c r="H31" s="220" t="s">
        <v>850</v>
      </c>
      <c r="I31" s="220" t="s">
        <v>850</v>
      </c>
      <c r="J31" s="221">
        <v>40</v>
      </c>
      <c r="K31" s="219">
        <v>24960</v>
      </c>
      <c r="L31" s="219">
        <v>37960</v>
      </c>
      <c r="M31" s="220" t="s">
        <v>850</v>
      </c>
      <c r="N31" s="220" t="s">
        <v>850</v>
      </c>
      <c r="O31" s="220" t="s">
        <v>850</v>
      </c>
      <c r="P31" s="220" t="s">
        <v>850</v>
      </c>
      <c r="Q31" s="220" t="s">
        <v>850</v>
      </c>
      <c r="R31" s="220" t="s">
        <v>850</v>
      </c>
      <c r="S31" s="221">
        <v>2</v>
      </c>
      <c r="T31" s="219">
        <v>1200</v>
      </c>
      <c r="U31" s="222">
        <v>1920</v>
      </c>
      <c r="V31" s="212" t="s">
        <v>1643</v>
      </c>
      <c r="W31" s="213" t="s">
        <v>1644</v>
      </c>
      <c r="X31" s="213" t="s">
        <v>1644</v>
      </c>
      <c r="Y31" s="213" t="s">
        <v>1644</v>
      </c>
      <c r="Z31" s="213" t="s">
        <v>1644</v>
      </c>
      <c r="AA31" s="213" t="s">
        <v>1643</v>
      </c>
      <c r="AB31" s="213" t="s">
        <v>1643</v>
      </c>
      <c r="AC31" s="213" t="s">
        <v>1643</v>
      </c>
      <c r="AD31" s="213" t="s">
        <v>1643</v>
      </c>
      <c r="AE31" s="213" t="s">
        <v>1644</v>
      </c>
      <c r="AF31" s="213" t="s">
        <v>1643</v>
      </c>
      <c r="AG31" s="214" t="s">
        <v>1644</v>
      </c>
      <c r="AH31" s="212" t="s">
        <v>1644</v>
      </c>
      <c r="AI31" s="213" t="s">
        <v>1644</v>
      </c>
      <c r="AJ31" s="213" t="s">
        <v>1644</v>
      </c>
      <c r="AK31" s="213" t="s">
        <v>1644</v>
      </c>
      <c r="AL31" s="213" t="s">
        <v>1644</v>
      </c>
      <c r="AM31" s="213" t="s">
        <v>1644</v>
      </c>
      <c r="AN31" s="213" t="s">
        <v>1644</v>
      </c>
      <c r="AO31" s="213" t="s">
        <v>1644</v>
      </c>
      <c r="AP31" s="213" t="s">
        <v>1644</v>
      </c>
      <c r="AQ31" s="213" t="s">
        <v>1644</v>
      </c>
      <c r="AR31" s="213" t="s">
        <v>1644</v>
      </c>
      <c r="AS31" s="214" t="s">
        <v>1644</v>
      </c>
    </row>
    <row r="32" spans="1:45" ht="15.75" thickBot="1" x14ac:dyDescent="0.3">
      <c r="A32" s="212" t="s">
        <v>1101</v>
      </c>
      <c r="B32" s="48" t="s">
        <v>1102</v>
      </c>
      <c r="C32" s="214" t="s">
        <v>817</v>
      </c>
      <c r="D32" s="223" t="s">
        <v>850</v>
      </c>
      <c r="E32" s="220" t="s">
        <v>850</v>
      </c>
      <c r="F32" s="220" t="s">
        <v>850</v>
      </c>
      <c r="G32" s="220" t="s">
        <v>850</v>
      </c>
      <c r="H32" s="220" t="s">
        <v>850</v>
      </c>
      <c r="I32" s="220" t="s">
        <v>850</v>
      </c>
      <c r="J32" s="220" t="s">
        <v>850</v>
      </c>
      <c r="K32" s="220" t="s">
        <v>850</v>
      </c>
      <c r="L32" s="220" t="s">
        <v>850</v>
      </c>
      <c r="M32" s="221">
        <v>10</v>
      </c>
      <c r="N32" s="219">
        <v>5200</v>
      </c>
      <c r="O32" s="219">
        <v>6240</v>
      </c>
      <c r="P32" s="220" t="s">
        <v>850</v>
      </c>
      <c r="Q32" s="220" t="s">
        <v>850</v>
      </c>
      <c r="R32" s="220" t="s">
        <v>850</v>
      </c>
      <c r="S32" s="220" t="s">
        <v>850</v>
      </c>
      <c r="T32" s="220" t="s">
        <v>850</v>
      </c>
      <c r="U32" s="224" t="s">
        <v>850</v>
      </c>
      <c r="V32" s="209" t="s">
        <v>1644</v>
      </c>
      <c r="W32" s="210" t="s">
        <v>1644</v>
      </c>
      <c r="X32" s="210" t="s">
        <v>1644</v>
      </c>
      <c r="Y32" s="210" t="s">
        <v>1644</v>
      </c>
      <c r="Z32" s="210" t="s">
        <v>1644</v>
      </c>
      <c r="AA32" s="210" t="s">
        <v>1644</v>
      </c>
      <c r="AB32" s="210" t="s">
        <v>1644</v>
      </c>
      <c r="AC32" s="210" t="s">
        <v>1644</v>
      </c>
      <c r="AD32" s="210" t="s">
        <v>1644</v>
      </c>
      <c r="AE32" s="210" t="s">
        <v>1644</v>
      </c>
      <c r="AF32" s="210" t="s">
        <v>1644</v>
      </c>
      <c r="AG32" s="211" t="s">
        <v>1644</v>
      </c>
      <c r="AH32" s="212" t="s">
        <v>1644</v>
      </c>
      <c r="AI32" s="213" t="s">
        <v>1644</v>
      </c>
      <c r="AJ32" s="213" t="s">
        <v>1644</v>
      </c>
      <c r="AK32" s="213" t="s">
        <v>1644</v>
      </c>
      <c r="AL32" s="213" t="s">
        <v>1644</v>
      </c>
      <c r="AM32" s="213" t="s">
        <v>1644</v>
      </c>
      <c r="AN32" s="213" t="s">
        <v>1644</v>
      </c>
      <c r="AO32" s="213" t="s">
        <v>1643</v>
      </c>
      <c r="AP32" s="213" t="s">
        <v>1644</v>
      </c>
      <c r="AQ32" s="213" t="s">
        <v>1644</v>
      </c>
      <c r="AR32" s="213" t="s">
        <v>1644</v>
      </c>
      <c r="AS32" s="214" t="s">
        <v>1644</v>
      </c>
    </row>
    <row r="33" spans="1:45" ht="15.75" thickBot="1" x14ac:dyDescent="0.3">
      <c r="A33" s="212" t="s">
        <v>1149</v>
      </c>
      <c r="B33" s="48" t="s">
        <v>1150</v>
      </c>
      <c r="C33" s="214" t="s">
        <v>817</v>
      </c>
      <c r="D33" s="218">
        <v>40</v>
      </c>
      <c r="E33" s="219">
        <v>19240</v>
      </c>
      <c r="F33" s="219">
        <v>27000</v>
      </c>
      <c r="G33" s="220" t="s">
        <v>850</v>
      </c>
      <c r="H33" s="220" t="s">
        <v>850</v>
      </c>
      <c r="I33" s="220" t="s">
        <v>850</v>
      </c>
      <c r="J33" s="220" t="s">
        <v>850</v>
      </c>
      <c r="K33" s="220" t="s">
        <v>850</v>
      </c>
      <c r="L33" s="220" t="s">
        <v>850</v>
      </c>
      <c r="M33" s="220" t="s">
        <v>850</v>
      </c>
      <c r="N33" s="220" t="s">
        <v>850</v>
      </c>
      <c r="O33" s="220" t="s">
        <v>850</v>
      </c>
      <c r="P33" s="220" t="s">
        <v>850</v>
      </c>
      <c r="Q33" s="220" t="s">
        <v>850</v>
      </c>
      <c r="R33" s="220" t="s">
        <v>850</v>
      </c>
      <c r="S33" s="221">
        <v>8</v>
      </c>
      <c r="T33" s="219">
        <v>3848</v>
      </c>
      <c r="U33" s="222">
        <v>7920</v>
      </c>
      <c r="V33" s="212" t="s">
        <v>1643</v>
      </c>
      <c r="W33" s="213" t="s">
        <v>1643</v>
      </c>
      <c r="X33" s="213" t="s">
        <v>1643</v>
      </c>
      <c r="Y33" s="213" t="s">
        <v>1643</v>
      </c>
      <c r="Z33" s="213" t="s">
        <v>1643</v>
      </c>
      <c r="AA33" s="213" t="s">
        <v>1643</v>
      </c>
      <c r="AB33" s="213" t="s">
        <v>1643</v>
      </c>
      <c r="AC33" s="213" t="s">
        <v>1643</v>
      </c>
      <c r="AD33" s="213" t="s">
        <v>1644</v>
      </c>
      <c r="AE33" s="213" t="s">
        <v>1643</v>
      </c>
      <c r="AF33" s="213" t="s">
        <v>1643</v>
      </c>
      <c r="AG33" s="214" t="s">
        <v>1643</v>
      </c>
      <c r="AH33" s="212" t="s">
        <v>1644</v>
      </c>
      <c r="AI33" s="213" t="s">
        <v>1644</v>
      </c>
      <c r="AJ33" s="213" t="s">
        <v>1644</v>
      </c>
      <c r="AK33" s="213" t="s">
        <v>1644</v>
      </c>
      <c r="AL33" s="213" t="s">
        <v>1644</v>
      </c>
      <c r="AM33" s="213" t="s">
        <v>1644</v>
      </c>
      <c r="AN33" s="213" t="s">
        <v>1644</v>
      </c>
      <c r="AO33" s="213" t="s">
        <v>1644</v>
      </c>
      <c r="AP33" s="213" t="s">
        <v>1644</v>
      </c>
      <c r="AQ33" s="213" t="s">
        <v>1644</v>
      </c>
      <c r="AR33" s="213" t="s">
        <v>1644</v>
      </c>
      <c r="AS33" s="214" t="s">
        <v>1644</v>
      </c>
    </row>
    <row r="34" spans="1:45" ht="15.75" thickBot="1" x14ac:dyDescent="0.3">
      <c r="A34" s="212" t="s">
        <v>1165</v>
      </c>
      <c r="B34" s="48" t="s">
        <v>1166</v>
      </c>
      <c r="C34" s="214" t="s">
        <v>817</v>
      </c>
      <c r="D34" s="225"/>
      <c r="E34" s="226"/>
      <c r="F34" s="226"/>
      <c r="G34" s="227"/>
      <c r="H34" s="226"/>
      <c r="I34" s="226"/>
      <c r="J34" s="227"/>
      <c r="K34" s="226"/>
      <c r="L34" s="226"/>
      <c r="M34" s="227"/>
      <c r="N34" s="226"/>
      <c r="O34" s="226"/>
      <c r="P34" s="227"/>
      <c r="Q34" s="226"/>
      <c r="R34" s="226"/>
      <c r="S34" s="227"/>
      <c r="T34" s="226"/>
      <c r="U34" s="228"/>
      <c r="V34" s="212" t="s">
        <v>1644</v>
      </c>
      <c r="W34" s="213" t="s">
        <v>1644</v>
      </c>
      <c r="X34" s="213" t="s">
        <v>1644</v>
      </c>
      <c r="Y34" s="213" t="s">
        <v>1644</v>
      </c>
      <c r="Z34" s="213" t="s">
        <v>1644</v>
      </c>
      <c r="AA34" s="213" t="s">
        <v>1644</v>
      </c>
      <c r="AB34" s="213" t="s">
        <v>1643</v>
      </c>
      <c r="AC34" s="213" t="s">
        <v>1643</v>
      </c>
      <c r="AD34" s="213" t="s">
        <v>1644</v>
      </c>
      <c r="AE34" s="213" t="s">
        <v>1644</v>
      </c>
      <c r="AF34" s="213" t="s">
        <v>1644</v>
      </c>
      <c r="AG34" s="214" t="s">
        <v>1644</v>
      </c>
      <c r="AH34" s="212" t="s">
        <v>1644</v>
      </c>
      <c r="AI34" s="213" t="s">
        <v>1644</v>
      </c>
      <c r="AJ34" s="213" t="s">
        <v>1644</v>
      </c>
      <c r="AK34" s="213" t="s">
        <v>1644</v>
      </c>
      <c r="AL34" s="213" t="s">
        <v>1644</v>
      </c>
      <c r="AM34" s="213" t="s">
        <v>1644</v>
      </c>
      <c r="AN34" s="213" t="s">
        <v>1644</v>
      </c>
      <c r="AO34" s="213" t="s">
        <v>1644</v>
      </c>
      <c r="AP34" s="213" t="s">
        <v>1644</v>
      </c>
      <c r="AQ34" s="213" t="s">
        <v>1644</v>
      </c>
      <c r="AR34" s="213" t="s">
        <v>1644</v>
      </c>
      <c r="AS34" s="214" t="s">
        <v>1644</v>
      </c>
    </row>
    <row r="35" spans="1:45" ht="15.75" thickBot="1" x14ac:dyDescent="0.3">
      <c r="A35" s="212" t="s">
        <v>1195</v>
      </c>
      <c r="B35" s="48" t="s">
        <v>1196</v>
      </c>
      <c r="C35" s="214" t="s">
        <v>817</v>
      </c>
      <c r="D35" s="223" t="s">
        <v>850</v>
      </c>
      <c r="E35" s="220" t="s">
        <v>850</v>
      </c>
      <c r="F35" s="220" t="s">
        <v>850</v>
      </c>
      <c r="G35" s="220" t="s">
        <v>850</v>
      </c>
      <c r="H35" s="220" t="s">
        <v>850</v>
      </c>
      <c r="I35" s="220" t="s">
        <v>850</v>
      </c>
      <c r="J35" s="220" t="s">
        <v>850</v>
      </c>
      <c r="K35" s="220" t="s">
        <v>850</v>
      </c>
      <c r="L35" s="220" t="s">
        <v>850</v>
      </c>
      <c r="M35" s="220" t="s">
        <v>850</v>
      </c>
      <c r="N35" s="220" t="s">
        <v>850</v>
      </c>
      <c r="O35" s="220" t="s">
        <v>850</v>
      </c>
      <c r="P35" s="220" t="s">
        <v>850</v>
      </c>
      <c r="Q35" s="220" t="s">
        <v>850</v>
      </c>
      <c r="R35" s="220" t="s">
        <v>850</v>
      </c>
      <c r="S35" s="221">
        <v>20</v>
      </c>
      <c r="T35" s="219">
        <v>15000</v>
      </c>
      <c r="U35" s="222">
        <v>25000</v>
      </c>
      <c r="V35" s="209" t="s">
        <v>1644</v>
      </c>
      <c r="W35" s="210" t="s">
        <v>1644</v>
      </c>
      <c r="X35" s="210" t="s">
        <v>1644</v>
      </c>
      <c r="Y35" s="210" t="s">
        <v>1644</v>
      </c>
      <c r="Z35" s="210" t="s">
        <v>1644</v>
      </c>
      <c r="AA35" s="210" t="s">
        <v>1644</v>
      </c>
      <c r="AB35" s="210" t="s">
        <v>1644</v>
      </c>
      <c r="AC35" s="210" t="s">
        <v>1644</v>
      </c>
      <c r="AD35" s="210" t="s">
        <v>1644</v>
      </c>
      <c r="AE35" s="210" t="s">
        <v>1644</v>
      </c>
      <c r="AF35" s="210" t="s">
        <v>1644</v>
      </c>
      <c r="AG35" s="211" t="s">
        <v>1644</v>
      </c>
      <c r="AH35" s="209" t="s">
        <v>1644</v>
      </c>
      <c r="AI35" s="210" t="s">
        <v>1644</v>
      </c>
      <c r="AJ35" s="210" t="s">
        <v>1644</v>
      </c>
      <c r="AK35" s="210" t="s">
        <v>1644</v>
      </c>
      <c r="AL35" s="210" t="s">
        <v>1644</v>
      </c>
      <c r="AM35" s="210" t="s">
        <v>1644</v>
      </c>
      <c r="AN35" s="210" t="s">
        <v>1644</v>
      </c>
      <c r="AO35" s="210" t="s">
        <v>1644</v>
      </c>
      <c r="AP35" s="210" t="s">
        <v>1644</v>
      </c>
      <c r="AQ35" s="210" t="s">
        <v>1644</v>
      </c>
      <c r="AR35" s="210" t="s">
        <v>1644</v>
      </c>
      <c r="AS35" s="211" t="s">
        <v>1644</v>
      </c>
    </row>
    <row r="36" spans="1:45" ht="15.75" thickBot="1" x14ac:dyDescent="0.3">
      <c r="A36" s="212" t="s">
        <v>1203</v>
      </c>
      <c r="B36" s="48" t="s">
        <v>1204</v>
      </c>
      <c r="C36" s="214" t="s">
        <v>817</v>
      </c>
      <c r="D36" s="225"/>
      <c r="E36" s="226"/>
      <c r="F36" s="226"/>
      <c r="G36" s="227"/>
      <c r="H36" s="226"/>
      <c r="I36" s="226"/>
      <c r="J36" s="221">
        <v>6</v>
      </c>
      <c r="K36" s="219">
        <v>2808</v>
      </c>
      <c r="L36" s="219">
        <v>3200</v>
      </c>
      <c r="M36" s="227"/>
      <c r="N36" s="226"/>
      <c r="O36" s="226"/>
      <c r="P36" s="221">
        <v>1</v>
      </c>
      <c r="Q36" s="219">
        <v>500</v>
      </c>
      <c r="R36" s="219">
        <v>1040</v>
      </c>
      <c r="S36" s="227"/>
      <c r="T36" s="226"/>
      <c r="U36" s="228"/>
      <c r="V36" s="212" t="s">
        <v>1644</v>
      </c>
      <c r="W36" s="213" t="s">
        <v>1644</v>
      </c>
      <c r="X36" s="213" t="s">
        <v>1644</v>
      </c>
      <c r="Y36" s="213" t="s">
        <v>1644</v>
      </c>
      <c r="Z36" s="213" t="s">
        <v>1644</v>
      </c>
      <c r="AA36" s="213" t="s">
        <v>1644</v>
      </c>
      <c r="AB36" s="213" t="s">
        <v>1644</v>
      </c>
      <c r="AC36" s="213" t="s">
        <v>1644</v>
      </c>
      <c r="AD36" s="213" t="s">
        <v>1644</v>
      </c>
      <c r="AE36" s="213" t="s">
        <v>1644</v>
      </c>
      <c r="AF36" s="213" t="s">
        <v>1644</v>
      </c>
      <c r="AG36" s="214" t="s">
        <v>1644</v>
      </c>
      <c r="AH36" s="212" t="s">
        <v>1644</v>
      </c>
      <c r="AI36" s="213" t="s">
        <v>1644</v>
      </c>
      <c r="AJ36" s="213" t="s">
        <v>1644</v>
      </c>
      <c r="AK36" s="213" t="s">
        <v>1644</v>
      </c>
      <c r="AL36" s="213" t="s">
        <v>1644</v>
      </c>
      <c r="AM36" s="213" t="s">
        <v>1644</v>
      </c>
      <c r="AN36" s="213" t="s">
        <v>1644</v>
      </c>
      <c r="AO36" s="213" t="s">
        <v>1644</v>
      </c>
      <c r="AP36" s="213" t="s">
        <v>1644</v>
      </c>
      <c r="AQ36" s="213" t="s">
        <v>1644</v>
      </c>
      <c r="AR36" s="213" t="s">
        <v>1644</v>
      </c>
      <c r="AS36" s="214" t="s">
        <v>1644</v>
      </c>
    </row>
    <row r="37" spans="1:45" ht="15.75" thickBot="1" x14ac:dyDescent="0.3">
      <c r="A37" s="212" t="s">
        <v>1205</v>
      </c>
      <c r="B37" s="48" t="s">
        <v>1206</v>
      </c>
      <c r="C37" s="214" t="s">
        <v>817</v>
      </c>
      <c r="D37" s="218">
        <v>25</v>
      </c>
      <c r="E37" s="219">
        <v>13308</v>
      </c>
      <c r="F37" s="219">
        <v>13572</v>
      </c>
      <c r="G37" s="227"/>
      <c r="H37" s="226"/>
      <c r="I37" s="226"/>
      <c r="J37" s="227"/>
      <c r="K37" s="226"/>
      <c r="L37" s="226"/>
      <c r="M37" s="221">
        <v>15</v>
      </c>
      <c r="N37" s="219">
        <v>7588</v>
      </c>
      <c r="O37" s="219">
        <v>7898</v>
      </c>
      <c r="P37" s="227"/>
      <c r="Q37" s="226"/>
      <c r="R37" s="226"/>
      <c r="S37" s="221">
        <v>20</v>
      </c>
      <c r="T37" s="219">
        <v>10377</v>
      </c>
      <c r="U37" s="222">
        <v>10588</v>
      </c>
      <c r="V37" s="212" t="s">
        <v>1644</v>
      </c>
      <c r="W37" s="213" t="s">
        <v>1644</v>
      </c>
      <c r="X37" s="213" t="s">
        <v>1644</v>
      </c>
      <c r="Y37" s="213" t="s">
        <v>1644</v>
      </c>
      <c r="Z37" s="213" t="s">
        <v>1644</v>
      </c>
      <c r="AA37" s="213" t="s">
        <v>1644</v>
      </c>
      <c r="AB37" s="213" t="s">
        <v>1644</v>
      </c>
      <c r="AC37" s="213" t="s">
        <v>1644</v>
      </c>
      <c r="AD37" s="213" t="s">
        <v>1644</v>
      </c>
      <c r="AE37" s="213" t="s">
        <v>1644</v>
      </c>
      <c r="AF37" s="213" t="s">
        <v>1644</v>
      </c>
      <c r="AG37" s="214" t="s">
        <v>1644</v>
      </c>
      <c r="AH37" s="212" t="s">
        <v>1644</v>
      </c>
      <c r="AI37" s="213" t="s">
        <v>1644</v>
      </c>
      <c r="AJ37" s="213" t="s">
        <v>1644</v>
      </c>
      <c r="AK37" s="213" t="s">
        <v>1644</v>
      </c>
      <c r="AL37" s="213" t="s">
        <v>1644</v>
      </c>
      <c r="AM37" s="213" t="s">
        <v>1644</v>
      </c>
      <c r="AN37" s="213" t="s">
        <v>1644</v>
      </c>
      <c r="AO37" s="213" t="s">
        <v>1644</v>
      </c>
      <c r="AP37" s="213" t="s">
        <v>1644</v>
      </c>
      <c r="AQ37" s="213" t="s">
        <v>1644</v>
      </c>
      <c r="AR37" s="213" t="s">
        <v>1644</v>
      </c>
      <c r="AS37" s="214" t="s">
        <v>1644</v>
      </c>
    </row>
    <row r="38" spans="1:45" ht="15.75" thickBot="1" x14ac:dyDescent="0.3">
      <c r="A38" s="212" t="s">
        <v>1209</v>
      </c>
      <c r="B38" s="48" t="s">
        <v>1210</v>
      </c>
      <c r="C38" s="214" t="s">
        <v>817</v>
      </c>
      <c r="D38" s="223" t="s">
        <v>850</v>
      </c>
      <c r="E38" s="220" t="s">
        <v>850</v>
      </c>
      <c r="F38" s="220" t="s">
        <v>850</v>
      </c>
      <c r="G38" s="220" t="s">
        <v>850</v>
      </c>
      <c r="H38" s="220" t="s">
        <v>850</v>
      </c>
      <c r="I38" s="220" t="s">
        <v>850</v>
      </c>
      <c r="J38" s="220" t="s">
        <v>850</v>
      </c>
      <c r="K38" s="220" t="s">
        <v>850</v>
      </c>
      <c r="L38" s="220" t="s">
        <v>850</v>
      </c>
      <c r="M38" s="220" t="s">
        <v>850</v>
      </c>
      <c r="N38" s="220" t="s">
        <v>850</v>
      </c>
      <c r="O38" s="220" t="s">
        <v>850</v>
      </c>
      <c r="P38" s="220" t="s">
        <v>850</v>
      </c>
      <c r="Q38" s="220" t="s">
        <v>850</v>
      </c>
      <c r="R38" s="220" t="s">
        <v>850</v>
      </c>
      <c r="S38" s="221">
        <v>29</v>
      </c>
      <c r="T38" s="219">
        <v>27000</v>
      </c>
      <c r="U38" s="222">
        <v>27000</v>
      </c>
      <c r="V38" s="212" t="s">
        <v>1643</v>
      </c>
      <c r="W38" s="213" t="s">
        <v>1643</v>
      </c>
      <c r="X38" s="213" t="s">
        <v>1644</v>
      </c>
      <c r="Y38" s="213" t="s">
        <v>1644</v>
      </c>
      <c r="Z38" s="213" t="s">
        <v>1643</v>
      </c>
      <c r="AA38" s="213" t="s">
        <v>1644</v>
      </c>
      <c r="AB38" s="213" t="s">
        <v>1644</v>
      </c>
      <c r="AC38" s="213" t="s">
        <v>1644</v>
      </c>
      <c r="AD38" s="213" t="s">
        <v>1644</v>
      </c>
      <c r="AE38" s="213" t="s">
        <v>1644</v>
      </c>
      <c r="AF38" s="213" t="s">
        <v>1644</v>
      </c>
      <c r="AG38" s="214" t="s">
        <v>1644</v>
      </c>
      <c r="AH38" s="209" t="s">
        <v>1644</v>
      </c>
      <c r="AI38" s="210" t="s">
        <v>1644</v>
      </c>
      <c r="AJ38" s="210" t="s">
        <v>1644</v>
      </c>
      <c r="AK38" s="210" t="s">
        <v>1644</v>
      </c>
      <c r="AL38" s="210" t="s">
        <v>1644</v>
      </c>
      <c r="AM38" s="210" t="s">
        <v>1644</v>
      </c>
      <c r="AN38" s="210" t="s">
        <v>1644</v>
      </c>
      <c r="AO38" s="210" t="s">
        <v>1644</v>
      </c>
      <c r="AP38" s="210" t="s">
        <v>1644</v>
      </c>
      <c r="AQ38" s="210" t="s">
        <v>1644</v>
      </c>
      <c r="AR38" s="210" t="s">
        <v>1644</v>
      </c>
      <c r="AS38" s="211" t="s">
        <v>1644</v>
      </c>
    </row>
    <row r="39" spans="1:45" ht="15.75" thickBot="1" x14ac:dyDescent="0.3">
      <c r="A39" s="212" t="s">
        <v>1219</v>
      </c>
      <c r="B39" s="48" t="s">
        <v>1220</v>
      </c>
      <c r="C39" s="214" t="s">
        <v>817</v>
      </c>
      <c r="D39" s="218">
        <v>8</v>
      </c>
      <c r="E39" s="219">
        <v>4540</v>
      </c>
      <c r="F39" s="219">
        <v>6240</v>
      </c>
      <c r="G39" s="220" t="s">
        <v>850</v>
      </c>
      <c r="H39" s="220" t="s">
        <v>850</v>
      </c>
      <c r="I39" s="220" t="s">
        <v>850</v>
      </c>
      <c r="J39" s="220" t="s">
        <v>850</v>
      </c>
      <c r="K39" s="220" t="s">
        <v>850</v>
      </c>
      <c r="L39" s="220" t="s">
        <v>850</v>
      </c>
      <c r="M39" s="220" t="s">
        <v>850</v>
      </c>
      <c r="N39" s="220" t="s">
        <v>850</v>
      </c>
      <c r="O39" s="220" t="s">
        <v>850</v>
      </c>
      <c r="P39" s="220" t="s">
        <v>850</v>
      </c>
      <c r="Q39" s="220" t="s">
        <v>850</v>
      </c>
      <c r="R39" s="220" t="s">
        <v>850</v>
      </c>
      <c r="S39" s="220" t="s">
        <v>850</v>
      </c>
      <c r="T39" s="220" t="s">
        <v>850</v>
      </c>
      <c r="U39" s="224" t="s">
        <v>850</v>
      </c>
      <c r="V39" s="209" t="s">
        <v>1644</v>
      </c>
      <c r="W39" s="210" t="s">
        <v>1644</v>
      </c>
      <c r="X39" s="210" t="s">
        <v>1644</v>
      </c>
      <c r="Y39" s="210" t="s">
        <v>1644</v>
      </c>
      <c r="Z39" s="210" t="s">
        <v>1644</v>
      </c>
      <c r="AA39" s="210" t="s">
        <v>1644</v>
      </c>
      <c r="AB39" s="210" t="s">
        <v>1644</v>
      </c>
      <c r="AC39" s="210" t="s">
        <v>1644</v>
      </c>
      <c r="AD39" s="210" t="s">
        <v>1644</v>
      </c>
      <c r="AE39" s="210" t="s">
        <v>1644</v>
      </c>
      <c r="AF39" s="210" t="s">
        <v>1644</v>
      </c>
      <c r="AG39" s="211" t="s">
        <v>1644</v>
      </c>
      <c r="AH39" s="209" t="s">
        <v>1644</v>
      </c>
      <c r="AI39" s="210" t="s">
        <v>1644</v>
      </c>
      <c r="AJ39" s="210" t="s">
        <v>1644</v>
      </c>
      <c r="AK39" s="210" t="s">
        <v>1644</v>
      </c>
      <c r="AL39" s="210" t="s">
        <v>1644</v>
      </c>
      <c r="AM39" s="210" t="s">
        <v>1644</v>
      </c>
      <c r="AN39" s="210" t="s">
        <v>1644</v>
      </c>
      <c r="AO39" s="210" t="s">
        <v>1644</v>
      </c>
      <c r="AP39" s="210" t="s">
        <v>1644</v>
      </c>
      <c r="AQ39" s="210" t="s">
        <v>1644</v>
      </c>
      <c r="AR39" s="210" t="s">
        <v>1644</v>
      </c>
      <c r="AS39" s="211" t="s">
        <v>1644</v>
      </c>
    </row>
    <row r="40" spans="1:45" ht="15.75" thickBot="1" x14ac:dyDescent="0.3">
      <c r="A40" s="212" t="s">
        <v>1225</v>
      </c>
      <c r="B40" s="48" t="s">
        <v>1226</v>
      </c>
      <c r="C40" s="214" t="s">
        <v>817</v>
      </c>
      <c r="D40" s="218">
        <v>24</v>
      </c>
      <c r="E40" s="219">
        <v>13640</v>
      </c>
      <c r="F40" s="219">
        <v>13640</v>
      </c>
      <c r="G40" s="220" t="s">
        <v>850</v>
      </c>
      <c r="H40" s="220" t="s">
        <v>850</v>
      </c>
      <c r="I40" s="220" t="s">
        <v>850</v>
      </c>
      <c r="J40" s="220" t="s">
        <v>850</v>
      </c>
      <c r="K40" s="220" t="s">
        <v>850</v>
      </c>
      <c r="L40" s="220" t="s">
        <v>850</v>
      </c>
      <c r="M40" s="220" t="s">
        <v>850</v>
      </c>
      <c r="N40" s="220" t="s">
        <v>850</v>
      </c>
      <c r="O40" s="220" t="s">
        <v>850</v>
      </c>
      <c r="P40" s="220" t="s">
        <v>850</v>
      </c>
      <c r="Q40" s="220" t="s">
        <v>850</v>
      </c>
      <c r="R40" s="220" t="s">
        <v>850</v>
      </c>
      <c r="S40" s="221">
        <v>4</v>
      </c>
      <c r="T40" s="219">
        <v>8757</v>
      </c>
      <c r="U40" s="222">
        <v>8757</v>
      </c>
      <c r="V40" s="212" t="s">
        <v>1644</v>
      </c>
      <c r="W40" s="213" t="s">
        <v>1644</v>
      </c>
      <c r="X40" s="213" t="s">
        <v>1644</v>
      </c>
      <c r="Y40" s="213" t="s">
        <v>1644</v>
      </c>
      <c r="Z40" s="213" t="s">
        <v>1644</v>
      </c>
      <c r="AA40" s="213" t="s">
        <v>1644</v>
      </c>
      <c r="AB40" s="213" t="s">
        <v>1643</v>
      </c>
      <c r="AC40" s="213" t="s">
        <v>1644</v>
      </c>
      <c r="AD40" s="213" t="s">
        <v>1644</v>
      </c>
      <c r="AE40" s="213" t="s">
        <v>1644</v>
      </c>
      <c r="AF40" s="213" t="s">
        <v>1644</v>
      </c>
      <c r="AG40" s="214" t="s">
        <v>1644</v>
      </c>
      <c r="AH40" s="212" t="s">
        <v>1644</v>
      </c>
      <c r="AI40" s="213" t="s">
        <v>1644</v>
      </c>
      <c r="AJ40" s="213" t="s">
        <v>1644</v>
      </c>
      <c r="AK40" s="213" t="s">
        <v>1644</v>
      </c>
      <c r="AL40" s="213" t="s">
        <v>1644</v>
      </c>
      <c r="AM40" s="213" t="s">
        <v>1644</v>
      </c>
      <c r="AN40" s="213" t="s">
        <v>1644</v>
      </c>
      <c r="AO40" s="213" t="s">
        <v>1644</v>
      </c>
      <c r="AP40" s="213" t="s">
        <v>1644</v>
      </c>
      <c r="AQ40" s="213" t="s">
        <v>1644</v>
      </c>
      <c r="AR40" s="213" t="s">
        <v>1644</v>
      </c>
      <c r="AS40" s="214" t="s">
        <v>1644</v>
      </c>
    </row>
    <row r="41" spans="1:45" ht="15.75" thickBot="1" x14ac:dyDescent="0.3">
      <c r="A41" s="212" t="s">
        <v>1237</v>
      </c>
      <c r="B41" s="48" t="s">
        <v>1238</v>
      </c>
      <c r="C41" s="214" t="s">
        <v>817</v>
      </c>
      <c r="D41" s="225"/>
      <c r="E41" s="226"/>
      <c r="F41" s="226"/>
      <c r="G41" s="227"/>
      <c r="H41" s="226"/>
      <c r="I41" s="226"/>
      <c r="J41" s="227"/>
      <c r="K41" s="226"/>
      <c r="L41" s="226"/>
      <c r="M41" s="227"/>
      <c r="N41" s="226"/>
      <c r="O41" s="226"/>
      <c r="P41" s="227"/>
      <c r="Q41" s="226"/>
      <c r="R41" s="226"/>
      <c r="S41" s="221">
        <v>26</v>
      </c>
      <c r="T41" s="219">
        <v>14872</v>
      </c>
      <c r="U41" s="222">
        <v>14872</v>
      </c>
      <c r="V41" s="212" t="s">
        <v>1644</v>
      </c>
      <c r="W41" s="213" t="s">
        <v>1644</v>
      </c>
      <c r="X41" s="213" t="s">
        <v>1644</v>
      </c>
      <c r="Y41" s="213" t="s">
        <v>1644</v>
      </c>
      <c r="Z41" s="213" t="s">
        <v>1644</v>
      </c>
      <c r="AA41" s="213" t="s">
        <v>1644</v>
      </c>
      <c r="AB41" s="213" t="s">
        <v>1644</v>
      </c>
      <c r="AC41" s="213" t="s">
        <v>1644</v>
      </c>
      <c r="AD41" s="213" t="s">
        <v>1644</v>
      </c>
      <c r="AE41" s="213" t="s">
        <v>1644</v>
      </c>
      <c r="AF41" s="213" t="s">
        <v>1644</v>
      </c>
      <c r="AG41" s="214" t="s">
        <v>1644</v>
      </c>
      <c r="AH41" s="212" t="s">
        <v>1644</v>
      </c>
      <c r="AI41" s="213" t="s">
        <v>1644</v>
      </c>
      <c r="AJ41" s="213" t="s">
        <v>1644</v>
      </c>
      <c r="AK41" s="213" t="s">
        <v>1644</v>
      </c>
      <c r="AL41" s="213" t="s">
        <v>1644</v>
      </c>
      <c r="AM41" s="213" t="s">
        <v>1644</v>
      </c>
      <c r="AN41" s="213" t="s">
        <v>1644</v>
      </c>
      <c r="AO41" s="213" t="s">
        <v>1644</v>
      </c>
      <c r="AP41" s="213" t="s">
        <v>1644</v>
      </c>
      <c r="AQ41" s="213" t="s">
        <v>1644</v>
      </c>
      <c r="AR41" s="213" t="s">
        <v>1644</v>
      </c>
      <c r="AS41" s="214" t="s">
        <v>1644</v>
      </c>
    </row>
    <row r="42" spans="1:45" ht="15.75" thickBot="1" x14ac:dyDescent="0.3">
      <c r="A42" s="212" t="s">
        <v>1243</v>
      </c>
      <c r="B42" s="48" t="s">
        <v>1244</v>
      </c>
      <c r="C42" s="214" t="s">
        <v>817</v>
      </c>
      <c r="D42" s="225"/>
      <c r="E42" s="226"/>
      <c r="F42" s="226"/>
      <c r="G42" s="227"/>
      <c r="H42" s="226"/>
      <c r="I42" s="226"/>
      <c r="J42" s="227"/>
      <c r="K42" s="226"/>
      <c r="L42" s="226"/>
      <c r="M42" s="227"/>
      <c r="N42" s="226"/>
      <c r="O42" s="226"/>
      <c r="P42" s="227"/>
      <c r="Q42" s="226"/>
      <c r="R42" s="226"/>
      <c r="S42" s="221">
        <v>25</v>
      </c>
      <c r="T42" s="219">
        <v>7500</v>
      </c>
      <c r="U42" s="222">
        <v>9500</v>
      </c>
      <c r="V42" s="209" t="s">
        <v>1644</v>
      </c>
      <c r="W42" s="210" t="s">
        <v>1644</v>
      </c>
      <c r="X42" s="210" t="s">
        <v>1644</v>
      </c>
      <c r="Y42" s="210" t="s">
        <v>1644</v>
      </c>
      <c r="Z42" s="210" t="s">
        <v>1644</v>
      </c>
      <c r="AA42" s="210" t="s">
        <v>1644</v>
      </c>
      <c r="AB42" s="210" t="s">
        <v>1644</v>
      </c>
      <c r="AC42" s="210" t="s">
        <v>1644</v>
      </c>
      <c r="AD42" s="210" t="s">
        <v>1644</v>
      </c>
      <c r="AE42" s="210" t="s">
        <v>1644</v>
      </c>
      <c r="AF42" s="210" t="s">
        <v>1644</v>
      </c>
      <c r="AG42" s="211" t="s">
        <v>1644</v>
      </c>
      <c r="AH42" s="212" t="s">
        <v>1644</v>
      </c>
      <c r="AI42" s="213" t="s">
        <v>1644</v>
      </c>
      <c r="AJ42" s="213" t="s">
        <v>1644</v>
      </c>
      <c r="AK42" s="213" t="s">
        <v>1644</v>
      </c>
      <c r="AL42" s="213" t="s">
        <v>1644</v>
      </c>
      <c r="AM42" s="213" t="s">
        <v>1644</v>
      </c>
      <c r="AN42" s="213" t="s">
        <v>1644</v>
      </c>
      <c r="AO42" s="213" t="s">
        <v>1644</v>
      </c>
      <c r="AP42" s="213" t="s">
        <v>1644</v>
      </c>
      <c r="AQ42" s="213" t="s">
        <v>1644</v>
      </c>
      <c r="AR42" s="213" t="s">
        <v>1644</v>
      </c>
      <c r="AS42" s="214" t="s">
        <v>1644</v>
      </c>
    </row>
    <row r="43" spans="1:45" ht="15.75" thickBot="1" x14ac:dyDescent="0.3">
      <c r="A43" s="212" t="s">
        <v>1259</v>
      </c>
      <c r="B43" s="48" t="s">
        <v>1260</v>
      </c>
      <c r="C43" s="214" t="s">
        <v>817</v>
      </c>
      <c r="D43" s="223" t="s">
        <v>850</v>
      </c>
      <c r="E43" s="220" t="s">
        <v>850</v>
      </c>
      <c r="F43" s="220" t="s">
        <v>850</v>
      </c>
      <c r="G43" s="220" t="s">
        <v>850</v>
      </c>
      <c r="H43" s="220" t="s">
        <v>850</v>
      </c>
      <c r="I43" s="220" t="s">
        <v>850</v>
      </c>
      <c r="J43" s="221">
        <v>15</v>
      </c>
      <c r="K43" s="219">
        <v>9234</v>
      </c>
      <c r="L43" s="219">
        <v>9234</v>
      </c>
      <c r="M43" s="220" t="s">
        <v>850</v>
      </c>
      <c r="N43" s="220" t="s">
        <v>850</v>
      </c>
      <c r="O43" s="220" t="s">
        <v>850</v>
      </c>
      <c r="P43" s="220" t="s">
        <v>850</v>
      </c>
      <c r="Q43" s="220" t="s">
        <v>850</v>
      </c>
      <c r="R43" s="220" t="s">
        <v>850</v>
      </c>
      <c r="S43" s="220" t="s">
        <v>850</v>
      </c>
      <c r="T43" s="220" t="s">
        <v>850</v>
      </c>
      <c r="U43" s="224" t="s">
        <v>850</v>
      </c>
      <c r="V43" s="209" t="s">
        <v>1644</v>
      </c>
      <c r="W43" s="210" t="s">
        <v>1644</v>
      </c>
      <c r="X43" s="210" t="s">
        <v>1644</v>
      </c>
      <c r="Y43" s="210" t="s">
        <v>1644</v>
      </c>
      <c r="Z43" s="210" t="s">
        <v>1644</v>
      </c>
      <c r="AA43" s="210" t="s">
        <v>1644</v>
      </c>
      <c r="AB43" s="210" t="s">
        <v>1644</v>
      </c>
      <c r="AC43" s="210" t="s">
        <v>1644</v>
      </c>
      <c r="AD43" s="210" t="s">
        <v>1644</v>
      </c>
      <c r="AE43" s="210" t="s">
        <v>1644</v>
      </c>
      <c r="AF43" s="210" t="s">
        <v>1644</v>
      </c>
      <c r="AG43" s="211" t="s">
        <v>1644</v>
      </c>
      <c r="AH43" s="212" t="s">
        <v>1644</v>
      </c>
      <c r="AI43" s="213" t="s">
        <v>1644</v>
      </c>
      <c r="AJ43" s="213" t="s">
        <v>1644</v>
      </c>
      <c r="AK43" s="213" t="s">
        <v>1644</v>
      </c>
      <c r="AL43" s="213" t="s">
        <v>1644</v>
      </c>
      <c r="AM43" s="213" t="s">
        <v>1644</v>
      </c>
      <c r="AN43" s="213" t="s">
        <v>1644</v>
      </c>
      <c r="AO43" s="213" t="s">
        <v>1644</v>
      </c>
      <c r="AP43" s="213" t="s">
        <v>1644</v>
      </c>
      <c r="AQ43" s="213" t="s">
        <v>1644</v>
      </c>
      <c r="AR43" s="213" t="s">
        <v>1644</v>
      </c>
      <c r="AS43" s="214" t="s">
        <v>1644</v>
      </c>
    </row>
    <row r="44" spans="1:45" ht="15.75" thickBot="1" x14ac:dyDescent="0.3">
      <c r="A44" s="212" t="s">
        <v>1275</v>
      </c>
      <c r="B44" s="48" t="s">
        <v>1276</v>
      </c>
      <c r="C44" s="214" t="s">
        <v>817</v>
      </c>
      <c r="D44" s="225"/>
      <c r="E44" s="226"/>
      <c r="F44" s="226"/>
      <c r="G44" s="220" t="s">
        <v>850</v>
      </c>
      <c r="H44" s="220" t="s">
        <v>850</v>
      </c>
      <c r="I44" s="220" t="s">
        <v>850</v>
      </c>
      <c r="J44" s="220" t="s">
        <v>850</v>
      </c>
      <c r="K44" s="220" t="s">
        <v>850</v>
      </c>
      <c r="L44" s="220" t="s">
        <v>850</v>
      </c>
      <c r="M44" s="220" t="s">
        <v>850</v>
      </c>
      <c r="N44" s="220" t="s">
        <v>850</v>
      </c>
      <c r="O44" s="220" t="s">
        <v>850</v>
      </c>
      <c r="P44" s="220" t="s">
        <v>850</v>
      </c>
      <c r="Q44" s="220" t="s">
        <v>850</v>
      </c>
      <c r="R44" s="220" t="s">
        <v>850</v>
      </c>
      <c r="S44" s="220" t="s">
        <v>850</v>
      </c>
      <c r="T44" s="220" t="s">
        <v>850</v>
      </c>
      <c r="U44" s="224" t="s">
        <v>850</v>
      </c>
      <c r="V44" s="209" t="s">
        <v>1644</v>
      </c>
      <c r="W44" s="210" t="s">
        <v>1644</v>
      </c>
      <c r="X44" s="210" t="s">
        <v>1644</v>
      </c>
      <c r="Y44" s="210" t="s">
        <v>1644</v>
      </c>
      <c r="Z44" s="210" t="s">
        <v>1644</v>
      </c>
      <c r="AA44" s="210" t="s">
        <v>1644</v>
      </c>
      <c r="AB44" s="210" t="s">
        <v>1644</v>
      </c>
      <c r="AC44" s="210" t="s">
        <v>1644</v>
      </c>
      <c r="AD44" s="210" t="s">
        <v>1644</v>
      </c>
      <c r="AE44" s="210" t="s">
        <v>1644</v>
      </c>
      <c r="AF44" s="210" t="s">
        <v>1644</v>
      </c>
      <c r="AG44" s="211" t="s">
        <v>1644</v>
      </c>
      <c r="AH44" s="209" t="s">
        <v>1644</v>
      </c>
      <c r="AI44" s="210" t="s">
        <v>1644</v>
      </c>
      <c r="AJ44" s="210" t="s">
        <v>1644</v>
      </c>
      <c r="AK44" s="210" t="s">
        <v>1644</v>
      </c>
      <c r="AL44" s="210" t="s">
        <v>1644</v>
      </c>
      <c r="AM44" s="210" t="s">
        <v>1644</v>
      </c>
      <c r="AN44" s="210" t="s">
        <v>1644</v>
      </c>
      <c r="AO44" s="210" t="s">
        <v>1644</v>
      </c>
      <c r="AP44" s="210" t="s">
        <v>1644</v>
      </c>
      <c r="AQ44" s="210" t="s">
        <v>1644</v>
      </c>
      <c r="AR44" s="210" t="s">
        <v>1644</v>
      </c>
      <c r="AS44" s="211" t="s">
        <v>1644</v>
      </c>
    </row>
    <row r="45" spans="1:45" ht="15.75" thickBot="1" x14ac:dyDescent="0.3">
      <c r="A45" s="212" t="s">
        <v>1283</v>
      </c>
      <c r="B45" s="48" t="s">
        <v>1284</v>
      </c>
      <c r="C45" s="214" t="s">
        <v>817</v>
      </c>
      <c r="D45" s="223" t="s">
        <v>850</v>
      </c>
      <c r="E45" s="220" t="s">
        <v>850</v>
      </c>
      <c r="F45" s="220" t="s">
        <v>850</v>
      </c>
      <c r="G45" s="220" t="s">
        <v>850</v>
      </c>
      <c r="H45" s="220" t="s">
        <v>850</v>
      </c>
      <c r="I45" s="220" t="s">
        <v>850</v>
      </c>
      <c r="J45" s="220" t="s">
        <v>850</v>
      </c>
      <c r="K45" s="220" t="s">
        <v>850</v>
      </c>
      <c r="L45" s="220" t="s">
        <v>850</v>
      </c>
      <c r="M45" s="220" t="s">
        <v>850</v>
      </c>
      <c r="N45" s="220" t="s">
        <v>850</v>
      </c>
      <c r="O45" s="220" t="s">
        <v>850</v>
      </c>
      <c r="P45" s="221">
        <v>1</v>
      </c>
      <c r="Q45" s="219">
        <v>500</v>
      </c>
      <c r="R45" s="219">
        <v>1500</v>
      </c>
      <c r="S45" s="221">
        <v>23</v>
      </c>
      <c r="T45" s="219">
        <v>13000</v>
      </c>
      <c r="U45" s="222">
        <v>13566</v>
      </c>
      <c r="V45" s="209" t="s">
        <v>1644</v>
      </c>
      <c r="W45" s="210" t="s">
        <v>1644</v>
      </c>
      <c r="X45" s="210" t="s">
        <v>1644</v>
      </c>
      <c r="Y45" s="210" t="s">
        <v>1644</v>
      </c>
      <c r="Z45" s="210" t="s">
        <v>1644</v>
      </c>
      <c r="AA45" s="210" t="s">
        <v>1644</v>
      </c>
      <c r="AB45" s="210" t="s">
        <v>1644</v>
      </c>
      <c r="AC45" s="210" t="s">
        <v>1644</v>
      </c>
      <c r="AD45" s="210" t="s">
        <v>1644</v>
      </c>
      <c r="AE45" s="210" t="s">
        <v>1644</v>
      </c>
      <c r="AF45" s="210" t="s">
        <v>1644</v>
      </c>
      <c r="AG45" s="211" t="s">
        <v>1644</v>
      </c>
      <c r="AH45" s="209" t="s">
        <v>1644</v>
      </c>
      <c r="AI45" s="210" t="s">
        <v>1644</v>
      </c>
      <c r="AJ45" s="210" t="s">
        <v>1644</v>
      </c>
      <c r="AK45" s="210" t="s">
        <v>1644</v>
      </c>
      <c r="AL45" s="210" t="s">
        <v>1644</v>
      </c>
      <c r="AM45" s="210" t="s">
        <v>1644</v>
      </c>
      <c r="AN45" s="210" t="s">
        <v>1644</v>
      </c>
      <c r="AO45" s="210" t="s">
        <v>1644</v>
      </c>
      <c r="AP45" s="210" t="s">
        <v>1644</v>
      </c>
      <c r="AQ45" s="210" t="s">
        <v>1644</v>
      </c>
      <c r="AR45" s="210" t="s">
        <v>1644</v>
      </c>
      <c r="AS45" s="211" t="s">
        <v>1644</v>
      </c>
    </row>
    <row r="46" spans="1:45" ht="15.75" thickBot="1" x14ac:dyDescent="0.3">
      <c r="A46" s="212" t="s">
        <v>1303</v>
      </c>
      <c r="B46" s="48" t="s">
        <v>1304</v>
      </c>
      <c r="C46" s="214" t="s">
        <v>817</v>
      </c>
      <c r="D46" s="218">
        <v>20</v>
      </c>
      <c r="E46" s="219">
        <v>12735</v>
      </c>
      <c r="F46" s="219">
        <v>12735</v>
      </c>
      <c r="G46" s="227"/>
      <c r="H46" s="226"/>
      <c r="I46" s="226"/>
      <c r="J46" s="227"/>
      <c r="K46" s="226"/>
      <c r="L46" s="226"/>
      <c r="M46" s="227"/>
      <c r="N46" s="226"/>
      <c r="O46" s="226"/>
      <c r="P46" s="227"/>
      <c r="Q46" s="226"/>
      <c r="R46" s="226"/>
      <c r="S46" s="221" t="s">
        <v>3453</v>
      </c>
      <c r="T46" s="219">
        <v>2880</v>
      </c>
      <c r="U46" s="222">
        <v>2880</v>
      </c>
      <c r="V46" s="209" t="s">
        <v>1644</v>
      </c>
      <c r="W46" s="210" t="s">
        <v>1644</v>
      </c>
      <c r="X46" s="210" t="s">
        <v>1644</v>
      </c>
      <c r="Y46" s="210" t="s">
        <v>1644</v>
      </c>
      <c r="Z46" s="210" t="s">
        <v>1644</v>
      </c>
      <c r="AA46" s="210" t="s">
        <v>1644</v>
      </c>
      <c r="AB46" s="210" t="s">
        <v>1644</v>
      </c>
      <c r="AC46" s="210" t="s">
        <v>1644</v>
      </c>
      <c r="AD46" s="210" t="s">
        <v>1644</v>
      </c>
      <c r="AE46" s="210" t="s">
        <v>1644</v>
      </c>
      <c r="AF46" s="210" t="s">
        <v>1644</v>
      </c>
      <c r="AG46" s="211" t="s">
        <v>1644</v>
      </c>
      <c r="AH46" s="209" t="s">
        <v>1644</v>
      </c>
      <c r="AI46" s="210" t="s">
        <v>1644</v>
      </c>
      <c r="AJ46" s="210" t="s">
        <v>1644</v>
      </c>
      <c r="AK46" s="210" t="s">
        <v>1644</v>
      </c>
      <c r="AL46" s="210" t="s">
        <v>1644</v>
      </c>
      <c r="AM46" s="210" t="s">
        <v>1644</v>
      </c>
      <c r="AN46" s="210" t="s">
        <v>1644</v>
      </c>
      <c r="AO46" s="210" t="s">
        <v>1644</v>
      </c>
      <c r="AP46" s="210" t="s">
        <v>1644</v>
      </c>
      <c r="AQ46" s="210" t="s">
        <v>1644</v>
      </c>
      <c r="AR46" s="210" t="s">
        <v>1644</v>
      </c>
      <c r="AS46" s="211" t="s">
        <v>1644</v>
      </c>
    </row>
    <row r="47" spans="1:45" ht="15.75" thickBot="1" x14ac:dyDescent="0.3">
      <c r="A47" s="212" t="s">
        <v>1319</v>
      </c>
      <c r="B47" s="48" t="s">
        <v>1320</v>
      </c>
      <c r="C47" s="214" t="s">
        <v>817</v>
      </c>
      <c r="D47" s="218">
        <v>27</v>
      </c>
      <c r="E47" s="219">
        <v>14196</v>
      </c>
      <c r="F47" s="219">
        <v>20280</v>
      </c>
      <c r="G47" s="220" t="s">
        <v>850</v>
      </c>
      <c r="H47" s="220" t="s">
        <v>850</v>
      </c>
      <c r="I47" s="220" t="s">
        <v>850</v>
      </c>
      <c r="J47" s="221">
        <v>17</v>
      </c>
      <c r="K47" s="219">
        <v>9724</v>
      </c>
      <c r="L47" s="219">
        <v>9724</v>
      </c>
      <c r="M47" s="221">
        <v>17</v>
      </c>
      <c r="N47" s="219">
        <v>9061</v>
      </c>
      <c r="O47" s="219">
        <v>9061</v>
      </c>
      <c r="P47" s="220" t="s">
        <v>850</v>
      </c>
      <c r="Q47" s="220" t="s">
        <v>850</v>
      </c>
      <c r="R47" s="220" t="s">
        <v>850</v>
      </c>
      <c r="S47" s="221">
        <v>15</v>
      </c>
      <c r="T47" s="219">
        <v>9061</v>
      </c>
      <c r="U47" s="222">
        <v>11700</v>
      </c>
      <c r="V47" s="212" t="s">
        <v>1644</v>
      </c>
      <c r="W47" s="213" t="s">
        <v>1644</v>
      </c>
      <c r="X47" s="213" t="s">
        <v>1644</v>
      </c>
      <c r="Y47" s="213" t="s">
        <v>1644</v>
      </c>
      <c r="Z47" s="213" t="s">
        <v>1644</v>
      </c>
      <c r="AA47" s="210" t="s">
        <v>1644</v>
      </c>
      <c r="AB47" s="213" t="s">
        <v>1643</v>
      </c>
      <c r="AC47" s="213" t="s">
        <v>1643</v>
      </c>
      <c r="AD47" s="213" t="s">
        <v>1644</v>
      </c>
      <c r="AE47" s="213" t="s">
        <v>1644</v>
      </c>
      <c r="AF47" s="213" t="s">
        <v>1643</v>
      </c>
      <c r="AG47" s="214" t="s">
        <v>1643</v>
      </c>
      <c r="AH47" s="212" t="s">
        <v>1644</v>
      </c>
      <c r="AI47" s="213" t="s">
        <v>1644</v>
      </c>
      <c r="AJ47" s="213" t="s">
        <v>1644</v>
      </c>
      <c r="AK47" s="213" t="s">
        <v>1644</v>
      </c>
      <c r="AL47" s="213" t="s">
        <v>1644</v>
      </c>
      <c r="AM47" s="213" t="s">
        <v>1643</v>
      </c>
      <c r="AN47" s="213" t="s">
        <v>1643</v>
      </c>
      <c r="AO47" s="213" t="s">
        <v>1643</v>
      </c>
      <c r="AP47" s="213" t="s">
        <v>1644</v>
      </c>
      <c r="AQ47" s="213" t="s">
        <v>1644</v>
      </c>
      <c r="AR47" s="213" t="s">
        <v>1644</v>
      </c>
      <c r="AS47" s="214" t="s">
        <v>1643</v>
      </c>
    </row>
    <row r="48" spans="1:45" ht="15.75" thickBot="1" x14ac:dyDescent="0.3">
      <c r="A48" s="212" t="s">
        <v>1333</v>
      </c>
      <c r="B48" s="48" t="s">
        <v>1334</v>
      </c>
      <c r="C48" s="214" t="s">
        <v>817</v>
      </c>
      <c r="D48" s="223" t="s">
        <v>850</v>
      </c>
      <c r="E48" s="220" t="s">
        <v>850</v>
      </c>
      <c r="F48" s="220" t="s">
        <v>850</v>
      </c>
      <c r="G48" s="220" t="s">
        <v>850</v>
      </c>
      <c r="H48" s="220" t="s">
        <v>850</v>
      </c>
      <c r="I48" s="220" t="s">
        <v>850</v>
      </c>
      <c r="J48" s="220" t="s">
        <v>850</v>
      </c>
      <c r="K48" s="220" t="s">
        <v>850</v>
      </c>
      <c r="L48" s="220" t="s">
        <v>850</v>
      </c>
      <c r="M48" s="221">
        <v>20</v>
      </c>
      <c r="N48" s="219">
        <v>5000</v>
      </c>
      <c r="O48" s="219">
        <v>15000</v>
      </c>
      <c r="P48" s="220" t="s">
        <v>850</v>
      </c>
      <c r="Q48" s="220" t="s">
        <v>850</v>
      </c>
      <c r="R48" s="220" t="s">
        <v>850</v>
      </c>
      <c r="S48" s="220" t="s">
        <v>850</v>
      </c>
      <c r="T48" s="220" t="s">
        <v>850</v>
      </c>
      <c r="U48" s="224" t="s">
        <v>850</v>
      </c>
      <c r="V48" s="209" t="s">
        <v>1644</v>
      </c>
      <c r="W48" s="210" t="s">
        <v>1644</v>
      </c>
      <c r="X48" s="210" t="s">
        <v>1644</v>
      </c>
      <c r="Y48" s="210" t="s">
        <v>1644</v>
      </c>
      <c r="Z48" s="210" t="s">
        <v>1644</v>
      </c>
      <c r="AA48" s="210" t="s">
        <v>1644</v>
      </c>
      <c r="AB48" s="210" t="s">
        <v>1644</v>
      </c>
      <c r="AC48" s="210" t="s">
        <v>1644</v>
      </c>
      <c r="AD48" s="210" t="s">
        <v>1644</v>
      </c>
      <c r="AE48" s="210" t="s">
        <v>1644</v>
      </c>
      <c r="AF48" s="210" t="s">
        <v>1644</v>
      </c>
      <c r="AG48" s="211" t="s">
        <v>1644</v>
      </c>
      <c r="AH48" s="212" t="s">
        <v>1644</v>
      </c>
      <c r="AI48" s="213" t="s">
        <v>1644</v>
      </c>
      <c r="AJ48" s="213" t="s">
        <v>1644</v>
      </c>
      <c r="AK48" s="213" t="s">
        <v>1644</v>
      </c>
      <c r="AL48" s="213" t="s">
        <v>1644</v>
      </c>
      <c r="AM48" s="213" t="s">
        <v>1644</v>
      </c>
      <c r="AN48" s="213" t="s">
        <v>1644</v>
      </c>
      <c r="AO48" s="213" t="s">
        <v>1644</v>
      </c>
      <c r="AP48" s="213" t="s">
        <v>1644</v>
      </c>
      <c r="AQ48" s="213" t="s">
        <v>1644</v>
      </c>
      <c r="AR48" s="213" t="s">
        <v>1643</v>
      </c>
      <c r="AS48" s="214" t="s">
        <v>1644</v>
      </c>
    </row>
    <row r="49" spans="1:45" ht="15.75" thickBot="1" x14ac:dyDescent="0.3">
      <c r="A49" s="212" t="s">
        <v>1337</v>
      </c>
      <c r="B49" s="48" t="s">
        <v>1338</v>
      </c>
      <c r="C49" s="214" t="s">
        <v>817</v>
      </c>
      <c r="D49" s="223" t="s">
        <v>850</v>
      </c>
      <c r="E49" s="220" t="s">
        <v>850</v>
      </c>
      <c r="F49" s="220" t="s">
        <v>850</v>
      </c>
      <c r="G49" s="220" t="s">
        <v>850</v>
      </c>
      <c r="H49" s="220" t="s">
        <v>850</v>
      </c>
      <c r="I49" s="220" t="s">
        <v>850</v>
      </c>
      <c r="J49" s="220" t="s">
        <v>850</v>
      </c>
      <c r="K49" s="220" t="s">
        <v>850</v>
      </c>
      <c r="L49" s="220" t="s">
        <v>850</v>
      </c>
      <c r="M49" s="220" t="s">
        <v>850</v>
      </c>
      <c r="N49" s="220" t="s">
        <v>850</v>
      </c>
      <c r="O49" s="220" t="s">
        <v>850</v>
      </c>
      <c r="P49" s="220" t="s">
        <v>850</v>
      </c>
      <c r="Q49" s="220" t="s">
        <v>850</v>
      </c>
      <c r="R49" s="220" t="s">
        <v>850</v>
      </c>
      <c r="S49" s="220" t="s">
        <v>850</v>
      </c>
      <c r="T49" s="220" t="s">
        <v>850</v>
      </c>
      <c r="U49" s="224" t="s">
        <v>850</v>
      </c>
      <c r="V49" s="209" t="s">
        <v>1644</v>
      </c>
      <c r="W49" s="210" t="s">
        <v>1644</v>
      </c>
      <c r="X49" s="210" t="s">
        <v>1644</v>
      </c>
      <c r="Y49" s="210" t="s">
        <v>1644</v>
      </c>
      <c r="Z49" s="210" t="s">
        <v>1644</v>
      </c>
      <c r="AA49" s="210" t="s">
        <v>1644</v>
      </c>
      <c r="AB49" s="210" t="s">
        <v>1644</v>
      </c>
      <c r="AC49" s="210" t="s">
        <v>1644</v>
      </c>
      <c r="AD49" s="210" t="s">
        <v>1644</v>
      </c>
      <c r="AE49" s="210" t="s">
        <v>1644</v>
      </c>
      <c r="AF49" s="210" t="s">
        <v>1644</v>
      </c>
      <c r="AG49" s="211" t="s">
        <v>1644</v>
      </c>
      <c r="AH49" s="212" t="s">
        <v>1643</v>
      </c>
      <c r="AI49" s="213" t="s">
        <v>1643</v>
      </c>
      <c r="AJ49" s="210" t="s">
        <v>1644</v>
      </c>
      <c r="AK49" s="213" t="s">
        <v>1643</v>
      </c>
      <c r="AL49" s="213" t="s">
        <v>1643</v>
      </c>
      <c r="AM49" s="213" t="s">
        <v>1643</v>
      </c>
      <c r="AN49" s="213" t="s">
        <v>1643</v>
      </c>
      <c r="AO49" s="213" t="s">
        <v>1643</v>
      </c>
      <c r="AP49" s="213" t="s">
        <v>1644</v>
      </c>
      <c r="AQ49" s="213" t="s">
        <v>1643</v>
      </c>
      <c r="AR49" s="213" t="s">
        <v>1643</v>
      </c>
      <c r="AS49" s="214" t="s">
        <v>1643</v>
      </c>
    </row>
    <row r="50" spans="1:45" ht="15.75" thickBot="1" x14ac:dyDescent="0.3">
      <c r="A50" s="212" t="s">
        <v>1359</v>
      </c>
      <c r="B50" s="48" t="s">
        <v>1360</v>
      </c>
      <c r="C50" s="214" t="s">
        <v>817</v>
      </c>
      <c r="D50" s="223" t="s">
        <v>850</v>
      </c>
      <c r="E50" s="220" t="s">
        <v>850</v>
      </c>
      <c r="F50" s="220" t="s">
        <v>850</v>
      </c>
      <c r="G50" s="220" t="s">
        <v>850</v>
      </c>
      <c r="H50" s="220" t="s">
        <v>850</v>
      </c>
      <c r="I50" s="220" t="s">
        <v>850</v>
      </c>
      <c r="J50" s="221">
        <v>16</v>
      </c>
      <c r="K50" s="220" t="s">
        <v>850</v>
      </c>
      <c r="L50" s="220" t="s">
        <v>850</v>
      </c>
      <c r="M50" s="220" t="s">
        <v>850</v>
      </c>
      <c r="N50" s="220" t="s">
        <v>850</v>
      </c>
      <c r="O50" s="220" t="s">
        <v>850</v>
      </c>
      <c r="P50" s="220" t="s">
        <v>850</v>
      </c>
      <c r="Q50" s="220" t="s">
        <v>850</v>
      </c>
      <c r="R50" s="220" t="s">
        <v>850</v>
      </c>
      <c r="S50" s="220" t="s">
        <v>850</v>
      </c>
      <c r="T50" s="220" t="s">
        <v>850</v>
      </c>
      <c r="U50" s="224" t="s">
        <v>850</v>
      </c>
      <c r="V50" s="209" t="s">
        <v>1644</v>
      </c>
      <c r="W50" s="210" t="s">
        <v>1644</v>
      </c>
      <c r="X50" s="210" t="s">
        <v>1644</v>
      </c>
      <c r="Y50" s="210" t="s">
        <v>1644</v>
      </c>
      <c r="Z50" s="210" t="s">
        <v>1644</v>
      </c>
      <c r="AA50" s="210" t="s">
        <v>1644</v>
      </c>
      <c r="AB50" s="210" t="s">
        <v>1644</v>
      </c>
      <c r="AC50" s="210" t="s">
        <v>1644</v>
      </c>
      <c r="AD50" s="210" t="s">
        <v>1644</v>
      </c>
      <c r="AE50" s="210" t="s">
        <v>1644</v>
      </c>
      <c r="AF50" s="210" t="s">
        <v>1644</v>
      </c>
      <c r="AG50" s="211" t="s">
        <v>1644</v>
      </c>
      <c r="AH50" s="212" t="s">
        <v>1644</v>
      </c>
      <c r="AI50" s="213" t="s">
        <v>1644</v>
      </c>
      <c r="AJ50" s="213" t="s">
        <v>1644</v>
      </c>
      <c r="AK50" s="213" t="s">
        <v>1644</v>
      </c>
      <c r="AL50" s="213" t="s">
        <v>1644</v>
      </c>
      <c r="AM50" s="213" t="s">
        <v>1643</v>
      </c>
      <c r="AN50" s="213" t="s">
        <v>1643</v>
      </c>
      <c r="AO50" s="213" t="s">
        <v>1643</v>
      </c>
      <c r="AP50" s="213" t="s">
        <v>1644</v>
      </c>
      <c r="AQ50" s="213" t="s">
        <v>1644</v>
      </c>
      <c r="AR50" s="213" t="s">
        <v>1643</v>
      </c>
      <c r="AS50" s="214" t="s">
        <v>1643</v>
      </c>
    </row>
    <row r="51" spans="1:45" ht="15.75" thickBot="1" x14ac:dyDescent="0.3">
      <c r="A51" s="212" t="s">
        <v>1397</v>
      </c>
      <c r="B51" s="48" t="s">
        <v>1398</v>
      </c>
      <c r="C51" s="214" t="s">
        <v>817</v>
      </c>
      <c r="D51" s="223" t="s">
        <v>850</v>
      </c>
      <c r="E51" s="220" t="s">
        <v>850</v>
      </c>
      <c r="F51" s="220" t="s">
        <v>850</v>
      </c>
      <c r="G51" s="220" t="s">
        <v>850</v>
      </c>
      <c r="H51" s="220" t="s">
        <v>850</v>
      </c>
      <c r="I51" s="220" t="s">
        <v>850</v>
      </c>
      <c r="J51" s="220" t="s">
        <v>850</v>
      </c>
      <c r="K51" s="220" t="s">
        <v>850</v>
      </c>
      <c r="L51" s="220" t="s">
        <v>850</v>
      </c>
      <c r="M51" s="220" t="s">
        <v>850</v>
      </c>
      <c r="N51" s="220" t="s">
        <v>850</v>
      </c>
      <c r="O51" s="220" t="s">
        <v>850</v>
      </c>
      <c r="P51" s="220" t="s">
        <v>850</v>
      </c>
      <c r="Q51" s="220" t="s">
        <v>850</v>
      </c>
      <c r="R51" s="220" t="s">
        <v>850</v>
      </c>
      <c r="S51" s="221">
        <v>6</v>
      </c>
      <c r="T51" s="219">
        <v>3367</v>
      </c>
      <c r="U51" s="222">
        <v>11337</v>
      </c>
      <c r="V51" s="212" t="s">
        <v>1644</v>
      </c>
      <c r="W51" s="213" t="s">
        <v>1644</v>
      </c>
      <c r="X51" s="213" t="s">
        <v>1644</v>
      </c>
      <c r="Y51" s="213" t="s">
        <v>1644</v>
      </c>
      <c r="Z51" s="213" t="s">
        <v>1644</v>
      </c>
      <c r="AA51" s="213" t="s">
        <v>1644</v>
      </c>
      <c r="AB51" s="213" t="s">
        <v>1644</v>
      </c>
      <c r="AC51" s="213" t="s">
        <v>1644</v>
      </c>
      <c r="AD51" s="213" t="s">
        <v>1644</v>
      </c>
      <c r="AE51" s="213" t="s">
        <v>1644</v>
      </c>
      <c r="AF51" s="213" t="s">
        <v>1644</v>
      </c>
      <c r="AG51" s="214" t="s">
        <v>1644</v>
      </c>
      <c r="AH51" s="212" t="s">
        <v>1644</v>
      </c>
      <c r="AI51" s="213" t="s">
        <v>1644</v>
      </c>
      <c r="AJ51" s="213" t="s">
        <v>1644</v>
      </c>
      <c r="AK51" s="213" t="s">
        <v>1644</v>
      </c>
      <c r="AL51" s="213" t="s">
        <v>1644</v>
      </c>
      <c r="AM51" s="213" t="s">
        <v>1644</v>
      </c>
      <c r="AN51" s="213" t="s">
        <v>1644</v>
      </c>
      <c r="AO51" s="213" t="s">
        <v>1644</v>
      </c>
      <c r="AP51" s="213" t="s">
        <v>1644</v>
      </c>
      <c r="AQ51" s="213" t="s">
        <v>1644</v>
      </c>
      <c r="AR51" s="213" t="s">
        <v>1644</v>
      </c>
      <c r="AS51" s="214" t="s">
        <v>1644</v>
      </c>
    </row>
    <row r="52" spans="1:45" ht="15.75" thickBot="1" x14ac:dyDescent="0.3">
      <c r="A52" s="212" t="s">
        <v>1407</v>
      </c>
      <c r="B52" s="48" t="s">
        <v>1408</v>
      </c>
      <c r="C52" s="214" t="s">
        <v>817</v>
      </c>
      <c r="D52" s="225"/>
      <c r="E52" s="226"/>
      <c r="F52" s="226"/>
      <c r="G52" s="227"/>
      <c r="H52" s="226"/>
      <c r="I52" s="226"/>
      <c r="J52" s="227"/>
      <c r="K52" s="226"/>
      <c r="L52" s="226"/>
      <c r="M52" s="227"/>
      <c r="N52" s="226"/>
      <c r="O52" s="226"/>
      <c r="P52" s="227"/>
      <c r="Q52" s="226"/>
      <c r="R52" s="226"/>
      <c r="S52" s="227"/>
      <c r="T52" s="226"/>
      <c r="U52" s="228"/>
      <c r="V52" s="209" t="s">
        <v>1644</v>
      </c>
      <c r="W52" s="210" t="s">
        <v>1644</v>
      </c>
      <c r="X52" s="210" t="s">
        <v>1644</v>
      </c>
      <c r="Y52" s="210" t="s">
        <v>1644</v>
      </c>
      <c r="Z52" s="210" t="s">
        <v>1644</v>
      </c>
      <c r="AA52" s="210" t="s">
        <v>1644</v>
      </c>
      <c r="AB52" s="210" t="s">
        <v>1644</v>
      </c>
      <c r="AC52" s="210" t="s">
        <v>1644</v>
      </c>
      <c r="AD52" s="210" t="s">
        <v>1644</v>
      </c>
      <c r="AE52" s="210" t="s">
        <v>1644</v>
      </c>
      <c r="AF52" s="210" t="s">
        <v>1644</v>
      </c>
      <c r="AG52" s="211" t="s">
        <v>1644</v>
      </c>
      <c r="AH52" s="209" t="s">
        <v>1644</v>
      </c>
      <c r="AI52" s="210" t="s">
        <v>1644</v>
      </c>
      <c r="AJ52" s="210" t="s">
        <v>1644</v>
      </c>
      <c r="AK52" s="210" t="s">
        <v>1644</v>
      </c>
      <c r="AL52" s="210" t="s">
        <v>1644</v>
      </c>
      <c r="AM52" s="210" t="s">
        <v>1644</v>
      </c>
      <c r="AN52" s="210" t="s">
        <v>1644</v>
      </c>
      <c r="AO52" s="210" t="s">
        <v>1644</v>
      </c>
      <c r="AP52" s="210" t="s">
        <v>1644</v>
      </c>
      <c r="AQ52" s="210" t="s">
        <v>1644</v>
      </c>
      <c r="AR52" s="210" t="s">
        <v>1644</v>
      </c>
      <c r="AS52" s="211" t="s">
        <v>1644</v>
      </c>
    </row>
    <row r="53" spans="1:45" ht="15.75" thickBot="1" x14ac:dyDescent="0.3">
      <c r="A53" s="212" t="s">
        <v>1409</v>
      </c>
      <c r="B53" s="48" t="s">
        <v>1410</v>
      </c>
      <c r="C53" s="214" t="s">
        <v>817</v>
      </c>
      <c r="D53" s="218">
        <v>15</v>
      </c>
      <c r="E53" s="219">
        <v>8385</v>
      </c>
      <c r="F53" s="219">
        <v>10621</v>
      </c>
      <c r="G53" s="220" t="s">
        <v>850</v>
      </c>
      <c r="H53" s="220" t="s">
        <v>850</v>
      </c>
      <c r="I53" s="220" t="s">
        <v>850</v>
      </c>
      <c r="J53" s="220" t="s">
        <v>850</v>
      </c>
      <c r="K53" s="220" t="s">
        <v>850</v>
      </c>
      <c r="L53" s="220" t="s">
        <v>850</v>
      </c>
      <c r="M53" s="220" t="s">
        <v>850</v>
      </c>
      <c r="N53" s="220" t="s">
        <v>850</v>
      </c>
      <c r="O53" s="220" t="s">
        <v>850</v>
      </c>
      <c r="P53" s="220" t="s">
        <v>850</v>
      </c>
      <c r="Q53" s="220" t="s">
        <v>850</v>
      </c>
      <c r="R53" s="220" t="s">
        <v>850</v>
      </c>
      <c r="S53" s="221">
        <v>8</v>
      </c>
      <c r="T53" s="219">
        <v>4056</v>
      </c>
      <c r="U53" s="222">
        <v>6084</v>
      </c>
      <c r="V53" s="212" t="s">
        <v>1644</v>
      </c>
      <c r="W53" s="213" t="s">
        <v>1644</v>
      </c>
      <c r="X53" s="213" t="s">
        <v>1644</v>
      </c>
      <c r="Y53" s="213" t="s">
        <v>1644</v>
      </c>
      <c r="Z53" s="213" t="s">
        <v>1644</v>
      </c>
      <c r="AA53" s="213" t="s">
        <v>1644</v>
      </c>
      <c r="AB53" s="213" t="s">
        <v>1644</v>
      </c>
      <c r="AC53" s="213" t="s">
        <v>1644</v>
      </c>
      <c r="AD53" s="213" t="s">
        <v>1644</v>
      </c>
      <c r="AE53" s="213" t="s">
        <v>1644</v>
      </c>
      <c r="AF53" s="213" t="s">
        <v>1644</v>
      </c>
      <c r="AG53" s="214" t="s">
        <v>1644</v>
      </c>
      <c r="AH53" s="212" t="s">
        <v>1644</v>
      </c>
      <c r="AI53" s="213" t="s">
        <v>1644</v>
      </c>
      <c r="AJ53" s="213" t="s">
        <v>1644</v>
      </c>
      <c r="AK53" s="213" t="s">
        <v>1644</v>
      </c>
      <c r="AL53" s="213" t="s">
        <v>1644</v>
      </c>
      <c r="AM53" s="213" t="s">
        <v>1644</v>
      </c>
      <c r="AN53" s="213" t="s">
        <v>1644</v>
      </c>
      <c r="AO53" s="213" t="s">
        <v>1644</v>
      </c>
      <c r="AP53" s="213" t="s">
        <v>1644</v>
      </c>
      <c r="AQ53" s="213" t="s">
        <v>1644</v>
      </c>
      <c r="AR53" s="213" t="s">
        <v>1644</v>
      </c>
      <c r="AS53" s="214" t="s">
        <v>1644</v>
      </c>
    </row>
    <row r="54" spans="1:45" ht="15.75" thickBot="1" x14ac:dyDescent="0.3">
      <c r="A54" s="212" t="s">
        <v>1413</v>
      </c>
      <c r="B54" s="48" t="s">
        <v>1414</v>
      </c>
      <c r="C54" s="214" t="s">
        <v>817</v>
      </c>
      <c r="D54" s="223" t="s">
        <v>850</v>
      </c>
      <c r="E54" s="220" t="s">
        <v>850</v>
      </c>
      <c r="F54" s="220" t="s">
        <v>850</v>
      </c>
      <c r="G54" s="220" t="s">
        <v>850</v>
      </c>
      <c r="H54" s="220" t="s">
        <v>850</v>
      </c>
      <c r="I54" s="220" t="s">
        <v>850</v>
      </c>
      <c r="J54" s="220" t="s">
        <v>850</v>
      </c>
      <c r="K54" s="220" t="s">
        <v>850</v>
      </c>
      <c r="L54" s="220" t="s">
        <v>850</v>
      </c>
      <c r="M54" s="220" t="s">
        <v>850</v>
      </c>
      <c r="N54" s="220" t="s">
        <v>850</v>
      </c>
      <c r="O54" s="220" t="s">
        <v>850</v>
      </c>
      <c r="P54" s="220" t="s">
        <v>850</v>
      </c>
      <c r="Q54" s="220" t="s">
        <v>850</v>
      </c>
      <c r="R54" s="220" t="s">
        <v>850</v>
      </c>
      <c r="S54" s="221">
        <v>29</v>
      </c>
      <c r="T54" s="219">
        <v>12094</v>
      </c>
      <c r="U54" s="222">
        <v>14703</v>
      </c>
      <c r="V54" s="212" t="s">
        <v>1644</v>
      </c>
      <c r="W54" s="213" t="s">
        <v>1644</v>
      </c>
      <c r="X54" s="213" t="s">
        <v>1644</v>
      </c>
      <c r="Y54" s="213" t="s">
        <v>1644</v>
      </c>
      <c r="Z54" s="213" t="s">
        <v>1644</v>
      </c>
      <c r="AA54" s="213" t="s">
        <v>1644</v>
      </c>
      <c r="AB54" s="213" t="s">
        <v>1644</v>
      </c>
      <c r="AC54" s="213" t="s">
        <v>1644</v>
      </c>
      <c r="AD54" s="213" t="s">
        <v>1644</v>
      </c>
      <c r="AE54" s="213" t="s">
        <v>1644</v>
      </c>
      <c r="AF54" s="213" t="s">
        <v>1644</v>
      </c>
      <c r="AG54" s="214" t="s">
        <v>1644</v>
      </c>
      <c r="AH54" s="212" t="s">
        <v>1644</v>
      </c>
      <c r="AI54" s="213" t="s">
        <v>1644</v>
      </c>
      <c r="AJ54" s="213" t="s">
        <v>1644</v>
      </c>
      <c r="AK54" s="213" t="s">
        <v>1644</v>
      </c>
      <c r="AL54" s="213" t="s">
        <v>1644</v>
      </c>
      <c r="AM54" s="213" t="s">
        <v>1644</v>
      </c>
      <c r="AN54" s="213" t="s">
        <v>1644</v>
      </c>
      <c r="AO54" s="213" t="s">
        <v>1644</v>
      </c>
      <c r="AP54" s="213" t="s">
        <v>1644</v>
      </c>
      <c r="AQ54" s="213" t="s">
        <v>1644</v>
      </c>
      <c r="AR54" s="213" t="s">
        <v>1644</v>
      </c>
      <c r="AS54" s="214" t="s">
        <v>1644</v>
      </c>
    </row>
    <row r="55" spans="1:45" ht="15.75" thickBot="1" x14ac:dyDescent="0.3">
      <c r="A55" s="212" t="s">
        <v>1415</v>
      </c>
      <c r="B55" s="48" t="s">
        <v>1416</v>
      </c>
      <c r="C55" s="214" t="s">
        <v>817</v>
      </c>
      <c r="D55" s="225"/>
      <c r="E55" s="226"/>
      <c r="F55" s="226"/>
      <c r="G55" s="227"/>
      <c r="H55" s="226"/>
      <c r="I55" s="226"/>
      <c r="J55" s="227"/>
      <c r="K55" s="226"/>
      <c r="L55" s="229"/>
      <c r="M55" s="227"/>
      <c r="N55" s="226"/>
      <c r="O55" s="226"/>
      <c r="P55" s="227"/>
      <c r="Q55" s="226"/>
      <c r="R55" s="226"/>
      <c r="S55" s="227"/>
      <c r="T55" s="226"/>
      <c r="U55" s="228"/>
      <c r="V55" s="209" t="s">
        <v>1644</v>
      </c>
      <c r="W55" s="210" t="s">
        <v>1644</v>
      </c>
      <c r="X55" s="210" t="s">
        <v>1644</v>
      </c>
      <c r="Y55" s="210" t="s">
        <v>1644</v>
      </c>
      <c r="Z55" s="210" t="s">
        <v>1644</v>
      </c>
      <c r="AA55" s="210" t="s">
        <v>1644</v>
      </c>
      <c r="AB55" s="210" t="s">
        <v>1644</v>
      </c>
      <c r="AC55" s="210" t="s">
        <v>1644</v>
      </c>
      <c r="AD55" s="210" t="s">
        <v>1644</v>
      </c>
      <c r="AE55" s="210" t="s">
        <v>1644</v>
      </c>
      <c r="AF55" s="210" t="s">
        <v>1644</v>
      </c>
      <c r="AG55" s="211" t="s">
        <v>1644</v>
      </c>
      <c r="AH55" s="209" t="s">
        <v>1644</v>
      </c>
      <c r="AI55" s="210" t="s">
        <v>1644</v>
      </c>
      <c r="AJ55" s="210" t="s">
        <v>1644</v>
      </c>
      <c r="AK55" s="210" t="s">
        <v>1644</v>
      </c>
      <c r="AL55" s="210" t="s">
        <v>1644</v>
      </c>
      <c r="AM55" s="210" t="s">
        <v>1644</v>
      </c>
      <c r="AN55" s="210" t="s">
        <v>1644</v>
      </c>
      <c r="AO55" s="210" t="s">
        <v>1644</v>
      </c>
      <c r="AP55" s="210" t="s">
        <v>1644</v>
      </c>
      <c r="AQ55" s="210" t="s">
        <v>1644</v>
      </c>
      <c r="AR55" s="210" t="s">
        <v>1644</v>
      </c>
      <c r="AS55" s="211" t="s">
        <v>1644</v>
      </c>
    </row>
    <row r="56" spans="1:45" ht="15.75" thickBot="1" x14ac:dyDescent="0.3">
      <c r="A56" s="212" t="s">
        <v>1459</v>
      </c>
      <c r="B56" s="48" t="s">
        <v>1460</v>
      </c>
      <c r="C56" s="214" t="s">
        <v>817</v>
      </c>
      <c r="D56" s="223" t="s">
        <v>850</v>
      </c>
      <c r="E56" s="220" t="s">
        <v>850</v>
      </c>
      <c r="F56" s="220" t="s">
        <v>850</v>
      </c>
      <c r="G56" s="220" t="s">
        <v>850</v>
      </c>
      <c r="H56" s="220" t="s">
        <v>850</v>
      </c>
      <c r="I56" s="220" t="s">
        <v>850</v>
      </c>
      <c r="J56" s="221">
        <v>29</v>
      </c>
      <c r="K56" s="219">
        <v>18352</v>
      </c>
      <c r="L56" s="219">
        <v>19100</v>
      </c>
      <c r="M56" s="221">
        <v>20</v>
      </c>
      <c r="N56" s="219">
        <v>9817</v>
      </c>
      <c r="O56" s="219">
        <v>12420</v>
      </c>
      <c r="P56" s="220" t="s">
        <v>850</v>
      </c>
      <c r="Q56" s="220" t="s">
        <v>850</v>
      </c>
      <c r="R56" s="220" t="s">
        <v>850</v>
      </c>
      <c r="S56" s="221">
        <v>20</v>
      </c>
      <c r="T56" s="219">
        <v>9817</v>
      </c>
      <c r="U56" s="222">
        <v>12420</v>
      </c>
      <c r="V56" s="212" t="s">
        <v>1644</v>
      </c>
      <c r="W56" s="213" t="s">
        <v>1644</v>
      </c>
      <c r="X56" s="213" t="s">
        <v>1644</v>
      </c>
      <c r="Y56" s="213" t="s">
        <v>1644</v>
      </c>
      <c r="Z56" s="213" t="s">
        <v>1644</v>
      </c>
      <c r="AA56" s="213" t="s">
        <v>1644</v>
      </c>
      <c r="AB56" s="213" t="s">
        <v>1644</v>
      </c>
      <c r="AC56" s="213" t="s">
        <v>1644</v>
      </c>
      <c r="AD56" s="213" t="s">
        <v>1644</v>
      </c>
      <c r="AE56" s="213" t="s">
        <v>1644</v>
      </c>
      <c r="AF56" s="213" t="s">
        <v>1643</v>
      </c>
      <c r="AG56" s="214" t="s">
        <v>1644</v>
      </c>
      <c r="AH56" s="212" t="s">
        <v>1644</v>
      </c>
      <c r="AI56" s="213" t="s">
        <v>1644</v>
      </c>
      <c r="AJ56" s="213" t="s">
        <v>1644</v>
      </c>
      <c r="AK56" s="213" t="s">
        <v>1644</v>
      </c>
      <c r="AL56" s="213" t="s">
        <v>1644</v>
      </c>
      <c r="AM56" s="213" t="s">
        <v>1644</v>
      </c>
      <c r="AN56" s="213" t="s">
        <v>1644</v>
      </c>
      <c r="AO56" s="213" t="s">
        <v>1644</v>
      </c>
      <c r="AP56" s="213" t="s">
        <v>1644</v>
      </c>
      <c r="AQ56" s="213" t="s">
        <v>1644</v>
      </c>
      <c r="AR56" s="213" t="s">
        <v>1644</v>
      </c>
      <c r="AS56" s="214" t="s">
        <v>1644</v>
      </c>
    </row>
    <row r="57" spans="1:45" ht="15.75" thickBot="1" x14ac:dyDescent="0.3">
      <c r="A57" s="212" t="s">
        <v>1465</v>
      </c>
      <c r="B57" s="48" t="s">
        <v>1466</v>
      </c>
      <c r="C57" s="214" t="s">
        <v>817</v>
      </c>
      <c r="D57" s="225"/>
      <c r="E57" s="226"/>
      <c r="F57" s="226"/>
      <c r="G57" s="227"/>
      <c r="H57" s="226"/>
      <c r="I57" s="226"/>
      <c r="J57" s="227"/>
      <c r="K57" s="226"/>
      <c r="L57" s="226"/>
      <c r="M57" s="227"/>
      <c r="N57" s="226"/>
      <c r="O57" s="226"/>
      <c r="P57" s="227"/>
      <c r="Q57" s="226"/>
      <c r="R57" s="226"/>
      <c r="S57" s="221">
        <v>14</v>
      </c>
      <c r="T57" s="219">
        <v>4600</v>
      </c>
      <c r="U57" s="222">
        <v>10400</v>
      </c>
      <c r="V57" s="209" t="s">
        <v>1644</v>
      </c>
      <c r="W57" s="210" t="s">
        <v>1644</v>
      </c>
      <c r="X57" s="210" t="s">
        <v>1644</v>
      </c>
      <c r="Y57" s="210" t="s">
        <v>1644</v>
      </c>
      <c r="Z57" s="210" t="s">
        <v>1644</v>
      </c>
      <c r="AA57" s="210" t="s">
        <v>1644</v>
      </c>
      <c r="AB57" s="210" t="s">
        <v>1644</v>
      </c>
      <c r="AC57" s="210" t="s">
        <v>1644</v>
      </c>
      <c r="AD57" s="210" t="s">
        <v>1644</v>
      </c>
      <c r="AE57" s="210" t="s">
        <v>1644</v>
      </c>
      <c r="AF57" s="210" t="s">
        <v>1644</v>
      </c>
      <c r="AG57" s="211" t="s">
        <v>1644</v>
      </c>
      <c r="AH57" s="212" t="s">
        <v>1644</v>
      </c>
      <c r="AI57" s="213" t="s">
        <v>1644</v>
      </c>
      <c r="AJ57" s="213" t="s">
        <v>1644</v>
      </c>
      <c r="AK57" s="213" t="s">
        <v>1644</v>
      </c>
      <c r="AL57" s="213" t="s">
        <v>1644</v>
      </c>
      <c r="AM57" s="213" t="s">
        <v>1644</v>
      </c>
      <c r="AN57" s="213" t="s">
        <v>1644</v>
      </c>
      <c r="AO57" s="213" t="s">
        <v>1644</v>
      </c>
      <c r="AP57" s="213" t="s">
        <v>1644</v>
      </c>
      <c r="AQ57" s="213" t="s">
        <v>1644</v>
      </c>
      <c r="AR57" s="213" t="s">
        <v>1644</v>
      </c>
      <c r="AS57" s="214" t="s">
        <v>1644</v>
      </c>
    </row>
    <row r="58" spans="1:45" ht="15.75" thickBot="1" x14ac:dyDescent="0.3">
      <c r="A58" s="212" t="s">
        <v>1476</v>
      </c>
      <c r="B58" s="48" t="s">
        <v>1477</v>
      </c>
      <c r="C58" s="214" t="s">
        <v>817</v>
      </c>
      <c r="D58" s="223" t="s">
        <v>850</v>
      </c>
      <c r="E58" s="220" t="s">
        <v>850</v>
      </c>
      <c r="F58" s="220" t="s">
        <v>850</v>
      </c>
      <c r="G58" s="220" t="s">
        <v>850</v>
      </c>
      <c r="H58" s="220" t="s">
        <v>850</v>
      </c>
      <c r="I58" s="220" t="s">
        <v>850</v>
      </c>
      <c r="J58" s="220" t="s">
        <v>850</v>
      </c>
      <c r="K58" s="220" t="s">
        <v>850</v>
      </c>
      <c r="L58" s="220" t="s">
        <v>850</v>
      </c>
      <c r="M58" s="220" t="s">
        <v>850</v>
      </c>
      <c r="N58" s="220" t="s">
        <v>850</v>
      </c>
      <c r="O58" s="220" t="s">
        <v>850</v>
      </c>
      <c r="P58" s="220" t="s">
        <v>850</v>
      </c>
      <c r="Q58" s="220" t="s">
        <v>850</v>
      </c>
      <c r="R58" s="220" t="s">
        <v>850</v>
      </c>
      <c r="S58" s="221">
        <v>25</v>
      </c>
      <c r="T58" s="219">
        <v>12000</v>
      </c>
      <c r="U58" s="222">
        <v>14000</v>
      </c>
      <c r="V58" s="212" t="s">
        <v>1644</v>
      </c>
      <c r="W58" s="213" t="s">
        <v>1644</v>
      </c>
      <c r="X58" s="213" t="s">
        <v>1644</v>
      </c>
      <c r="Y58" s="213" t="s">
        <v>1644</v>
      </c>
      <c r="Z58" s="213" t="s">
        <v>1644</v>
      </c>
      <c r="AA58" s="213" t="s">
        <v>1644</v>
      </c>
      <c r="AB58" s="213" t="s">
        <v>1644</v>
      </c>
      <c r="AC58" s="213" t="s">
        <v>1644</v>
      </c>
      <c r="AD58" s="213" t="s">
        <v>1644</v>
      </c>
      <c r="AE58" s="213" t="s">
        <v>1644</v>
      </c>
      <c r="AF58" s="213" t="s">
        <v>1644</v>
      </c>
      <c r="AG58" s="214" t="s">
        <v>1644</v>
      </c>
      <c r="AH58" s="212" t="s">
        <v>1644</v>
      </c>
      <c r="AI58" s="213" t="s">
        <v>1644</v>
      </c>
      <c r="AJ58" s="213" t="s">
        <v>1644</v>
      </c>
      <c r="AK58" s="213" t="s">
        <v>1644</v>
      </c>
      <c r="AL58" s="213" t="s">
        <v>1644</v>
      </c>
      <c r="AM58" s="213" t="s">
        <v>1644</v>
      </c>
      <c r="AN58" s="213" t="s">
        <v>1644</v>
      </c>
      <c r="AO58" s="213" t="s">
        <v>1644</v>
      </c>
      <c r="AP58" s="213" t="s">
        <v>1644</v>
      </c>
      <c r="AQ58" s="213" t="s">
        <v>1644</v>
      </c>
      <c r="AR58" s="213" t="s">
        <v>1644</v>
      </c>
      <c r="AS58" s="214" t="s">
        <v>1644</v>
      </c>
    </row>
    <row r="59" spans="1:45" ht="15.75" thickBot="1" x14ac:dyDescent="0.3">
      <c r="A59" s="212" t="s">
        <v>1478</v>
      </c>
      <c r="B59" s="48" t="s">
        <v>1479</v>
      </c>
      <c r="C59" s="214" t="s">
        <v>817</v>
      </c>
      <c r="D59" s="223" t="s">
        <v>850</v>
      </c>
      <c r="E59" s="220" t="s">
        <v>850</v>
      </c>
      <c r="F59" s="220" t="s">
        <v>850</v>
      </c>
      <c r="G59" s="220" t="s">
        <v>850</v>
      </c>
      <c r="H59" s="220" t="s">
        <v>850</v>
      </c>
      <c r="I59" s="220" t="s">
        <v>850</v>
      </c>
      <c r="J59" s="220" t="s">
        <v>850</v>
      </c>
      <c r="K59" s="220" t="s">
        <v>850</v>
      </c>
      <c r="L59" s="220" t="s">
        <v>850</v>
      </c>
      <c r="M59" s="220" t="s">
        <v>850</v>
      </c>
      <c r="N59" s="220" t="s">
        <v>850</v>
      </c>
      <c r="O59" s="220" t="s">
        <v>850</v>
      </c>
      <c r="P59" s="220" t="s">
        <v>850</v>
      </c>
      <c r="Q59" s="220" t="s">
        <v>850</v>
      </c>
      <c r="R59" s="220" t="s">
        <v>850</v>
      </c>
      <c r="S59" s="221">
        <v>10</v>
      </c>
      <c r="T59" s="219">
        <v>4056</v>
      </c>
      <c r="U59" s="222">
        <v>5070</v>
      </c>
      <c r="V59" s="209" t="s">
        <v>1644</v>
      </c>
      <c r="W59" s="210" t="s">
        <v>1644</v>
      </c>
      <c r="X59" s="210" t="s">
        <v>1644</v>
      </c>
      <c r="Y59" s="210" t="s">
        <v>1644</v>
      </c>
      <c r="Z59" s="210" t="s">
        <v>1644</v>
      </c>
      <c r="AA59" s="210" t="s">
        <v>1644</v>
      </c>
      <c r="AB59" s="210" t="s">
        <v>1644</v>
      </c>
      <c r="AC59" s="210" t="s">
        <v>1644</v>
      </c>
      <c r="AD59" s="210" t="s">
        <v>1644</v>
      </c>
      <c r="AE59" s="210" t="s">
        <v>1644</v>
      </c>
      <c r="AF59" s="210" t="s">
        <v>1644</v>
      </c>
      <c r="AG59" s="211" t="s">
        <v>1644</v>
      </c>
      <c r="AH59" s="209" t="s">
        <v>1644</v>
      </c>
      <c r="AI59" s="210" t="s">
        <v>1644</v>
      </c>
      <c r="AJ59" s="210" t="s">
        <v>1644</v>
      </c>
      <c r="AK59" s="210" t="s">
        <v>1644</v>
      </c>
      <c r="AL59" s="210" t="s">
        <v>1644</v>
      </c>
      <c r="AM59" s="210" t="s">
        <v>1644</v>
      </c>
      <c r="AN59" s="210" t="s">
        <v>1644</v>
      </c>
      <c r="AO59" s="210" t="s">
        <v>1644</v>
      </c>
      <c r="AP59" s="210" t="s">
        <v>1644</v>
      </c>
      <c r="AQ59" s="210" t="s">
        <v>1644</v>
      </c>
      <c r="AR59" s="210" t="s">
        <v>1644</v>
      </c>
      <c r="AS59" s="211" t="s">
        <v>1644</v>
      </c>
    </row>
    <row r="60" spans="1:45" ht="15.75" thickBot="1" x14ac:dyDescent="0.3">
      <c r="A60" s="212" t="s">
        <v>1500</v>
      </c>
      <c r="B60" s="48" t="s">
        <v>1501</v>
      </c>
      <c r="C60" s="214" t="s">
        <v>817</v>
      </c>
      <c r="D60" s="223" t="s">
        <v>850</v>
      </c>
      <c r="E60" s="220" t="s">
        <v>850</v>
      </c>
      <c r="F60" s="220" t="s">
        <v>850</v>
      </c>
      <c r="G60" s="220" t="s">
        <v>850</v>
      </c>
      <c r="H60" s="220" t="s">
        <v>850</v>
      </c>
      <c r="I60" s="220" t="s">
        <v>850</v>
      </c>
      <c r="J60" s="220" t="s">
        <v>850</v>
      </c>
      <c r="K60" s="220" t="s">
        <v>850</v>
      </c>
      <c r="L60" s="220" t="s">
        <v>850</v>
      </c>
      <c r="M60" s="220" t="s">
        <v>850</v>
      </c>
      <c r="N60" s="220" t="s">
        <v>850</v>
      </c>
      <c r="O60" s="220" t="s">
        <v>850</v>
      </c>
      <c r="P60" s="220" t="s">
        <v>850</v>
      </c>
      <c r="Q60" s="220" t="s">
        <v>850</v>
      </c>
      <c r="R60" s="220" t="s">
        <v>850</v>
      </c>
      <c r="S60" s="221">
        <v>32</v>
      </c>
      <c r="T60" s="219">
        <v>16330</v>
      </c>
      <c r="U60" s="222">
        <v>17280</v>
      </c>
      <c r="V60" s="209" t="s">
        <v>1644</v>
      </c>
      <c r="W60" s="210" t="s">
        <v>1644</v>
      </c>
      <c r="X60" s="210" t="s">
        <v>1644</v>
      </c>
      <c r="Y60" s="210" t="s">
        <v>1644</v>
      </c>
      <c r="Z60" s="210" t="s">
        <v>1644</v>
      </c>
      <c r="AA60" s="210" t="s">
        <v>1644</v>
      </c>
      <c r="AB60" s="210" t="s">
        <v>1644</v>
      </c>
      <c r="AC60" s="210" t="s">
        <v>1644</v>
      </c>
      <c r="AD60" s="210" t="s">
        <v>1644</v>
      </c>
      <c r="AE60" s="210" t="s">
        <v>1644</v>
      </c>
      <c r="AF60" s="210" t="s">
        <v>1644</v>
      </c>
      <c r="AG60" s="211" t="s">
        <v>1644</v>
      </c>
      <c r="AH60" s="209" t="s">
        <v>1644</v>
      </c>
      <c r="AI60" s="210" t="s">
        <v>1644</v>
      </c>
      <c r="AJ60" s="210" t="s">
        <v>1644</v>
      </c>
      <c r="AK60" s="210" t="s">
        <v>1644</v>
      </c>
      <c r="AL60" s="210" t="s">
        <v>1644</v>
      </c>
      <c r="AM60" s="210" t="s">
        <v>1644</v>
      </c>
      <c r="AN60" s="210" t="s">
        <v>1644</v>
      </c>
      <c r="AO60" s="210" t="s">
        <v>1644</v>
      </c>
      <c r="AP60" s="210" t="s">
        <v>1644</v>
      </c>
      <c r="AQ60" s="210" t="s">
        <v>1644</v>
      </c>
      <c r="AR60" s="210" t="s">
        <v>1644</v>
      </c>
      <c r="AS60" s="211" t="s">
        <v>1644</v>
      </c>
    </row>
    <row r="61" spans="1:45" ht="15.75" thickBot="1" x14ac:dyDescent="0.3">
      <c r="A61" s="212" t="s">
        <v>1518</v>
      </c>
      <c r="B61" s="48" t="s">
        <v>1519</v>
      </c>
      <c r="C61" s="214" t="s">
        <v>817</v>
      </c>
      <c r="D61" s="223" t="s">
        <v>850</v>
      </c>
      <c r="E61" s="220" t="s">
        <v>850</v>
      </c>
      <c r="F61" s="220" t="s">
        <v>850</v>
      </c>
      <c r="G61" s="220" t="s">
        <v>850</v>
      </c>
      <c r="H61" s="220" t="s">
        <v>850</v>
      </c>
      <c r="I61" s="220" t="s">
        <v>850</v>
      </c>
      <c r="J61" s="220" t="s">
        <v>850</v>
      </c>
      <c r="K61" s="220" t="s">
        <v>850</v>
      </c>
      <c r="L61" s="220" t="s">
        <v>850</v>
      </c>
      <c r="M61" s="220" t="s">
        <v>850</v>
      </c>
      <c r="N61" s="220" t="s">
        <v>850</v>
      </c>
      <c r="O61" s="220" t="s">
        <v>850</v>
      </c>
      <c r="P61" s="220" t="s">
        <v>850</v>
      </c>
      <c r="Q61" s="220" t="s">
        <v>850</v>
      </c>
      <c r="R61" s="220" t="s">
        <v>850</v>
      </c>
      <c r="S61" s="221">
        <v>11</v>
      </c>
      <c r="T61" s="219">
        <v>3500</v>
      </c>
      <c r="U61" s="222">
        <v>5500</v>
      </c>
      <c r="V61" s="212" t="s">
        <v>1644</v>
      </c>
      <c r="W61" s="213" t="s">
        <v>1644</v>
      </c>
      <c r="X61" s="213" t="s">
        <v>1644</v>
      </c>
      <c r="Y61" s="213" t="s">
        <v>1644</v>
      </c>
      <c r="Z61" s="213" t="s">
        <v>1644</v>
      </c>
      <c r="AA61" s="213" t="s">
        <v>1644</v>
      </c>
      <c r="AB61" s="213" t="s">
        <v>1644</v>
      </c>
      <c r="AC61" s="213" t="s">
        <v>1644</v>
      </c>
      <c r="AD61" s="213" t="s">
        <v>1644</v>
      </c>
      <c r="AE61" s="213" t="s">
        <v>1644</v>
      </c>
      <c r="AF61" s="213" t="s">
        <v>1644</v>
      </c>
      <c r="AG61" s="214" t="s">
        <v>1644</v>
      </c>
      <c r="AH61" s="212" t="s">
        <v>1644</v>
      </c>
      <c r="AI61" s="213" t="s">
        <v>1644</v>
      </c>
      <c r="AJ61" s="213" t="s">
        <v>1644</v>
      </c>
      <c r="AK61" s="213" t="s">
        <v>1644</v>
      </c>
      <c r="AL61" s="213" t="s">
        <v>1644</v>
      </c>
      <c r="AM61" s="213" t="s">
        <v>1644</v>
      </c>
      <c r="AN61" s="213" t="s">
        <v>1644</v>
      </c>
      <c r="AO61" s="213" t="s">
        <v>1644</v>
      </c>
      <c r="AP61" s="213" t="s">
        <v>1644</v>
      </c>
      <c r="AQ61" s="213" t="s">
        <v>1644</v>
      </c>
      <c r="AR61" s="213" t="s">
        <v>1644</v>
      </c>
      <c r="AS61" s="214" t="s">
        <v>1644</v>
      </c>
    </row>
    <row r="62" spans="1:45" ht="15.75" thickBot="1" x14ac:dyDescent="0.3">
      <c r="A62" s="212" t="s">
        <v>1536</v>
      </c>
      <c r="B62" s="48" t="s">
        <v>1537</v>
      </c>
      <c r="C62" s="214" t="s">
        <v>817</v>
      </c>
      <c r="D62" s="223" t="s">
        <v>850</v>
      </c>
      <c r="E62" s="220" t="s">
        <v>850</v>
      </c>
      <c r="F62" s="220" t="s">
        <v>850</v>
      </c>
      <c r="G62" s="220" t="s">
        <v>850</v>
      </c>
      <c r="H62" s="220" t="s">
        <v>850</v>
      </c>
      <c r="I62" s="220" t="s">
        <v>850</v>
      </c>
      <c r="J62" s="221">
        <v>13</v>
      </c>
      <c r="K62" s="219">
        <v>6800</v>
      </c>
      <c r="L62" s="219">
        <v>8450</v>
      </c>
      <c r="M62" s="227"/>
      <c r="N62" s="226"/>
      <c r="O62" s="226"/>
      <c r="P62" s="220" t="s">
        <v>850</v>
      </c>
      <c r="Q62" s="220" t="s">
        <v>850</v>
      </c>
      <c r="R62" s="220" t="s">
        <v>850</v>
      </c>
      <c r="S62" s="227"/>
      <c r="T62" s="226"/>
      <c r="U62" s="228"/>
      <c r="V62" s="209" t="s">
        <v>1644</v>
      </c>
      <c r="W62" s="210" t="s">
        <v>1644</v>
      </c>
      <c r="X62" s="210" t="s">
        <v>1644</v>
      </c>
      <c r="Y62" s="210" t="s">
        <v>1644</v>
      </c>
      <c r="Z62" s="210" t="s">
        <v>1644</v>
      </c>
      <c r="AA62" s="210" t="s">
        <v>1644</v>
      </c>
      <c r="AB62" s="210" t="s">
        <v>1644</v>
      </c>
      <c r="AC62" s="210" t="s">
        <v>1644</v>
      </c>
      <c r="AD62" s="210" t="s">
        <v>1644</v>
      </c>
      <c r="AE62" s="210" t="s">
        <v>1644</v>
      </c>
      <c r="AF62" s="210" t="s">
        <v>1644</v>
      </c>
      <c r="AG62" s="211" t="s">
        <v>1644</v>
      </c>
      <c r="AH62" s="212" t="s">
        <v>1644</v>
      </c>
      <c r="AI62" s="213" t="s">
        <v>1644</v>
      </c>
      <c r="AJ62" s="213" t="s">
        <v>1644</v>
      </c>
      <c r="AK62" s="213" t="s">
        <v>1644</v>
      </c>
      <c r="AL62" s="213" t="s">
        <v>1644</v>
      </c>
      <c r="AM62" s="213" t="s">
        <v>1644</v>
      </c>
      <c r="AN62" s="213" t="s">
        <v>1644</v>
      </c>
      <c r="AO62" s="213" t="s">
        <v>1643</v>
      </c>
      <c r="AP62" s="213" t="s">
        <v>1644</v>
      </c>
      <c r="AQ62" s="213" t="s">
        <v>1644</v>
      </c>
      <c r="AR62" s="213" t="s">
        <v>1644</v>
      </c>
      <c r="AS62" s="214" t="s">
        <v>1644</v>
      </c>
    </row>
    <row r="63" spans="1:45" ht="15.75" thickBot="1" x14ac:dyDescent="0.3">
      <c r="A63" s="212" t="s">
        <v>1548</v>
      </c>
      <c r="B63" s="48" t="s">
        <v>1549</v>
      </c>
      <c r="C63" s="214" t="s">
        <v>817</v>
      </c>
      <c r="D63" s="218">
        <v>21</v>
      </c>
      <c r="E63" s="219">
        <v>13104</v>
      </c>
      <c r="F63" s="219">
        <v>14000</v>
      </c>
      <c r="G63" s="220" t="s">
        <v>850</v>
      </c>
      <c r="H63" s="220" t="s">
        <v>850</v>
      </c>
      <c r="I63" s="220" t="s">
        <v>850</v>
      </c>
      <c r="J63" s="220" t="s">
        <v>850</v>
      </c>
      <c r="K63" s="220" t="s">
        <v>850</v>
      </c>
      <c r="L63" s="220" t="s">
        <v>850</v>
      </c>
      <c r="M63" s="220" t="s">
        <v>850</v>
      </c>
      <c r="N63" s="220" t="s">
        <v>850</v>
      </c>
      <c r="O63" s="220" t="s">
        <v>850</v>
      </c>
      <c r="P63" s="220" t="s">
        <v>850</v>
      </c>
      <c r="Q63" s="220" t="s">
        <v>850</v>
      </c>
      <c r="R63" s="220" t="s">
        <v>850</v>
      </c>
      <c r="S63" s="220" t="s">
        <v>850</v>
      </c>
      <c r="T63" s="219">
        <v>6143</v>
      </c>
      <c r="U63" s="222">
        <v>6400</v>
      </c>
      <c r="V63" s="209" t="s">
        <v>1644</v>
      </c>
      <c r="W63" s="210" t="s">
        <v>1644</v>
      </c>
      <c r="X63" s="210" t="s">
        <v>1644</v>
      </c>
      <c r="Y63" s="210" t="s">
        <v>1644</v>
      </c>
      <c r="Z63" s="210" t="s">
        <v>1644</v>
      </c>
      <c r="AA63" s="210" t="s">
        <v>1644</v>
      </c>
      <c r="AB63" s="210" t="s">
        <v>1644</v>
      </c>
      <c r="AC63" s="210" t="s">
        <v>1644</v>
      </c>
      <c r="AD63" s="210" t="s">
        <v>1644</v>
      </c>
      <c r="AE63" s="210" t="s">
        <v>1644</v>
      </c>
      <c r="AF63" s="210" t="s">
        <v>1644</v>
      </c>
      <c r="AG63" s="211" t="s">
        <v>1644</v>
      </c>
      <c r="AH63" s="209" t="s">
        <v>1644</v>
      </c>
      <c r="AI63" s="210" t="s">
        <v>1644</v>
      </c>
      <c r="AJ63" s="210" t="s">
        <v>1644</v>
      </c>
      <c r="AK63" s="210" t="s">
        <v>1644</v>
      </c>
      <c r="AL63" s="210" t="s">
        <v>1644</v>
      </c>
      <c r="AM63" s="210" t="s">
        <v>1644</v>
      </c>
      <c r="AN63" s="210" t="s">
        <v>1644</v>
      </c>
      <c r="AO63" s="210" t="s">
        <v>1644</v>
      </c>
      <c r="AP63" s="210" t="s">
        <v>1644</v>
      </c>
      <c r="AQ63" s="210" t="s">
        <v>1644</v>
      </c>
      <c r="AR63" s="213" t="s">
        <v>1643</v>
      </c>
      <c r="AS63" s="211" t="s">
        <v>1644</v>
      </c>
    </row>
    <row r="64" spans="1:45" ht="15.75" thickBot="1" x14ac:dyDescent="0.3">
      <c r="A64" s="212" t="s">
        <v>1554</v>
      </c>
      <c r="B64" s="48" t="s">
        <v>1555</v>
      </c>
      <c r="C64" s="214" t="s">
        <v>817</v>
      </c>
      <c r="D64" s="223" t="s">
        <v>850</v>
      </c>
      <c r="E64" s="220" t="s">
        <v>850</v>
      </c>
      <c r="F64" s="220" t="s">
        <v>850</v>
      </c>
      <c r="G64" s="220" t="s">
        <v>850</v>
      </c>
      <c r="H64" s="220" t="s">
        <v>850</v>
      </c>
      <c r="I64" s="220" t="s">
        <v>850</v>
      </c>
      <c r="J64" s="220" t="s">
        <v>850</v>
      </c>
      <c r="K64" s="220" t="s">
        <v>850</v>
      </c>
      <c r="L64" s="220" t="s">
        <v>850</v>
      </c>
      <c r="M64" s="220" t="s">
        <v>850</v>
      </c>
      <c r="N64" s="220" t="s">
        <v>850</v>
      </c>
      <c r="O64" s="220" t="s">
        <v>850</v>
      </c>
      <c r="P64" s="220" t="s">
        <v>850</v>
      </c>
      <c r="Q64" s="220" t="s">
        <v>850</v>
      </c>
      <c r="R64" s="220" t="s">
        <v>850</v>
      </c>
      <c r="S64" s="221">
        <v>6</v>
      </c>
      <c r="T64" s="219">
        <v>2886</v>
      </c>
      <c r="U64" s="222">
        <v>2886</v>
      </c>
      <c r="V64" s="209" t="s">
        <v>1644</v>
      </c>
      <c r="W64" s="210" t="s">
        <v>1644</v>
      </c>
      <c r="X64" s="210" t="s">
        <v>1644</v>
      </c>
      <c r="Y64" s="210" t="s">
        <v>1644</v>
      </c>
      <c r="Z64" s="210" t="s">
        <v>1644</v>
      </c>
      <c r="AA64" s="210" t="s">
        <v>1644</v>
      </c>
      <c r="AB64" s="210" t="s">
        <v>1644</v>
      </c>
      <c r="AC64" s="210" t="s">
        <v>1644</v>
      </c>
      <c r="AD64" s="210" t="s">
        <v>1644</v>
      </c>
      <c r="AE64" s="210" t="s">
        <v>1644</v>
      </c>
      <c r="AF64" s="210" t="s">
        <v>1644</v>
      </c>
      <c r="AG64" s="211" t="s">
        <v>1644</v>
      </c>
      <c r="AH64" s="209" t="s">
        <v>1644</v>
      </c>
      <c r="AI64" s="210" t="s">
        <v>1644</v>
      </c>
      <c r="AJ64" s="210" t="s">
        <v>1644</v>
      </c>
      <c r="AK64" s="210" t="s">
        <v>1644</v>
      </c>
      <c r="AL64" s="210" t="s">
        <v>1644</v>
      </c>
      <c r="AM64" s="210" t="s">
        <v>1644</v>
      </c>
      <c r="AN64" s="210" t="s">
        <v>1644</v>
      </c>
      <c r="AO64" s="210" t="s">
        <v>1644</v>
      </c>
      <c r="AP64" s="210" t="s">
        <v>1644</v>
      </c>
      <c r="AQ64" s="210" t="s">
        <v>1644</v>
      </c>
      <c r="AR64" s="210" t="s">
        <v>1644</v>
      </c>
      <c r="AS64" s="211" t="s">
        <v>1644</v>
      </c>
    </row>
    <row r="65" spans="1:45" ht="15.75" thickBot="1" x14ac:dyDescent="0.3">
      <c r="A65" s="212" t="s">
        <v>1556</v>
      </c>
      <c r="B65" s="48" t="s">
        <v>1557</v>
      </c>
      <c r="C65" s="214" t="s">
        <v>817</v>
      </c>
      <c r="D65" s="223" t="s">
        <v>850</v>
      </c>
      <c r="E65" s="220" t="s">
        <v>850</v>
      </c>
      <c r="F65" s="220" t="s">
        <v>850</v>
      </c>
      <c r="G65" s="220" t="s">
        <v>850</v>
      </c>
      <c r="H65" s="220" t="s">
        <v>850</v>
      </c>
      <c r="I65" s="220" t="s">
        <v>850</v>
      </c>
      <c r="J65" s="220" t="s">
        <v>850</v>
      </c>
      <c r="K65" s="220" t="s">
        <v>850</v>
      </c>
      <c r="L65" s="220" t="s">
        <v>850</v>
      </c>
      <c r="M65" s="220" t="s">
        <v>850</v>
      </c>
      <c r="N65" s="220" t="s">
        <v>850</v>
      </c>
      <c r="O65" s="220" t="s">
        <v>850</v>
      </c>
      <c r="P65" s="220" t="s">
        <v>850</v>
      </c>
      <c r="Q65" s="220" t="s">
        <v>850</v>
      </c>
      <c r="R65" s="220" t="s">
        <v>850</v>
      </c>
      <c r="S65" s="221">
        <v>15</v>
      </c>
      <c r="T65" s="219">
        <v>6479</v>
      </c>
      <c r="U65" s="222">
        <v>6734</v>
      </c>
      <c r="V65" s="212" t="s">
        <v>1644</v>
      </c>
      <c r="W65" s="213" t="s">
        <v>1644</v>
      </c>
      <c r="X65" s="213" t="s">
        <v>1644</v>
      </c>
      <c r="Y65" s="213" t="s">
        <v>1644</v>
      </c>
      <c r="Z65" s="213" t="s">
        <v>1644</v>
      </c>
      <c r="AA65" s="213" t="s">
        <v>1643</v>
      </c>
      <c r="AB65" s="213" t="s">
        <v>1643</v>
      </c>
      <c r="AC65" s="213" t="s">
        <v>1643</v>
      </c>
      <c r="AD65" s="213" t="s">
        <v>1644</v>
      </c>
      <c r="AE65" s="213" t="s">
        <v>1644</v>
      </c>
      <c r="AF65" s="213" t="s">
        <v>1644</v>
      </c>
      <c r="AG65" s="214" t="s">
        <v>1644</v>
      </c>
      <c r="AH65" s="212" t="s">
        <v>1644</v>
      </c>
      <c r="AI65" s="213" t="s">
        <v>1644</v>
      </c>
      <c r="AJ65" s="213" t="s">
        <v>1644</v>
      </c>
      <c r="AK65" s="213" t="s">
        <v>1644</v>
      </c>
      <c r="AL65" s="213" t="s">
        <v>1644</v>
      </c>
      <c r="AM65" s="213" t="s">
        <v>1644</v>
      </c>
      <c r="AN65" s="213" t="s">
        <v>1644</v>
      </c>
      <c r="AO65" s="213" t="s">
        <v>1644</v>
      </c>
      <c r="AP65" s="213" t="s">
        <v>1644</v>
      </c>
      <c r="AQ65" s="210" t="s">
        <v>1644</v>
      </c>
      <c r="AR65" s="213" t="s">
        <v>1644</v>
      </c>
      <c r="AS65" s="214" t="s">
        <v>1644</v>
      </c>
    </row>
    <row r="66" spans="1:45" ht="15.75" thickBot="1" x14ac:dyDescent="0.3">
      <c r="A66" s="212" t="s">
        <v>1558</v>
      </c>
      <c r="B66" s="48" t="s">
        <v>1559</v>
      </c>
      <c r="C66" s="214" t="s">
        <v>817</v>
      </c>
      <c r="D66" s="223" t="s">
        <v>850</v>
      </c>
      <c r="E66" s="220" t="s">
        <v>850</v>
      </c>
      <c r="F66" s="220" t="s">
        <v>850</v>
      </c>
      <c r="G66" s="220" t="s">
        <v>850</v>
      </c>
      <c r="H66" s="220" t="s">
        <v>850</v>
      </c>
      <c r="I66" s="220" t="s">
        <v>850</v>
      </c>
      <c r="J66" s="220" t="s">
        <v>850</v>
      </c>
      <c r="K66" s="220" t="s">
        <v>850</v>
      </c>
      <c r="L66" s="220" t="s">
        <v>850</v>
      </c>
      <c r="M66" s="220" t="s">
        <v>850</v>
      </c>
      <c r="N66" s="220" t="s">
        <v>850</v>
      </c>
      <c r="O66" s="220" t="s">
        <v>850</v>
      </c>
      <c r="P66" s="220" t="s">
        <v>850</v>
      </c>
      <c r="Q66" s="220" t="s">
        <v>850</v>
      </c>
      <c r="R66" s="220" t="s">
        <v>850</v>
      </c>
      <c r="S66" s="220" t="s">
        <v>850</v>
      </c>
      <c r="T66" s="220" t="s">
        <v>850</v>
      </c>
      <c r="U66" s="224" t="s">
        <v>850</v>
      </c>
      <c r="V66" s="209" t="s">
        <v>1644</v>
      </c>
      <c r="W66" s="210" t="s">
        <v>1644</v>
      </c>
      <c r="X66" s="210" t="s">
        <v>1644</v>
      </c>
      <c r="Y66" s="210" t="s">
        <v>1644</v>
      </c>
      <c r="Z66" s="210" t="s">
        <v>1644</v>
      </c>
      <c r="AA66" s="210" t="s">
        <v>1644</v>
      </c>
      <c r="AB66" s="210" t="s">
        <v>1644</v>
      </c>
      <c r="AC66" s="210" t="s">
        <v>1644</v>
      </c>
      <c r="AD66" s="210" t="s">
        <v>1644</v>
      </c>
      <c r="AE66" s="210" t="s">
        <v>1644</v>
      </c>
      <c r="AF66" s="210" t="s">
        <v>1644</v>
      </c>
      <c r="AG66" s="211" t="s">
        <v>1644</v>
      </c>
      <c r="AH66" s="209" t="s">
        <v>1644</v>
      </c>
      <c r="AI66" s="210" t="s">
        <v>1644</v>
      </c>
      <c r="AJ66" s="210" t="s">
        <v>1644</v>
      </c>
      <c r="AK66" s="210" t="s">
        <v>1644</v>
      </c>
      <c r="AL66" s="210" t="s">
        <v>1644</v>
      </c>
      <c r="AM66" s="210" t="s">
        <v>1644</v>
      </c>
      <c r="AN66" s="210" t="s">
        <v>1644</v>
      </c>
      <c r="AO66" s="210" t="s">
        <v>1644</v>
      </c>
      <c r="AP66" s="210" t="s">
        <v>1644</v>
      </c>
      <c r="AQ66" s="210" t="s">
        <v>1644</v>
      </c>
      <c r="AR66" s="210" t="s">
        <v>1644</v>
      </c>
      <c r="AS66" s="211" t="s">
        <v>1644</v>
      </c>
    </row>
    <row r="67" spans="1:45" ht="15.75" thickBot="1" x14ac:dyDescent="0.3">
      <c r="A67" s="212" t="s">
        <v>1568</v>
      </c>
      <c r="B67" s="48" t="s">
        <v>1569</v>
      </c>
      <c r="C67" s="214" t="s">
        <v>817</v>
      </c>
      <c r="D67" s="225"/>
      <c r="E67" s="226"/>
      <c r="F67" s="226"/>
      <c r="G67" s="227"/>
      <c r="H67" s="226"/>
      <c r="I67" s="226"/>
      <c r="J67" s="227"/>
      <c r="K67" s="226"/>
      <c r="L67" s="226"/>
      <c r="M67" s="221" t="s">
        <v>3453</v>
      </c>
      <c r="N67" s="219">
        <v>0</v>
      </c>
      <c r="O67" s="219">
        <v>15000</v>
      </c>
      <c r="P67" s="227"/>
      <c r="Q67" s="226"/>
      <c r="R67" s="226"/>
      <c r="S67" s="227"/>
      <c r="T67" s="226"/>
      <c r="U67" s="228"/>
      <c r="V67" s="212" t="s">
        <v>1644</v>
      </c>
      <c r="W67" s="213" t="s">
        <v>1644</v>
      </c>
      <c r="X67" s="213" t="s">
        <v>1644</v>
      </c>
      <c r="Y67" s="213" t="s">
        <v>1644</v>
      </c>
      <c r="Z67" s="213" t="s">
        <v>1644</v>
      </c>
      <c r="AA67" s="213" t="s">
        <v>1644</v>
      </c>
      <c r="AB67" s="213" t="s">
        <v>1644</v>
      </c>
      <c r="AC67" s="213" t="s">
        <v>1644</v>
      </c>
      <c r="AD67" s="213" t="s">
        <v>1644</v>
      </c>
      <c r="AE67" s="213" t="s">
        <v>1644</v>
      </c>
      <c r="AF67" s="213" t="s">
        <v>1644</v>
      </c>
      <c r="AG67" s="214" t="s">
        <v>1644</v>
      </c>
      <c r="AH67" s="212" t="s">
        <v>1644</v>
      </c>
      <c r="AI67" s="213" t="s">
        <v>1644</v>
      </c>
      <c r="AJ67" s="213" t="s">
        <v>1644</v>
      </c>
      <c r="AK67" s="213" t="s">
        <v>1644</v>
      </c>
      <c r="AL67" s="213" t="s">
        <v>1644</v>
      </c>
      <c r="AM67" s="213" t="s">
        <v>1644</v>
      </c>
      <c r="AN67" s="213" t="s">
        <v>1644</v>
      </c>
      <c r="AO67" s="213" t="s">
        <v>1644</v>
      </c>
      <c r="AP67" s="213" t="s">
        <v>1644</v>
      </c>
      <c r="AQ67" s="213" t="s">
        <v>1644</v>
      </c>
      <c r="AR67" s="213" t="s">
        <v>1644</v>
      </c>
      <c r="AS67" s="214" t="s">
        <v>1644</v>
      </c>
    </row>
    <row r="68" spans="1:45" ht="15.75" thickBot="1" x14ac:dyDescent="0.3">
      <c r="A68" s="212" t="s">
        <v>1580</v>
      </c>
      <c r="B68" s="48" t="s">
        <v>1581</v>
      </c>
      <c r="C68" s="214" t="s">
        <v>817</v>
      </c>
      <c r="D68" s="225"/>
      <c r="E68" s="226"/>
      <c r="F68" s="226"/>
      <c r="G68" s="227"/>
      <c r="H68" s="226"/>
      <c r="I68" s="226"/>
      <c r="J68" s="221" t="s">
        <v>3453</v>
      </c>
      <c r="K68" s="219">
        <v>6442</v>
      </c>
      <c r="L68" s="219">
        <v>6734</v>
      </c>
      <c r="M68" s="221">
        <v>11</v>
      </c>
      <c r="N68" s="219">
        <v>5504</v>
      </c>
      <c r="O68" s="219">
        <v>5374</v>
      </c>
      <c r="P68" s="227"/>
      <c r="Q68" s="226"/>
      <c r="R68" s="226"/>
      <c r="S68" s="227"/>
      <c r="T68" s="226"/>
      <c r="U68" s="228"/>
      <c r="V68" s="212" t="s">
        <v>1644</v>
      </c>
      <c r="W68" s="213" t="s">
        <v>1644</v>
      </c>
      <c r="X68" s="213" t="s">
        <v>1644</v>
      </c>
      <c r="Y68" s="213" t="s">
        <v>1643</v>
      </c>
      <c r="Z68" s="213" t="s">
        <v>1644</v>
      </c>
      <c r="AA68" s="213" t="s">
        <v>1644</v>
      </c>
      <c r="AB68" s="213" t="s">
        <v>1643</v>
      </c>
      <c r="AC68" s="213" t="s">
        <v>1643</v>
      </c>
      <c r="AD68" s="213" t="s">
        <v>1643</v>
      </c>
      <c r="AE68" s="213" t="s">
        <v>1644</v>
      </c>
      <c r="AF68" s="213" t="s">
        <v>1644</v>
      </c>
      <c r="AG68" s="214" t="s">
        <v>1643</v>
      </c>
      <c r="AH68" s="212" t="s">
        <v>1644</v>
      </c>
      <c r="AI68" s="213" t="s">
        <v>1644</v>
      </c>
      <c r="AJ68" s="213" t="s">
        <v>1644</v>
      </c>
      <c r="AK68" s="213" t="s">
        <v>1644</v>
      </c>
      <c r="AL68" s="213" t="s">
        <v>1644</v>
      </c>
      <c r="AM68" s="213" t="s">
        <v>1644</v>
      </c>
      <c r="AN68" s="213" t="s">
        <v>1644</v>
      </c>
      <c r="AO68" s="213" t="s">
        <v>1644</v>
      </c>
      <c r="AP68" s="213" t="s">
        <v>1644</v>
      </c>
      <c r="AQ68" s="213" t="s">
        <v>1644</v>
      </c>
      <c r="AR68" s="213" t="s">
        <v>1644</v>
      </c>
      <c r="AS68" s="214" t="s">
        <v>1644</v>
      </c>
    </row>
    <row r="69" spans="1:45" ht="15.75" thickBot="1" x14ac:dyDescent="0.3">
      <c r="A69" s="212" t="s">
        <v>1592</v>
      </c>
      <c r="B69" s="48" t="s">
        <v>1593</v>
      </c>
      <c r="C69" s="214" t="s">
        <v>817</v>
      </c>
      <c r="D69" s="225"/>
      <c r="E69" s="226"/>
      <c r="F69" s="226"/>
      <c r="G69" s="227"/>
      <c r="H69" s="226"/>
      <c r="I69" s="226"/>
      <c r="J69" s="227"/>
      <c r="K69" s="226"/>
      <c r="L69" s="226"/>
      <c r="M69" s="227"/>
      <c r="N69" s="226"/>
      <c r="O69" s="226"/>
      <c r="P69" s="227"/>
      <c r="Q69" s="220"/>
      <c r="R69" s="220"/>
      <c r="S69" s="220"/>
      <c r="T69" s="220"/>
      <c r="U69" s="224"/>
      <c r="V69" s="209" t="s">
        <v>1644</v>
      </c>
      <c r="W69" s="210" t="s">
        <v>1644</v>
      </c>
      <c r="X69" s="210" t="s">
        <v>1644</v>
      </c>
      <c r="Y69" s="210" t="s">
        <v>1644</v>
      </c>
      <c r="Z69" s="210" t="s">
        <v>1644</v>
      </c>
      <c r="AA69" s="210" t="s">
        <v>1644</v>
      </c>
      <c r="AB69" s="210" t="s">
        <v>1644</v>
      </c>
      <c r="AC69" s="210" t="s">
        <v>1644</v>
      </c>
      <c r="AD69" s="210" t="s">
        <v>1644</v>
      </c>
      <c r="AE69" s="210" t="s">
        <v>1644</v>
      </c>
      <c r="AF69" s="210" t="s">
        <v>1644</v>
      </c>
      <c r="AG69" s="211" t="s">
        <v>1644</v>
      </c>
      <c r="AH69" s="209" t="s">
        <v>1644</v>
      </c>
      <c r="AI69" s="210" t="s">
        <v>1644</v>
      </c>
      <c r="AJ69" s="210" t="s">
        <v>1644</v>
      </c>
      <c r="AK69" s="210" t="s">
        <v>1644</v>
      </c>
      <c r="AL69" s="210" t="s">
        <v>1644</v>
      </c>
      <c r="AM69" s="210" t="s">
        <v>1644</v>
      </c>
      <c r="AN69" s="210" t="s">
        <v>1644</v>
      </c>
      <c r="AO69" s="210" t="s">
        <v>1644</v>
      </c>
      <c r="AP69" s="210" t="s">
        <v>1644</v>
      </c>
      <c r="AQ69" s="210" t="s">
        <v>1644</v>
      </c>
      <c r="AR69" s="210" t="s">
        <v>1644</v>
      </c>
      <c r="AS69" s="211" t="s">
        <v>1644</v>
      </c>
    </row>
    <row r="70" spans="1:45" ht="15.75" thickBot="1" x14ac:dyDescent="0.3">
      <c r="A70" s="212" t="s">
        <v>1600</v>
      </c>
      <c r="B70" s="48" t="s">
        <v>1601</v>
      </c>
      <c r="C70" s="214" t="s">
        <v>817</v>
      </c>
      <c r="D70" s="225"/>
      <c r="E70" s="226"/>
      <c r="F70" s="226"/>
      <c r="G70" s="227"/>
      <c r="H70" s="226"/>
      <c r="I70" s="226"/>
      <c r="J70" s="227"/>
      <c r="K70" s="226"/>
      <c r="L70" s="226"/>
      <c r="M70" s="227"/>
      <c r="N70" s="226"/>
      <c r="O70" s="226"/>
      <c r="P70" s="227"/>
      <c r="Q70" s="226"/>
      <c r="R70" s="226"/>
      <c r="S70" s="221">
        <v>14</v>
      </c>
      <c r="T70" s="219">
        <v>6397</v>
      </c>
      <c r="U70" s="222">
        <v>7993</v>
      </c>
      <c r="V70" s="209" t="s">
        <v>1644</v>
      </c>
      <c r="W70" s="210" t="s">
        <v>1644</v>
      </c>
      <c r="X70" s="210" t="s">
        <v>1644</v>
      </c>
      <c r="Y70" s="210" t="s">
        <v>1644</v>
      </c>
      <c r="Z70" s="210" t="s">
        <v>1644</v>
      </c>
      <c r="AA70" s="210" t="s">
        <v>1644</v>
      </c>
      <c r="AB70" s="210" t="s">
        <v>1644</v>
      </c>
      <c r="AC70" s="210" t="s">
        <v>1644</v>
      </c>
      <c r="AD70" s="210" t="s">
        <v>1644</v>
      </c>
      <c r="AE70" s="210" t="s">
        <v>1644</v>
      </c>
      <c r="AF70" s="210" t="s">
        <v>1644</v>
      </c>
      <c r="AG70" s="211" t="s">
        <v>1644</v>
      </c>
      <c r="AH70" s="209" t="s">
        <v>1644</v>
      </c>
      <c r="AI70" s="210" t="s">
        <v>1644</v>
      </c>
      <c r="AJ70" s="210" t="s">
        <v>1644</v>
      </c>
      <c r="AK70" s="210" t="s">
        <v>1644</v>
      </c>
      <c r="AL70" s="210" t="s">
        <v>1644</v>
      </c>
      <c r="AM70" s="210" t="s">
        <v>1644</v>
      </c>
      <c r="AN70" s="210" t="s">
        <v>1644</v>
      </c>
      <c r="AO70" s="210" t="s">
        <v>1644</v>
      </c>
      <c r="AP70" s="210" t="s">
        <v>1644</v>
      </c>
      <c r="AQ70" s="210" t="s">
        <v>1644</v>
      </c>
      <c r="AR70" s="210" t="s">
        <v>1644</v>
      </c>
      <c r="AS70" s="211" t="s">
        <v>1644</v>
      </c>
    </row>
    <row r="71" spans="1:45" ht="15.75" thickBot="1" x14ac:dyDescent="0.3">
      <c r="A71" s="212" t="s">
        <v>796</v>
      </c>
      <c r="B71" s="48" t="s">
        <v>797</v>
      </c>
      <c r="C71" s="214" t="s">
        <v>798</v>
      </c>
      <c r="D71" s="218">
        <v>20</v>
      </c>
      <c r="E71" s="219">
        <v>8000</v>
      </c>
      <c r="F71" s="219">
        <v>10000</v>
      </c>
      <c r="G71" s="227"/>
      <c r="H71" s="226"/>
      <c r="I71" s="226"/>
      <c r="J71" s="227"/>
      <c r="K71" s="226"/>
      <c r="L71" s="226"/>
      <c r="M71" s="227"/>
      <c r="N71" s="226"/>
      <c r="O71" s="226"/>
      <c r="P71" s="227"/>
      <c r="Q71" s="226"/>
      <c r="R71" s="226"/>
      <c r="S71" s="221">
        <v>20</v>
      </c>
      <c r="T71" s="219">
        <v>3000</v>
      </c>
      <c r="U71" s="222">
        <v>10000</v>
      </c>
      <c r="V71" s="212" t="s">
        <v>1644</v>
      </c>
      <c r="W71" s="213" t="s">
        <v>1644</v>
      </c>
      <c r="X71" s="213" t="s">
        <v>1644</v>
      </c>
      <c r="Y71" s="213" t="s">
        <v>1644</v>
      </c>
      <c r="Z71" s="213" t="s">
        <v>1644</v>
      </c>
      <c r="AA71" s="213" t="s">
        <v>1643</v>
      </c>
      <c r="AB71" s="213" t="s">
        <v>1643</v>
      </c>
      <c r="AC71" s="213" t="s">
        <v>1643</v>
      </c>
      <c r="AD71" s="213" t="s">
        <v>1644</v>
      </c>
      <c r="AE71" s="213" t="s">
        <v>1644</v>
      </c>
      <c r="AF71" s="213" t="s">
        <v>1643</v>
      </c>
      <c r="AG71" s="214" t="s">
        <v>1644</v>
      </c>
      <c r="AH71" s="212" t="s">
        <v>1644</v>
      </c>
      <c r="AI71" s="213" t="s">
        <v>1644</v>
      </c>
      <c r="AJ71" s="213" t="s">
        <v>1644</v>
      </c>
      <c r="AK71" s="213" t="s">
        <v>1644</v>
      </c>
      <c r="AL71" s="213" t="s">
        <v>1644</v>
      </c>
      <c r="AM71" s="213" t="s">
        <v>1643</v>
      </c>
      <c r="AN71" s="213" t="s">
        <v>1643</v>
      </c>
      <c r="AO71" s="213" t="s">
        <v>1643</v>
      </c>
      <c r="AP71" s="213" t="s">
        <v>1644</v>
      </c>
      <c r="AQ71" s="213" t="s">
        <v>1644</v>
      </c>
      <c r="AR71" s="213" t="s">
        <v>1643</v>
      </c>
      <c r="AS71" s="214" t="s">
        <v>1644</v>
      </c>
    </row>
    <row r="72" spans="1:45" ht="15.75" thickBot="1" x14ac:dyDescent="0.3">
      <c r="A72" s="212" t="s">
        <v>827</v>
      </c>
      <c r="B72" s="48" t="s">
        <v>828</v>
      </c>
      <c r="C72" s="214" t="s">
        <v>798</v>
      </c>
      <c r="D72" s="223" t="s">
        <v>850</v>
      </c>
      <c r="E72" s="220" t="s">
        <v>850</v>
      </c>
      <c r="F72" s="220" t="s">
        <v>850</v>
      </c>
      <c r="G72" s="221">
        <v>32</v>
      </c>
      <c r="H72" s="219">
        <v>21600</v>
      </c>
      <c r="I72" s="219">
        <v>25000</v>
      </c>
      <c r="J72" s="220" t="s">
        <v>850</v>
      </c>
      <c r="K72" s="220" t="s">
        <v>850</v>
      </c>
      <c r="L72" s="220" t="s">
        <v>850</v>
      </c>
      <c r="M72" s="220" t="s">
        <v>850</v>
      </c>
      <c r="N72" s="220" t="s">
        <v>850</v>
      </c>
      <c r="O72" s="220" t="s">
        <v>850</v>
      </c>
      <c r="P72" s="220" t="s">
        <v>850</v>
      </c>
      <c r="Q72" s="220" t="s">
        <v>850</v>
      </c>
      <c r="R72" s="220" t="s">
        <v>850</v>
      </c>
      <c r="S72" s="221">
        <v>32</v>
      </c>
      <c r="T72" s="219">
        <v>15000</v>
      </c>
      <c r="U72" s="222">
        <v>22000</v>
      </c>
      <c r="V72" s="212" t="s">
        <v>1643</v>
      </c>
      <c r="W72" s="213" t="s">
        <v>1644</v>
      </c>
      <c r="X72" s="213" t="s">
        <v>1644</v>
      </c>
      <c r="Y72" s="213" t="s">
        <v>1644</v>
      </c>
      <c r="Z72" s="213" t="s">
        <v>1644</v>
      </c>
      <c r="AA72" s="213" t="s">
        <v>1643</v>
      </c>
      <c r="AB72" s="213" t="s">
        <v>1643</v>
      </c>
      <c r="AC72" s="213" t="s">
        <v>1643</v>
      </c>
      <c r="AD72" s="213" t="s">
        <v>1644</v>
      </c>
      <c r="AE72" s="213" t="s">
        <v>1644</v>
      </c>
      <c r="AF72" s="213" t="s">
        <v>1643</v>
      </c>
      <c r="AG72" s="214" t="s">
        <v>1644</v>
      </c>
      <c r="AH72" s="212" t="s">
        <v>1644</v>
      </c>
      <c r="AI72" s="213" t="s">
        <v>1644</v>
      </c>
      <c r="AJ72" s="213" t="s">
        <v>1644</v>
      </c>
      <c r="AK72" s="213" t="s">
        <v>1644</v>
      </c>
      <c r="AL72" s="213" t="s">
        <v>1644</v>
      </c>
      <c r="AM72" s="213" t="s">
        <v>1643</v>
      </c>
      <c r="AN72" s="213" t="s">
        <v>1643</v>
      </c>
      <c r="AO72" s="213" t="s">
        <v>1643</v>
      </c>
      <c r="AP72" s="213" t="s">
        <v>1644</v>
      </c>
      <c r="AQ72" s="213" t="s">
        <v>1644</v>
      </c>
      <c r="AR72" s="213" t="s">
        <v>1643</v>
      </c>
      <c r="AS72" s="214" t="s">
        <v>1644</v>
      </c>
    </row>
    <row r="73" spans="1:45" ht="15.75" thickBot="1" x14ac:dyDescent="0.3">
      <c r="A73" s="212" t="s">
        <v>838</v>
      </c>
      <c r="B73" s="48" t="s">
        <v>839</v>
      </c>
      <c r="C73" s="214" t="s">
        <v>798</v>
      </c>
      <c r="D73" s="225"/>
      <c r="E73" s="226"/>
      <c r="F73" s="226"/>
      <c r="G73" s="227"/>
      <c r="H73" s="226"/>
      <c r="I73" s="226"/>
      <c r="J73" s="227"/>
      <c r="K73" s="226"/>
      <c r="L73" s="226"/>
      <c r="M73" s="227"/>
      <c r="N73" s="226"/>
      <c r="O73" s="226"/>
      <c r="P73" s="221">
        <v>20</v>
      </c>
      <c r="Q73" s="219">
        <v>14000</v>
      </c>
      <c r="R73" s="219">
        <v>18000</v>
      </c>
      <c r="S73" s="221">
        <v>20</v>
      </c>
      <c r="T73" s="219">
        <v>10000</v>
      </c>
      <c r="U73" s="222">
        <v>16000</v>
      </c>
      <c r="V73" s="212" t="s">
        <v>1644</v>
      </c>
      <c r="W73" s="213" t="s">
        <v>1644</v>
      </c>
      <c r="X73" s="213" t="s">
        <v>1644</v>
      </c>
      <c r="Y73" s="213" t="s">
        <v>1644</v>
      </c>
      <c r="Z73" s="213" t="s">
        <v>1644</v>
      </c>
      <c r="AA73" s="213" t="s">
        <v>1644</v>
      </c>
      <c r="AB73" s="213" t="s">
        <v>1643</v>
      </c>
      <c r="AC73" s="213" t="s">
        <v>1644</v>
      </c>
      <c r="AD73" s="213" t="s">
        <v>1644</v>
      </c>
      <c r="AE73" s="213" t="s">
        <v>1644</v>
      </c>
      <c r="AF73" s="213" t="s">
        <v>1644</v>
      </c>
      <c r="AG73" s="214" t="s">
        <v>1644</v>
      </c>
      <c r="AH73" s="212" t="s">
        <v>1644</v>
      </c>
      <c r="AI73" s="213" t="s">
        <v>1644</v>
      </c>
      <c r="AJ73" s="213" t="s">
        <v>1644</v>
      </c>
      <c r="AK73" s="213" t="s">
        <v>1644</v>
      </c>
      <c r="AL73" s="213" t="s">
        <v>1644</v>
      </c>
      <c r="AM73" s="213" t="s">
        <v>1644</v>
      </c>
      <c r="AN73" s="213" t="s">
        <v>1643</v>
      </c>
      <c r="AO73" s="213" t="s">
        <v>1644</v>
      </c>
      <c r="AP73" s="213" t="s">
        <v>1644</v>
      </c>
      <c r="AQ73" s="213" t="s">
        <v>1644</v>
      </c>
      <c r="AR73" s="213" t="s">
        <v>1644</v>
      </c>
      <c r="AS73" s="214" t="s">
        <v>1644</v>
      </c>
    </row>
    <row r="74" spans="1:45" ht="15.75" thickBot="1" x14ac:dyDescent="0.3">
      <c r="A74" s="212" t="s">
        <v>842</v>
      </c>
      <c r="B74" s="48" t="s">
        <v>843</v>
      </c>
      <c r="C74" s="214" t="s">
        <v>798</v>
      </c>
      <c r="D74" s="218">
        <v>12</v>
      </c>
      <c r="E74" s="219">
        <v>4976</v>
      </c>
      <c r="F74" s="219">
        <v>6396</v>
      </c>
      <c r="G74" s="220" t="s">
        <v>850</v>
      </c>
      <c r="H74" s="220" t="s">
        <v>850</v>
      </c>
      <c r="I74" s="220" t="s">
        <v>850</v>
      </c>
      <c r="J74" s="220" t="s">
        <v>850</v>
      </c>
      <c r="K74" s="220" t="s">
        <v>850</v>
      </c>
      <c r="L74" s="220" t="s">
        <v>850</v>
      </c>
      <c r="M74" s="221">
        <v>15</v>
      </c>
      <c r="N74" s="219">
        <v>11392</v>
      </c>
      <c r="O74" s="219">
        <v>12672</v>
      </c>
      <c r="P74" s="220" t="s">
        <v>850</v>
      </c>
      <c r="Q74" s="220" t="s">
        <v>850</v>
      </c>
      <c r="R74" s="220" t="s">
        <v>850</v>
      </c>
      <c r="S74" s="220" t="s">
        <v>850</v>
      </c>
      <c r="T74" s="220" t="s">
        <v>850</v>
      </c>
      <c r="U74" s="224" t="s">
        <v>850</v>
      </c>
      <c r="V74" s="209" t="s">
        <v>1644</v>
      </c>
      <c r="W74" s="210" t="s">
        <v>1644</v>
      </c>
      <c r="X74" s="210" t="s">
        <v>1644</v>
      </c>
      <c r="Y74" s="210" t="s">
        <v>1644</v>
      </c>
      <c r="Z74" s="210" t="s">
        <v>1644</v>
      </c>
      <c r="AA74" s="210" t="s">
        <v>1644</v>
      </c>
      <c r="AB74" s="210" t="s">
        <v>1644</v>
      </c>
      <c r="AC74" s="210" t="s">
        <v>1644</v>
      </c>
      <c r="AD74" s="210" t="s">
        <v>1644</v>
      </c>
      <c r="AE74" s="210" t="s">
        <v>1644</v>
      </c>
      <c r="AF74" s="210" t="s">
        <v>1644</v>
      </c>
      <c r="AG74" s="211" t="s">
        <v>1644</v>
      </c>
      <c r="AH74" s="209" t="s">
        <v>1644</v>
      </c>
      <c r="AI74" s="210" t="s">
        <v>1644</v>
      </c>
      <c r="AJ74" s="210" t="s">
        <v>1644</v>
      </c>
      <c r="AK74" s="210" t="s">
        <v>1644</v>
      </c>
      <c r="AL74" s="210" t="s">
        <v>1644</v>
      </c>
      <c r="AM74" s="210" t="s">
        <v>1644</v>
      </c>
      <c r="AN74" s="210" t="s">
        <v>1644</v>
      </c>
      <c r="AO74" s="210" t="s">
        <v>1644</v>
      </c>
      <c r="AP74" s="210" t="s">
        <v>1644</v>
      </c>
      <c r="AQ74" s="210" t="s">
        <v>1644</v>
      </c>
      <c r="AR74" s="210" t="s">
        <v>1644</v>
      </c>
      <c r="AS74" s="211" t="s">
        <v>1644</v>
      </c>
    </row>
    <row r="75" spans="1:45" ht="15.75" thickBot="1" x14ac:dyDescent="0.3">
      <c r="A75" s="212" t="s">
        <v>853</v>
      </c>
      <c r="B75" s="48" t="s">
        <v>854</v>
      </c>
      <c r="C75" s="214" t="s">
        <v>798</v>
      </c>
      <c r="D75" s="223" t="s">
        <v>850</v>
      </c>
      <c r="E75" s="220" t="s">
        <v>850</v>
      </c>
      <c r="F75" s="220" t="s">
        <v>850</v>
      </c>
      <c r="G75" s="220" t="s">
        <v>850</v>
      </c>
      <c r="H75" s="220" t="s">
        <v>850</v>
      </c>
      <c r="I75" s="220" t="s">
        <v>850</v>
      </c>
      <c r="J75" s="221">
        <v>25</v>
      </c>
      <c r="K75" s="219">
        <v>16000</v>
      </c>
      <c r="L75" s="219">
        <v>18000</v>
      </c>
      <c r="M75" s="221">
        <v>15</v>
      </c>
      <c r="N75" s="219">
        <v>8500</v>
      </c>
      <c r="O75" s="219">
        <v>10000</v>
      </c>
      <c r="P75" s="220" t="s">
        <v>850</v>
      </c>
      <c r="Q75" s="220" t="s">
        <v>850</v>
      </c>
      <c r="R75" s="220" t="s">
        <v>850</v>
      </c>
      <c r="S75" s="221">
        <v>10</v>
      </c>
      <c r="T75" s="219">
        <v>5200</v>
      </c>
      <c r="U75" s="222">
        <v>7000</v>
      </c>
      <c r="V75" s="212" t="s">
        <v>1644</v>
      </c>
      <c r="W75" s="213" t="s">
        <v>1644</v>
      </c>
      <c r="X75" s="213" t="s">
        <v>1644</v>
      </c>
      <c r="Y75" s="213" t="s">
        <v>1644</v>
      </c>
      <c r="Z75" s="213" t="s">
        <v>1644</v>
      </c>
      <c r="AA75" s="213" t="s">
        <v>1643</v>
      </c>
      <c r="AB75" s="213" t="s">
        <v>1643</v>
      </c>
      <c r="AC75" s="213" t="s">
        <v>1643</v>
      </c>
      <c r="AD75" s="213" t="s">
        <v>1644</v>
      </c>
      <c r="AE75" s="213" t="s">
        <v>1644</v>
      </c>
      <c r="AF75" s="213" t="s">
        <v>1643</v>
      </c>
      <c r="AG75" s="214" t="s">
        <v>1644</v>
      </c>
      <c r="AH75" s="212" t="s">
        <v>1644</v>
      </c>
      <c r="AI75" s="213" t="s">
        <v>1644</v>
      </c>
      <c r="AJ75" s="213" t="s">
        <v>1644</v>
      </c>
      <c r="AK75" s="213" t="s">
        <v>1644</v>
      </c>
      <c r="AL75" s="213" t="s">
        <v>1644</v>
      </c>
      <c r="AM75" s="213" t="s">
        <v>1643</v>
      </c>
      <c r="AN75" s="213" t="s">
        <v>1643</v>
      </c>
      <c r="AO75" s="213" t="s">
        <v>1643</v>
      </c>
      <c r="AP75" s="213" t="s">
        <v>1644</v>
      </c>
      <c r="AQ75" s="213" t="s">
        <v>1644</v>
      </c>
      <c r="AR75" s="213" t="s">
        <v>1643</v>
      </c>
      <c r="AS75" s="214" t="s">
        <v>1644</v>
      </c>
    </row>
    <row r="76" spans="1:45" ht="15.75" thickBot="1" x14ac:dyDescent="0.3">
      <c r="A76" s="212" t="s">
        <v>857</v>
      </c>
      <c r="B76" s="48" t="s">
        <v>858</v>
      </c>
      <c r="C76" s="214" t="s">
        <v>798</v>
      </c>
      <c r="D76" s="218">
        <v>36</v>
      </c>
      <c r="E76" s="219">
        <v>28000</v>
      </c>
      <c r="F76" s="219">
        <v>28000</v>
      </c>
      <c r="G76" s="220" t="s">
        <v>850</v>
      </c>
      <c r="H76" s="220" t="s">
        <v>850</v>
      </c>
      <c r="I76" s="220" t="s">
        <v>850</v>
      </c>
      <c r="J76" s="220" t="s">
        <v>850</v>
      </c>
      <c r="K76" s="220" t="s">
        <v>850</v>
      </c>
      <c r="L76" s="220" t="s">
        <v>850</v>
      </c>
      <c r="M76" s="220" t="s">
        <v>850</v>
      </c>
      <c r="N76" s="220" t="s">
        <v>850</v>
      </c>
      <c r="O76" s="220" t="s">
        <v>850</v>
      </c>
      <c r="P76" s="220" t="s">
        <v>850</v>
      </c>
      <c r="Q76" s="220" t="s">
        <v>850</v>
      </c>
      <c r="R76" s="220" t="s">
        <v>850</v>
      </c>
      <c r="S76" s="221">
        <v>14</v>
      </c>
      <c r="T76" s="219">
        <v>2600</v>
      </c>
      <c r="U76" s="222">
        <v>14300</v>
      </c>
      <c r="V76" s="212" t="s">
        <v>1644</v>
      </c>
      <c r="W76" s="213" t="s">
        <v>1644</v>
      </c>
      <c r="X76" s="213" t="s">
        <v>1644</v>
      </c>
      <c r="Y76" s="213" t="s">
        <v>1644</v>
      </c>
      <c r="Z76" s="213" t="s">
        <v>1644</v>
      </c>
      <c r="AA76" s="213" t="s">
        <v>1644</v>
      </c>
      <c r="AB76" s="213" t="s">
        <v>1643</v>
      </c>
      <c r="AC76" s="213" t="s">
        <v>1643</v>
      </c>
      <c r="AD76" s="213" t="s">
        <v>1644</v>
      </c>
      <c r="AE76" s="213" t="s">
        <v>1644</v>
      </c>
      <c r="AF76" s="213" t="s">
        <v>1644</v>
      </c>
      <c r="AG76" s="214" t="s">
        <v>1644</v>
      </c>
      <c r="AH76" s="212" t="s">
        <v>1644</v>
      </c>
      <c r="AI76" s="213" t="s">
        <v>1644</v>
      </c>
      <c r="AJ76" s="213" t="s">
        <v>1644</v>
      </c>
      <c r="AK76" s="213" t="s">
        <v>1644</v>
      </c>
      <c r="AL76" s="213" t="s">
        <v>1644</v>
      </c>
      <c r="AM76" s="213" t="s">
        <v>1644</v>
      </c>
      <c r="AN76" s="213" t="s">
        <v>1644</v>
      </c>
      <c r="AO76" s="213" t="s">
        <v>1644</v>
      </c>
      <c r="AP76" s="213" t="s">
        <v>1644</v>
      </c>
      <c r="AQ76" s="213" t="s">
        <v>1644</v>
      </c>
      <c r="AR76" s="213" t="s">
        <v>1644</v>
      </c>
      <c r="AS76" s="214" t="s">
        <v>1644</v>
      </c>
    </row>
    <row r="77" spans="1:45" ht="15.75" thickBot="1" x14ac:dyDescent="0.3">
      <c r="A77" s="212" t="s">
        <v>881</v>
      </c>
      <c r="B77" s="48" t="s">
        <v>882</v>
      </c>
      <c r="C77" s="214" t="s">
        <v>798</v>
      </c>
      <c r="D77" s="223" t="s">
        <v>850</v>
      </c>
      <c r="E77" s="220" t="s">
        <v>850</v>
      </c>
      <c r="F77" s="220" t="s">
        <v>850</v>
      </c>
      <c r="G77" s="220" t="s">
        <v>850</v>
      </c>
      <c r="H77" s="220" t="s">
        <v>850</v>
      </c>
      <c r="I77" s="220" t="s">
        <v>850</v>
      </c>
      <c r="J77" s="220" t="s">
        <v>850</v>
      </c>
      <c r="K77" s="220" t="s">
        <v>850</v>
      </c>
      <c r="L77" s="220" t="s">
        <v>850</v>
      </c>
      <c r="M77" s="220" t="s">
        <v>850</v>
      </c>
      <c r="N77" s="220" t="s">
        <v>850</v>
      </c>
      <c r="O77" s="220" t="s">
        <v>850</v>
      </c>
      <c r="P77" s="220" t="s">
        <v>850</v>
      </c>
      <c r="Q77" s="220" t="s">
        <v>850</v>
      </c>
      <c r="R77" s="220" t="s">
        <v>850</v>
      </c>
      <c r="S77" s="221">
        <v>11</v>
      </c>
      <c r="T77" s="219">
        <v>6867</v>
      </c>
      <c r="U77" s="222">
        <v>6867</v>
      </c>
      <c r="V77" s="209" t="s">
        <v>1644</v>
      </c>
      <c r="W77" s="210" t="s">
        <v>1644</v>
      </c>
      <c r="X77" s="210" t="s">
        <v>1644</v>
      </c>
      <c r="Y77" s="210" t="s">
        <v>1644</v>
      </c>
      <c r="Z77" s="210" t="s">
        <v>1644</v>
      </c>
      <c r="AA77" s="210" t="s">
        <v>1644</v>
      </c>
      <c r="AB77" s="210" t="s">
        <v>1644</v>
      </c>
      <c r="AC77" s="210" t="s">
        <v>1644</v>
      </c>
      <c r="AD77" s="210" t="s">
        <v>1644</v>
      </c>
      <c r="AE77" s="210" t="s">
        <v>1644</v>
      </c>
      <c r="AF77" s="210" t="s">
        <v>1644</v>
      </c>
      <c r="AG77" s="211" t="s">
        <v>1644</v>
      </c>
      <c r="AH77" s="212" t="s">
        <v>1644</v>
      </c>
      <c r="AI77" s="213" t="s">
        <v>1644</v>
      </c>
      <c r="AJ77" s="213" t="s">
        <v>1644</v>
      </c>
      <c r="AK77" s="213" t="s">
        <v>1644</v>
      </c>
      <c r="AL77" s="213" t="s">
        <v>1644</v>
      </c>
      <c r="AM77" s="213" t="s">
        <v>1644</v>
      </c>
      <c r="AN77" s="213" t="s">
        <v>1644</v>
      </c>
      <c r="AO77" s="213" t="s">
        <v>1644</v>
      </c>
      <c r="AP77" s="213" t="s">
        <v>1644</v>
      </c>
      <c r="AQ77" s="213" t="s">
        <v>1644</v>
      </c>
      <c r="AR77" s="213" t="s">
        <v>1644</v>
      </c>
      <c r="AS77" s="214" t="s">
        <v>1644</v>
      </c>
    </row>
    <row r="78" spans="1:45" ht="15.75" thickBot="1" x14ac:dyDescent="0.3">
      <c r="A78" s="212" t="s">
        <v>903</v>
      </c>
      <c r="B78" s="48" t="s">
        <v>904</v>
      </c>
      <c r="C78" s="214" t="s">
        <v>798</v>
      </c>
      <c r="D78" s="225"/>
      <c r="E78" s="226"/>
      <c r="F78" s="226"/>
      <c r="G78" s="227"/>
      <c r="H78" s="226"/>
      <c r="I78" s="226"/>
      <c r="J78" s="221">
        <v>40</v>
      </c>
      <c r="K78" s="219">
        <v>27000</v>
      </c>
      <c r="L78" s="219">
        <v>30000</v>
      </c>
      <c r="M78" s="221">
        <v>20</v>
      </c>
      <c r="N78" s="219">
        <v>0</v>
      </c>
      <c r="O78" s="219">
        <v>0</v>
      </c>
      <c r="P78" s="227"/>
      <c r="Q78" s="226"/>
      <c r="R78" s="226"/>
      <c r="S78" s="221">
        <v>20</v>
      </c>
      <c r="T78" s="219">
        <v>11000</v>
      </c>
      <c r="U78" s="222">
        <v>16000</v>
      </c>
      <c r="V78" s="212" t="s">
        <v>1644</v>
      </c>
      <c r="W78" s="213" t="s">
        <v>1644</v>
      </c>
      <c r="X78" s="213" t="s">
        <v>1643</v>
      </c>
      <c r="Y78" s="213" t="s">
        <v>1644</v>
      </c>
      <c r="Z78" s="213" t="s">
        <v>1644</v>
      </c>
      <c r="AA78" s="213" t="s">
        <v>1644</v>
      </c>
      <c r="AB78" s="213" t="s">
        <v>1643</v>
      </c>
      <c r="AC78" s="213" t="s">
        <v>1643</v>
      </c>
      <c r="AD78" s="213" t="s">
        <v>1644</v>
      </c>
      <c r="AE78" s="213" t="s">
        <v>1644</v>
      </c>
      <c r="AF78" s="213" t="s">
        <v>1643</v>
      </c>
      <c r="AG78" s="214" t="s">
        <v>1644</v>
      </c>
      <c r="AH78" s="212" t="s">
        <v>1644</v>
      </c>
      <c r="AI78" s="213" t="s">
        <v>1644</v>
      </c>
      <c r="AJ78" s="213" t="s">
        <v>1643</v>
      </c>
      <c r="AK78" s="213" t="s">
        <v>1644</v>
      </c>
      <c r="AL78" s="213" t="s">
        <v>1644</v>
      </c>
      <c r="AM78" s="213" t="s">
        <v>1644</v>
      </c>
      <c r="AN78" s="213" t="s">
        <v>1643</v>
      </c>
      <c r="AO78" s="213" t="s">
        <v>1643</v>
      </c>
      <c r="AP78" s="213" t="s">
        <v>1644</v>
      </c>
      <c r="AQ78" s="213" t="s">
        <v>1643</v>
      </c>
      <c r="AR78" s="213" t="s">
        <v>1643</v>
      </c>
      <c r="AS78" s="214" t="s">
        <v>1644</v>
      </c>
    </row>
    <row r="79" spans="1:45" ht="15.75" thickBot="1" x14ac:dyDescent="0.3">
      <c r="A79" s="212" t="s">
        <v>909</v>
      </c>
      <c r="B79" s="48" t="s">
        <v>910</v>
      </c>
      <c r="C79" s="214" t="s">
        <v>798</v>
      </c>
      <c r="D79" s="225"/>
      <c r="E79" s="226"/>
      <c r="F79" s="226"/>
      <c r="G79" s="227"/>
      <c r="H79" s="226"/>
      <c r="I79" s="226"/>
      <c r="J79" s="227"/>
      <c r="K79" s="226"/>
      <c r="L79" s="226"/>
      <c r="M79" s="227"/>
      <c r="N79" s="226"/>
      <c r="O79" s="226"/>
      <c r="P79" s="227"/>
      <c r="Q79" s="226"/>
      <c r="R79" s="226"/>
      <c r="S79" s="227"/>
      <c r="T79" s="226"/>
      <c r="U79" s="228"/>
      <c r="V79" s="212" t="s">
        <v>1644</v>
      </c>
      <c r="W79" s="213" t="s">
        <v>1644</v>
      </c>
      <c r="X79" s="213" t="s">
        <v>1644</v>
      </c>
      <c r="Y79" s="213" t="s">
        <v>1644</v>
      </c>
      <c r="Z79" s="213" t="s">
        <v>1644</v>
      </c>
      <c r="AA79" s="213" t="s">
        <v>1644</v>
      </c>
      <c r="AB79" s="213" t="s">
        <v>1643</v>
      </c>
      <c r="AC79" s="213" t="s">
        <v>1643</v>
      </c>
      <c r="AD79" s="213" t="s">
        <v>1644</v>
      </c>
      <c r="AE79" s="213" t="s">
        <v>1644</v>
      </c>
      <c r="AF79" s="213" t="s">
        <v>1644</v>
      </c>
      <c r="AG79" s="214" t="s">
        <v>1644</v>
      </c>
      <c r="AH79" s="212" t="s">
        <v>1644</v>
      </c>
      <c r="AI79" s="213" t="s">
        <v>1644</v>
      </c>
      <c r="AJ79" s="213" t="s">
        <v>1644</v>
      </c>
      <c r="AK79" s="213" t="s">
        <v>1644</v>
      </c>
      <c r="AL79" s="213" t="s">
        <v>1644</v>
      </c>
      <c r="AM79" s="213" t="s">
        <v>1644</v>
      </c>
      <c r="AN79" s="213" t="s">
        <v>1643</v>
      </c>
      <c r="AO79" s="213" t="s">
        <v>1643</v>
      </c>
      <c r="AP79" s="213" t="s">
        <v>1644</v>
      </c>
      <c r="AQ79" s="213" t="s">
        <v>1644</v>
      </c>
      <c r="AR79" s="213" t="s">
        <v>1644</v>
      </c>
      <c r="AS79" s="214" t="s">
        <v>1644</v>
      </c>
    </row>
    <row r="80" spans="1:45" ht="15.75" thickBot="1" x14ac:dyDescent="0.3">
      <c r="A80" s="212" t="s">
        <v>921</v>
      </c>
      <c r="B80" s="48" t="s">
        <v>922</v>
      </c>
      <c r="C80" s="214" t="s">
        <v>798</v>
      </c>
      <c r="D80" s="223" t="s">
        <v>850</v>
      </c>
      <c r="E80" s="220" t="s">
        <v>850</v>
      </c>
      <c r="F80" s="220" t="s">
        <v>850</v>
      </c>
      <c r="G80" s="220" t="s">
        <v>850</v>
      </c>
      <c r="H80" s="220" t="s">
        <v>850</v>
      </c>
      <c r="I80" s="220" t="s">
        <v>850</v>
      </c>
      <c r="J80" s="220" t="s">
        <v>850</v>
      </c>
      <c r="K80" s="220" t="s">
        <v>850</v>
      </c>
      <c r="L80" s="220" t="s">
        <v>850</v>
      </c>
      <c r="M80" s="220" t="s">
        <v>850</v>
      </c>
      <c r="N80" s="220" t="s">
        <v>850</v>
      </c>
      <c r="O80" s="220" t="s">
        <v>850</v>
      </c>
      <c r="P80" s="220" t="s">
        <v>850</v>
      </c>
      <c r="Q80" s="220" t="s">
        <v>850</v>
      </c>
      <c r="R80" s="220" t="s">
        <v>850</v>
      </c>
      <c r="S80" s="221">
        <v>22</v>
      </c>
      <c r="T80" s="219">
        <v>10296</v>
      </c>
      <c r="U80" s="222">
        <v>12168</v>
      </c>
      <c r="V80" s="212" t="s">
        <v>1644</v>
      </c>
      <c r="W80" s="213" t="s">
        <v>1644</v>
      </c>
      <c r="X80" s="213" t="s">
        <v>1644</v>
      </c>
      <c r="Y80" s="213" t="s">
        <v>1644</v>
      </c>
      <c r="Z80" s="213" t="s">
        <v>1644</v>
      </c>
      <c r="AA80" s="213" t="s">
        <v>1644</v>
      </c>
      <c r="AB80" s="213" t="s">
        <v>1644</v>
      </c>
      <c r="AC80" s="213" t="s">
        <v>1644</v>
      </c>
      <c r="AD80" s="213" t="s">
        <v>1644</v>
      </c>
      <c r="AE80" s="213" t="s">
        <v>1644</v>
      </c>
      <c r="AF80" s="213" t="s">
        <v>1644</v>
      </c>
      <c r="AG80" s="214" t="s">
        <v>1644</v>
      </c>
      <c r="AH80" s="212" t="s">
        <v>1644</v>
      </c>
      <c r="AI80" s="213" t="s">
        <v>1644</v>
      </c>
      <c r="AJ80" s="213" t="s">
        <v>1644</v>
      </c>
      <c r="AK80" s="213" t="s">
        <v>1644</v>
      </c>
      <c r="AL80" s="213" t="s">
        <v>1644</v>
      </c>
      <c r="AM80" s="213" t="s">
        <v>1644</v>
      </c>
      <c r="AN80" s="213" t="s">
        <v>1644</v>
      </c>
      <c r="AO80" s="213" t="s">
        <v>1644</v>
      </c>
      <c r="AP80" s="213" t="s">
        <v>1644</v>
      </c>
      <c r="AQ80" s="213" t="s">
        <v>1644</v>
      </c>
      <c r="AR80" s="213" t="s">
        <v>1644</v>
      </c>
      <c r="AS80" s="214" t="s">
        <v>1644</v>
      </c>
    </row>
    <row r="81" spans="1:45" ht="15.75" thickBot="1" x14ac:dyDescent="0.3">
      <c r="A81" s="212" t="s">
        <v>963</v>
      </c>
      <c r="B81" s="48" t="s">
        <v>964</v>
      </c>
      <c r="C81" s="214" t="s">
        <v>798</v>
      </c>
      <c r="D81" s="225"/>
      <c r="E81" s="226"/>
      <c r="F81" s="226"/>
      <c r="G81" s="227"/>
      <c r="H81" s="226"/>
      <c r="I81" s="226"/>
      <c r="J81" s="227"/>
      <c r="K81" s="226"/>
      <c r="L81" s="226"/>
      <c r="M81" s="227"/>
      <c r="N81" s="226"/>
      <c r="O81" s="226"/>
      <c r="P81" s="227"/>
      <c r="Q81" s="226"/>
      <c r="R81" s="226"/>
      <c r="S81" s="221">
        <v>25</v>
      </c>
      <c r="T81" s="219">
        <v>12704</v>
      </c>
      <c r="U81" s="222">
        <v>12704</v>
      </c>
      <c r="V81" s="212" t="s">
        <v>1644</v>
      </c>
      <c r="W81" s="213" t="s">
        <v>1644</v>
      </c>
      <c r="X81" s="213" t="s">
        <v>1644</v>
      </c>
      <c r="Y81" s="213" t="s">
        <v>1643</v>
      </c>
      <c r="Z81" s="213" t="s">
        <v>1644</v>
      </c>
      <c r="AA81" s="213" t="s">
        <v>1643</v>
      </c>
      <c r="AB81" s="213" t="s">
        <v>1644</v>
      </c>
      <c r="AC81" s="213" t="s">
        <v>1644</v>
      </c>
      <c r="AD81" s="213" t="s">
        <v>1644</v>
      </c>
      <c r="AE81" s="213" t="s">
        <v>1644</v>
      </c>
      <c r="AF81" s="213" t="s">
        <v>1643</v>
      </c>
      <c r="AG81" s="214" t="s">
        <v>1644</v>
      </c>
      <c r="AH81" s="212" t="s">
        <v>1644</v>
      </c>
      <c r="AI81" s="213" t="s">
        <v>1644</v>
      </c>
      <c r="AJ81" s="213" t="s">
        <v>1644</v>
      </c>
      <c r="AK81" s="213" t="s">
        <v>1643</v>
      </c>
      <c r="AL81" s="213" t="s">
        <v>1644</v>
      </c>
      <c r="AM81" s="213" t="s">
        <v>1643</v>
      </c>
      <c r="AN81" s="213" t="s">
        <v>1644</v>
      </c>
      <c r="AO81" s="213" t="s">
        <v>1644</v>
      </c>
      <c r="AP81" s="213" t="s">
        <v>1644</v>
      </c>
      <c r="AQ81" s="213" t="s">
        <v>1644</v>
      </c>
      <c r="AR81" s="213" t="s">
        <v>1643</v>
      </c>
      <c r="AS81" s="214" t="s">
        <v>1644</v>
      </c>
    </row>
    <row r="82" spans="1:45" ht="15.75" thickBot="1" x14ac:dyDescent="0.3">
      <c r="A82" s="212" t="s">
        <v>977</v>
      </c>
      <c r="B82" s="48" t="s">
        <v>978</v>
      </c>
      <c r="C82" s="214" t="s">
        <v>798</v>
      </c>
      <c r="D82" s="223" t="s">
        <v>850</v>
      </c>
      <c r="E82" s="220" t="s">
        <v>850</v>
      </c>
      <c r="F82" s="220" t="s">
        <v>850</v>
      </c>
      <c r="G82" s="220" t="s">
        <v>850</v>
      </c>
      <c r="H82" s="220" t="s">
        <v>850</v>
      </c>
      <c r="I82" s="220" t="s">
        <v>850</v>
      </c>
      <c r="J82" s="221">
        <v>20</v>
      </c>
      <c r="K82" s="219">
        <v>15132</v>
      </c>
      <c r="L82" s="219">
        <v>22698</v>
      </c>
      <c r="M82" s="220" t="s">
        <v>850</v>
      </c>
      <c r="N82" s="220" t="s">
        <v>850</v>
      </c>
      <c r="O82" s="220" t="s">
        <v>850</v>
      </c>
      <c r="P82" s="220" t="s">
        <v>850</v>
      </c>
      <c r="Q82" s="220" t="s">
        <v>850</v>
      </c>
      <c r="R82" s="220" t="s">
        <v>850</v>
      </c>
      <c r="S82" s="221">
        <v>25</v>
      </c>
      <c r="T82" s="219">
        <v>12545</v>
      </c>
      <c r="U82" s="222">
        <v>15054</v>
      </c>
      <c r="V82" s="212" t="s">
        <v>1644</v>
      </c>
      <c r="W82" s="213" t="s">
        <v>1644</v>
      </c>
      <c r="X82" s="213" t="s">
        <v>1644</v>
      </c>
      <c r="Y82" s="213" t="s">
        <v>1644</v>
      </c>
      <c r="Z82" s="213" t="s">
        <v>1644</v>
      </c>
      <c r="AA82" s="213" t="s">
        <v>1644</v>
      </c>
      <c r="AB82" s="213" t="s">
        <v>1644</v>
      </c>
      <c r="AC82" s="213" t="s">
        <v>1643</v>
      </c>
      <c r="AD82" s="213" t="s">
        <v>1644</v>
      </c>
      <c r="AE82" s="213" t="s">
        <v>1644</v>
      </c>
      <c r="AF82" s="213" t="s">
        <v>1643</v>
      </c>
      <c r="AG82" s="214" t="s">
        <v>1644</v>
      </c>
      <c r="AH82" s="212" t="s">
        <v>1644</v>
      </c>
      <c r="AI82" s="213" t="s">
        <v>1644</v>
      </c>
      <c r="AJ82" s="213" t="s">
        <v>1644</v>
      </c>
      <c r="AK82" s="213" t="s">
        <v>1644</v>
      </c>
      <c r="AL82" s="213" t="s">
        <v>1644</v>
      </c>
      <c r="AM82" s="213" t="s">
        <v>1644</v>
      </c>
      <c r="AN82" s="213" t="s">
        <v>1644</v>
      </c>
      <c r="AO82" s="213" t="s">
        <v>1643</v>
      </c>
      <c r="AP82" s="213" t="s">
        <v>1644</v>
      </c>
      <c r="AQ82" s="213" t="s">
        <v>1644</v>
      </c>
      <c r="AR82" s="213" t="s">
        <v>1643</v>
      </c>
      <c r="AS82" s="214" t="s">
        <v>1644</v>
      </c>
    </row>
    <row r="83" spans="1:45" ht="15.75" thickBot="1" x14ac:dyDescent="0.3">
      <c r="A83" s="212" t="s">
        <v>999</v>
      </c>
      <c r="B83" s="48" t="s">
        <v>1000</v>
      </c>
      <c r="C83" s="214" t="s">
        <v>798</v>
      </c>
      <c r="D83" s="218">
        <v>21</v>
      </c>
      <c r="E83" s="219">
        <v>10101</v>
      </c>
      <c r="F83" s="219">
        <v>11411</v>
      </c>
      <c r="G83" s="220" t="s">
        <v>850</v>
      </c>
      <c r="H83" s="220" t="s">
        <v>850</v>
      </c>
      <c r="I83" s="220" t="s">
        <v>850</v>
      </c>
      <c r="J83" s="220" t="s">
        <v>850</v>
      </c>
      <c r="K83" s="220" t="s">
        <v>850</v>
      </c>
      <c r="L83" s="220" t="s">
        <v>850</v>
      </c>
      <c r="M83" s="220" t="s">
        <v>850</v>
      </c>
      <c r="N83" s="220" t="s">
        <v>850</v>
      </c>
      <c r="O83" s="220" t="s">
        <v>850</v>
      </c>
      <c r="P83" s="220" t="s">
        <v>850</v>
      </c>
      <c r="Q83" s="220" t="s">
        <v>850</v>
      </c>
      <c r="R83" s="220" t="s">
        <v>850</v>
      </c>
      <c r="S83" s="221">
        <v>15</v>
      </c>
      <c r="T83" s="219">
        <v>7087</v>
      </c>
      <c r="U83" s="222">
        <v>7875</v>
      </c>
      <c r="V83" s="209" t="s">
        <v>1644</v>
      </c>
      <c r="W83" s="210" t="s">
        <v>1644</v>
      </c>
      <c r="X83" s="210" t="s">
        <v>1644</v>
      </c>
      <c r="Y83" s="210" t="s">
        <v>1644</v>
      </c>
      <c r="Z83" s="210" t="s">
        <v>1644</v>
      </c>
      <c r="AA83" s="210" t="s">
        <v>1644</v>
      </c>
      <c r="AB83" s="210" t="s">
        <v>1644</v>
      </c>
      <c r="AC83" s="210" t="s">
        <v>1644</v>
      </c>
      <c r="AD83" s="210" t="s">
        <v>1644</v>
      </c>
      <c r="AE83" s="210" t="s">
        <v>1644</v>
      </c>
      <c r="AF83" s="210" t="s">
        <v>1644</v>
      </c>
      <c r="AG83" s="211" t="s">
        <v>1644</v>
      </c>
      <c r="AH83" s="209" t="s">
        <v>1644</v>
      </c>
      <c r="AI83" s="210" t="s">
        <v>1644</v>
      </c>
      <c r="AJ83" s="210" t="s">
        <v>1644</v>
      </c>
      <c r="AK83" s="210" t="s">
        <v>1644</v>
      </c>
      <c r="AL83" s="210" t="s">
        <v>1644</v>
      </c>
      <c r="AM83" s="210" t="s">
        <v>1644</v>
      </c>
      <c r="AN83" s="210" t="s">
        <v>1644</v>
      </c>
      <c r="AO83" s="213" t="s">
        <v>1643</v>
      </c>
      <c r="AP83" s="210" t="s">
        <v>1644</v>
      </c>
      <c r="AQ83" s="210" t="s">
        <v>1644</v>
      </c>
      <c r="AR83" s="210" t="s">
        <v>1644</v>
      </c>
      <c r="AS83" s="211" t="s">
        <v>1644</v>
      </c>
    </row>
    <row r="84" spans="1:45" ht="15.75" thickBot="1" x14ac:dyDescent="0.3">
      <c r="A84" s="212" t="s">
        <v>1013</v>
      </c>
      <c r="B84" s="48" t="s">
        <v>1014</v>
      </c>
      <c r="C84" s="214" t="s">
        <v>798</v>
      </c>
      <c r="D84" s="218">
        <v>15</v>
      </c>
      <c r="E84" s="219">
        <v>7920</v>
      </c>
      <c r="F84" s="219">
        <v>10752</v>
      </c>
      <c r="G84" s="220" t="s">
        <v>850</v>
      </c>
      <c r="H84" s="220" t="s">
        <v>850</v>
      </c>
      <c r="I84" s="220" t="s">
        <v>850</v>
      </c>
      <c r="J84" s="220" t="s">
        <v>850</v>
      </c>
      <c r="K84" s="220" t="s">
        <v>850</v>
      </c>
      <c r="L84" s="220" t="s">
        <v>850</v>
      </c>
      <c r="M84" s="220" t="s">
        <v>850</v>
      </c>
      <c r="N84" s="220" t="s">
        <v>850</v>
      </c>
      <c r="O84" s="220" t="s">
        <v>850</v>
      </c>
      <c r="P84" s="220" t="s">
        <v>850</v>
      </c>
      <c r="Q84" s="220" t="s">
        <v>850</v>
      </c>
      <c r="R84" s="220" t="s">
        <v>850</v>
      </c>
      <c r="S84" s="221">
        <v>25</v>
      </c>
      <c r="T84" s="219">
        <v>3036</v>
      </c>
      <c r="U84" s="222">
        <v>6325</v>
      </c>
      <c r="V84" s="209" t="s">
        <v>1644</v>
      </c>
      <c r="W84" s="210" t="s">
        <v>1644</v>
      </c>
      <c r="X84" s="210" t="s">
        <v>1644</v>
      </c>
      <c r="Y84" s="210" t="s">
        <v>1644</v>
      </c>
      <c r="Z84" s="210" t="s">
        <v>1644</v>
      </c>
      <c r="AA84" s="210" t="s">
        <v>1644</v>
      </c>
      <c r="AB84" s="210" t="s">
        <v>1644</v>
      </c>
      <c r="AC84" s="210" t="s">
        <v>1644</v>
      </c>
      <c r="AD84" s="210" t="s">
        <v>1644</v>
      </c>
      <c r="AE84" s="210" t="s">
        <v>1644</v>
      </c>
      <c r="AF84" s="210" t="s">
        <v>1644</v>
      </c>
      <c r="AG84" s="211" t="s">
        <v>1644</v>
      </c>
      <c r="AH84" s="212" t="s">
        <v>1644</v>
      </c>
      <c r="AI84" s="213" t="s">
        <v>1644</v>
      </c>
      <c r="AJ84" s="213" t="s">
        <v>1644</v>
      </c>
      <c r="AK84" s="213" t="s">
        <v>1644</v>
      </c>
      <c r="AL84" s="213" t="s">
        <v>1644</v>
      </c>
      <c r="AM84" s="213" t="s">
        <v>1643</v>
      </c>
      <c r="AN84" s="213" t="s">
        <v>1643</v>
      </c>
      <c r="AO84" s="213" t="s">
        <v>1643</v>
      </c>
      <c r="AP84" s="213" t="s">
        <v>1644</v>
      </c>
      <c r="AQ84" s="213" t="s">
        <v>1644</v>
      </c>
      <c r="AR84" s="213" t="s">
        <v>1644</v>
      </c>
      <c r="AS84" s="214" t="s">
        <v>1644</v>
      </c>
    </row>
    <row r="85" spans="1:45" ht="15.75" thickBot="1" x14ac:dyDescent="0.3">
      <c r="A85" s="212" t="s">
        <v>1019</v>
      </c>
      <c r="B85" s="48" t="s">
        <v>1020</v>
      </c>
      <c r="C85" s="214" t="s">
        <v>798</v>
      </c>
      <c r="D85" s="225"/>
      <c r="E85" s="226"/>
      <c r="F85" s="226"/>
      <c r="G85" s="227"/>
      <c r="H85" s="226"/>
      <c r="I85" s="226"/>
      <c r="J85" s="227"/>
      <c r="K85" s="226"/>
      <c r="L85" s="226"/>
      <c r="M85" s="227"/>
      <c r="N85" s="226"/>
      <c r="O85" s="226"/>
      <c r="P85" s="227"/>
      <c r="Q85" s="226"/>
      <c r="R85" s="226"/>
      <c r="S85" s="221">
        <v>29</v>
      </c>
      <c r="T85" s="219">
        <v>14790</v>
      </c>
      <c r="U85" s="222">
        <v>14790</v>
      </c>
      <c r="V85" s="212" t="s">
        <v>1644</v>
      </c>
      <c r="W85" s="213" t="s">
        <v>1644</v>
      </c>
      <c r="X85" s="213" t="s">
        <v>1644</v>
      </c>
      <c r="Y85" s="213" t="s">
        <v>1644</v>
      </c>
      <c r="Z85" s="213" t="s">
        <v>1644</v>
      </c>
      <c r="AA85" s="213" t="s">
        <v>1644</v>
      </c>
      <c r="AB85" s="213" t="s">
        <v>1643</v>
      </c>
      <c r="AC85" s="213" t="s">
        <v>1644</v>
      </c>
      <c r="AD85" s="213" t="s">
        <v>1644</v>
      </c>
      <c r="AE85" s="213" t="s">
        <v>1644</v>
      </c>
      <c r="AF85" s="213" t="s">
        <v>1644</v>
      </c>
      <c r="AG85" s="214" t="s">
        <v>1644</v>
      </c>
      <c r="AH85" s="212" t="s">
        <v>1644</v>
      </c>
      <c r="AI85" s="213" t="s">
        <v>1644</v>
      </c>
      <c r="AJ85" s="213" t="s">
        <v>1644</v>
      </c>
      <c r="AK85" s="213" t="s">
        <v>1644</v>
      </c>
      <c r="AL85" s="213" t="s">
        <v>1644</v>
      </c>
      <c r="AM85" s="213" t="s">
        <v>1644</v>
      </c>
      <c r="AN85" s="213" t="s">
        <v>1644</v>
      </c>
      <c r="AO85" s="213" t="s">
        <v>1644</v>
      </c>
      <c r="AP85" s="213" t="s">
        <v>1644</v>
      </c>
      <c r="AQ85" s="213" t="s">
        <v>1644</v>
      </c>
      <c r="AR85" s="213" t="s">
        <v>1644</v>
      </c>
      <c r="AS85" s="214" t="s">
        <v>1644</v>
      </c>
    </row>
    <row r="86" spans="1:45" ht="15.75" thickBot="1" x14ac:dyDescent="0.3">
      <c r="A86" s="212" t="s">
        <v>1021</v>
      </c>
      <c r="B86" s="48" t="s">
        <v>1022</v>
      </c>
      <c r="C86" s="214" t="s">
        <v>798</v>
      </c>
      <c r="D86" s="225"/>
      <c r="E86" s="226"/>
      <c r="F86" s="226"/>
      <c r="G86" s="227"/>
      <c r="H86" s="226"/>
      <c r="I86" s="226"/>
      <c r="J86" s="221">
        <v>30</v>
      </c>
      <c r="K86" s="219">
        <v>20000</v>
      </c>
      <c r="L86" s="219">
        <v>22500</v>
      </c>
      <c r="M86" s="227"/>
      <c r="N86" s="226"/>
      <c r="O86" s="226"/>
      <c r="P86" s="227"/>
      <c r="Q86" s="226"/>
      <c r="R86" s="226"/>
      <c r="S86" s="221">
        <v>28</v>
      </c>
      <c r="T86" s="219">
        <v>12500</v>
      </c>
      <c r="U86" s="222">
        <v>15200</v>
      </c>
      <c r="V86" s="212" t="s">
        <v>1644</v>
      </c>
      <c r="W86" s="213" t="s">
        <v>1644</v>
      </c>
      <c r="X86" s="213" t="s">
        <v>1644</v>
      </c>
      <c r="Y86" s="213" t="s">
        <v>1644</v>
      </c>
      <c r="Z86" s="213" t="s">
        <v>1644</v>
      </c>
      <c r="AA86" s="213" t="s">
        <v>1644</v>
      </c>
      <c r="AB86" s="213" t="s">
        <v>1643</v>
      </c>
      <c r="AC86" s="213" t="s">
        <v>1643</v>
      </c>
      <c r="AD86" s="213" t="s">
        <v>1643</v>
      </c>
      <c r="AE86" s="213" t="s">
        <v>1644</v>
      </c>
      <c r="AF86" s="213" t="s">
        <v>1644</v>
      </c>
      <c r="AG86" s="214" t="s">
        <v>1644</v>
      </c>
      <c r="AH86" s="212" t="s">
        <v>1644</v>
      </c>
      <c r="AI86" s="213" t="s">
        <v>1644</v>
      </c>
      <c r="AJ86" s="213" t="s">
        <v>1644</v>
      </c>
      <c r="AK86" s="213" t="s">
        <v>1644</v>
      </c>
      <c r="AL86" s="213" t="s">
        <v>1644</v>
      </c>
      <c r="AM86" s="213" t="s">
        <v>1644</v>
      </c>
      <c r="AN86" s="213" t="s">
        <v>1644</v>
      </c>
      <c r="AO86" s="213" t="s">
        <v>1643</v>
      </c>
      <c r="AP86" s="213" t="s">
        <v>1643</v>
      </c>
      <c r="AQ86" s="213" t="s">
        <v>1644</v>
      </c>
      <c r="AR86" s="213" t="s">
        <v>1644</v>
      </c>
      <c r="AS86" s="214" t="s">
        <v>1644</v>
      </c>
    </row>
    <row r="87" spans="1:45" ht="15.75" thickBot="1" x14ac:dyDescent="0.3">
      <c r="A87" s="212" t="s">
        <v>1035</v>
      </c>
      <c r="B87" s="48" t="s">
        <v>1036</v>
      </c>
      <c r="C87" s="214" t="s">
        <v>798</v>
      </c>
      <c r="D87" s="225"/>
      <c r="E87" s="226"/>
      <c r="F87" s="226"/>
      <c r="G87" s="227"/>
      <c r="H87" s="226"/>
      <c r="I87" s="226"/>
      <c r="J87" s="227"/>
      <c r="K87" s="226"/>
      <c r="L87" s="226"/>
      <c r="M87" s="227"/>
      <c r="N87" s="226"/>
      <c r="O87" s="226"/>
      <c r="P87" s="227"/>
      <c r="Q87" s="226"/>
      <c r="R87" s="226"/>
      <c r="S87" s="221" t="s">
        <v>3453</v>
      </c>
      <c r="T87" s="219">
        <v>7280</v>
      </c>
      <c r="U87" s="222">
        <v>28000</v>
      </c>
      <c r="V87" s="212" t="s">
        <v>1643</v>
      </c>
      <c r="W87" s="213" t="s">
        <v>1643</v>
      </c>
      <c r="X87" s="213" t="s">
        <v>1644</v>
      </c>
      <c r="Y87" s="213" t="s">
        <v>1643</v>
      </c>
      <c r="Z87" s="213" t="s">
        <v>1643</v>
      </c>
      <c r="AA87" s="213" t="s">
        <v>1643</v>
      </c>
      <c r="AB87" s="213" t="s">
        <v>1643</v>
      </c>
      <c r="AC87" s="213" t="s">
        <v>1643</v>
      </c>
      <c r="AD87" s="213" t="s">
        <v>1644</v>
      </c>
      <c r="AE87" s="213" t="s">
        <v>1644</v>
      </c>
      <c r="AF87" s="213" t="s">
        <v>1643</v>
      </c>
      <c r="AG87" s="214" t="s">
        <v>1644</v>
      </c>
      <c r="AH87" s="212" t="s">
        <v>1644</v>
      </c>
      <c r="AI87" s="213" t="s">
        <v>1644</v>
      </c>
      <c r="AJ87" s="213" t="s">
        <v>1644</v>
      </c>
      <c r="AK87" s="213" t="s">
        <v>1644</v>
      </c>
      <c r="AL87" s="213" t="s">
        <v>1644</v>
      </c>
      <c r="AM87" s="213" t="s">
        <v>1643</v>
      </c>
      <c r="AN87" s="213" t="s">
        <v>1643</v>
      </c>
      <c r="AO87" s="213" t="s">
        <v>1643</v>
      </c>
      <c r="AP87" s="213" t="s">
        <v>1644</v>
      </c>
      <c r="AQ87" s="213" t="s">
        <v>1644</v>
      </c>
      <c r="AR87" s="213" t="s">
        <v>1644</v>
      </c>
      <c r="AS87" s="214" t="s">
        <v>1644</v>
      </c>
    </row>
    <row r="88" spans="1:45" ht="15.75" thickBot="1" x14ac:dyDescent="0.3">
      <c r="A88" s="212" t="s">
        <v>1065</v>
      </c>
      <c r="B88" s="48" t="s">
        <v>1066</v>
      </c>
      <c r="C88" s="214" t="s">
        <v>798</v>
      </c>
      <c r="D88" s="225"/>
      <c r="E88" s="226"/>
      <c r="F88" s="226"/>
      <c r="G88" s="227"/>
      <c r="H88" s="226"/>
      <c r="I88" s="226"/>
      <c r="J88" s="227"/>
      <c r="K88" s="226"/>
      <c r="L88" s="226"/>
      <c r="M88" s="227"/>
      <c r="N88" s="226"/>
      <c r="O88" s="226"/>
      <c r="P88" s="227"/>
      <c r="Q88" s="226"/>
      <c r="R88" s="226"/>
      <c r="S88" s="221">
        <v>22</v>
      </c>
      <c r="T88" s="219">
        <v>5000</v>
      </c>
      <c r="U88" s="222">
        <v>21000</v>
      </c>
      <c r="V88" s="209" t="s">
        <v>1644</v>
      </c>
      <c r="W88" s="210" t="s">
        <v>1644</v>
      </c>
      <c r="X88" s="210" t="s">
        <v>1644</v>
      </c>
      <c r="Y88" s="210" t="s">
        <v>1644</v>
      </c>
      <c r="Z88" s="210" t="s">
        <v>1644</v>
      </c>
      <c r="AA88" s="210" t="s">
        <v>1644</v>
      </c>
      <c r="AB88" s="210" t="s">
        <v>1644</v>
      </c>
      <c r="AC88" s="210" t="s">
        <v>1644</v>
      </c>
      <c r="AD88" s="210" t="s">
        <v>1644</v>
      </c>
      <c r="AE88" s="210" t="s">
        <v>1644</v>
      </c>
      <c r="AF88" s="210" t="s">
        <v>1644</v>
      </c>
      <c r="AG88" s="211" t="s">
        <v>1644</v>
      </c>
      <c r="AH88" s="212" t="s">
        <v>1644</v>
      </c>
      <c r="AI88" s="213" t="s">
        <v>1644</v>
      </c>
      <c r="AJ88" s="213" t="s">
        <v>1644</v>
      </c>
      <c r="AK88" s="213" t="s">
        <v>1644</v>
      </c>
      <c r="AL88" s="213" t="s">
        <v>1644</v>
      </c>
      <c r="AM88" s="213" t="s">
        <v>1643</v>
      </c>
      <c r="AN88" s="213" t="s">
        <v>1643</v>
      </c>
      <c r="AO88" s="213" t="s">
        <v>1643</v>
      </c>
      <c r="AP88" s="213" t="s">
        <v>1644</v>
      </c>
      <c r="AQ88" s="213" t="s">
        <v>1644</v>
      </c>
      <c r="AR88" s="213" t="s">
        <v>1643</v>
      </c>
      <c r="AS88" s="214" t="s">
        <v>1643</v>
      </c>
    </row>
    <row r="89" spans="1:45" ht="15.75" thickBot="1" x14ac:dyDescent="0.3">
      <c r="A89" s="212" t="s">
        <v>1075</v>
      </c>
      <c r="B89" s="48" t="s">
        <v>1076</v>
      </c>
      <c r="C89" s="214" t="s">
        <v>798</v>
      </c>
      <c r="D89" s="218">
        <v>15</v>
      </c>
      <c r="E89" s="219">
        <v>10500</v>
      </c>
      <c r="F89" s="219">
        <v>13052</v>
      </c>
      <c r="G89" s="227"/>
      <c r="H89" s="226"/>
      <c r="I89" s="226"/>
      <c r="J89" s="221">
        <v>16</v>
      </c>
      <c r="K89" s="219">
        <v>10500</v>
      </c>
      <c r="L89" s="219">
        <v>12976</v>
      </c>
      <c r="M89" s="221">
        <v>8</v>
      </c>
      <c r="N89" s="219">
        <v>5200</v>
      </c>
      <c r="O89" s="219">
        <v>5741</v>
      </c>
      <c r="P89" s="227"/>
      <c r="Q89" s="226"/>
      <c r="R89" s="226"/>
      <c r="S89" s="227"/>
      <c r="T89" s="226"/>
      <c r="U89" s="228"/>
      <c r="V89" s="209" t="s">
        <v>1644</v>
      </c>
      <c r="W89" s="210" t="s">
        <v>1644</v>
      </c>
      <c r="X89" s="210" t="s">
        <v>1644</v>
      </c>
      <c r="Y89" s="210" t="s">
        <v>1644</v>
      </c>
      <c r="Z89" s="210" t="s">
        <v>1644</v>
      </c>
      <c r="AA89" s="210" t="s">
        <v>1644</v>
      </c>
      <c r="AB89" s="210" t="s">
        <v>1644</v>
      </c>
      <c r="AC89" s="210" t="s">
        <v>1644</v>
      </c>
      <c r="AD89" s="210" t="s">
        <v>1644</v>
      </c>
      <c r="AE89" s="210" t="s">
        <v>1644</v>
      </c>
      <c r="AF89" s="210" t="s">
        <v>1644</v>
      </c>
      <c r="AG89" s="211" t="s">
        <v>1644</v>
      </c>
      <c r="AH89" s="209" t="s">
        <v>1644</v>
      </c>
      <c r="AI89" s="210" t="s">
        <v>1644</v>
      </c>
      <c r="AJ89" s="210" t="s">
        <v>1644</v>
      </c>
      <c r="AK89" s="210" t="s">
        <v>1644</v>
      </c>
      <c r="AL89" s="210" t="s">
        <v>1644</v>
      </c>
      <c r="AM89" s="210" t="s">
        <v>1644</v>
      </c>
      <c r="AN89" s="210" t="s">
        <v>1644</v>
      </c>
      <c r="AO89" s="210" t="s">
        <v>1644</v>
      </c>
      <c r="AP89" s="210" t="s">
        <v>1644</v>
      </c>
      <c r="AQ89" s="210" t="s">
        <v>1644</v>
      </c>
      <c r="AR89" s="210" t="s">
        <v>1644</v>
      </c>
      <c r="AS89" s="211" t="s">
        <v>1644</v>
      </c>
    </row>
    <row r="90" spans="1:45" ht="15.75" thickBot="1" x14ac:dyDescent="0.3">
      <c r="A90" s="212" t="s">
        <v>1119</v>
      </c>
      <c r="B90" s="48" t="s">
        <v>1120</v>
      </c>
      <c r="C90" s="214" t="s">
        <v>798</v>
      </c>
      <c r="D90" s="223" t="s">
        <v>850</v>
      </c>
      <c r="E90" s="220" t="s">
        <v>850</v>
      </c>
      <c r="F90" s="220" t="s">
        <v>850</v>
      </c>
      <c r="G90" s="220" t="s">
        <v>850</v>
      </c>
      <c r="H90" s="220" t="s">
        <v>850</v>
      </c>
      <c r="I90" s="220" t="s">
        <v>850</v>
      </c>
      <c r="J90" s="221">
        <v>30</v>
      </c>
      <c r="K90" s="219">
        <v>15600</v>
      </c>
      <c r="L90" s="219">
        <v>24960</v>
      </c>
      <c r="M90" s="220" t="s">
        <v>850</v>
      </c>
      <c r="N90" s="220" t="s">
        <v>850</v>
      </c>
      <c r="O90" s="220" t="s">
        <v>850</v>
      </c>
      <c r="P90" s="220" t="s">
        <v>850</v>
      </c>
      <c r="Q90" s="220" t="s">
        <v>850</v>
      </c>
      <c r="R90" s="220" t="s">
        <v>850</v>
      </c>
      <c r="S90" s="221">
        <v>18</v>
      </c>
      <c r="T90" s="219">
        <v>9032</v>
      </c>
      <c r="U90" s="222">
        <v>12636</v>
      </c>
      <c r="V90" s="212" t="s">
        <v>1643</v>
      </c>
      <c r="W90" s="213" t="s">
        <v>1643</v>
      </c>
      <c r="X90" s="213" t="s">
        <v>1643</v>
      </c>
      <c r="Y90" s="213" t="s">
        <v>1643</v>
      </c>
      <c r="Z90" s="213" t="s">
        <v>1643</v>
      </c>
      <c r="AA90" s="213" t="s">
        <v>1643</v>
      </c>
      <c r="AB90" s="213" t="s">
        <v>1643</v>
      </c>
      <c r="AC90" s="213" t="s">
        <v>1643</v>
      </c>
      <c r="AD90" s="213" t="s">
        <v>1644</v>
      </c>
      <c r="AE90" s="213" t="s">
        <v>1643</v>
      </c>
      <c r="AF90" s="213" t="s">
        <v>1643</v>
      </c>
      <c r="AG90" s="214" t="s">
        <v>1644</v>
      </c>
      <c r="AH90" s="212" t="s">
        <v>1644</v>
      </c>
      <c r="AI90" s="213" t="s">
        <v>1644</v>
      </c>
      <c r="AJ90" s="213" t="s">
        <v>1643</v>
      </c>
      <c r="AK90" s="213" t="s">
        <v>1643</v>
      </c>
      <c r="AL90" s="213" t="s">
        <v>1644</v>
      </c>
      <c r="AM90" s="213" t="s">
        <v>1644</v>
      </c>
      <c r="AN90" s="213" t="s">
        <v>1644</v>
      </c>
      <c r="AO90" s="213" t="s">
        <v>1643</v>
      </c>
      <c r="AP90" s="213" t="s">
        <v>1644</v>
      </c>
      <c r="AQ90" s="213" t="s">
        <v>1643</v>
      </c>
      <c r="AR90" s="213" t="s">
        <v>1644</v>
      </c>
      <c r="AS90" s="214" t="s">
        <v>1644</v>
      </c>
    </row>
    <row r="91" spans="1:45" ht="15.75" thickBot="1" x14ac:dyDescent="0.3">
      <c r="A91" s="212" t="s">
        <v>1129</v>
      </c>
      <c r="B91" s="48" t="s">
        <v>1130</v>
      </c>
      <c r="C91" s="214" t="s">
        <v>798</v>
      </c>
      <c r="D91" s="218">
        <v>40</v>
      </c>
      <c r="E91" s="219">
        <v>15000</v>
      </c>
      <c r="F91" s="219">
        <v>25000</v>
      </c>
      <c r="G91" s="227"/>
      <c r="H91" s="226"/>
      <c r="I91" s="226"/>
      <c r="J91" s="227"/>
      <c r="K91" s="226"/>
      <c r="L91" s="226"/>
      <c r="M91" s="227"/>
      <c r="N91" s="226"/>
      <c r="O91" s="226"/>
      <c r="P91" s="221" t="s">
        <v>3453</v>
      </c>
      <c r="Q91" s="219">
        <v>20000</v>
      </c>
      <c r="R91" s="219">
        <v>40000</v>
      </c>
      <c r="S91" s="221">
        <v>18</v>
      </c>
      <c r="T91" s="219">
        <v>5000</v>
      </c>
      <c r="U91" s="222">
        <v>20000</v>
      </c>
      <c r="V91" s="212" t="s">
        <v>1644</v>
      </c>
      <c r="W91" s="213" t="s">
        <v>1644</v>
      </c>
      <c r="X91" s="213" t="s">
        <v>1644</v>
      </c>
      <c r="Y91" s="213" t="s">
        <v>1644</v>
      </c>
      <c r="Z91" s="213" t="s">
        <v>1644</v>
      </c>
      <c r="AA91" s="213" t="s">
        <v>1643</v>
      </c>
      <c r="AB91" s="213" t="s">
        <v>1643</v>
      </c>
      <c r="AC91" s="213" t="s">
        <v>1643</v>
      </c>
      <c r="AD91" s="213" t="s">
        <v>1644</v>
      </c>
      <c r="AE91" s="213" t="s">
        <v>1644</v>
      </c>
      <c r="AF91" s="213" t="s">
        <v>1643</v>
      </c>
      <c r="AG91" s="214" t="s">
        <v>1643</v>
      </c>
      <c r="AH91" s="212" t="s">
        <v>1644</v>
      </c>
      <c r="AI91" s="213" t="s">
        <v>1644</v>
      </c>
      <c r="AJ91" s="213" t="s">
        <v>1644</v>
      </c>
      <c r="AK91" s="213" t="s">
        <v>1644</v>
      </c>
      <c r="AL91" s="213" t="s">
        <v>1644</v>
      </c>
      <c r="AM91" s="213" t="s">
        <v>1644</v>
      </c>
      <c r="AN91" s="213" t="s">
        <v>1644</v>
      </c>
      <c r="AO91" s="213" t="s">
        <v>1644</v>
      </c>
      <c r="AP91" s="213" t="s">
        <v>1644</v>
      </c>
      <c r="AQ91" s="213" t="s">
        <v>1644</v>
      </c>
      <c r="AR91" s="213" t="s">
        <v>1644</v>
      </c>
      <c r="AS91" s="214" t="s">
        <v>1644</v>
      </c>
    </row>
    <row r="92" spans="1:45" ht="15.75" thickBot="1" x14ac:dyDescent="0.3">
      <c r="A92" s="212" t="s">
        <v>1139</v>
      </c>
      <c r="B92" s="48" t="s">
        <v>1140</v>
      </c>
      <c r="C92" s="214" t="s">
        <v>798</v>
      </c>
      <c r="D92" s="223" t="s">
        <v>850</v>
      </c>
      <c r="E92" s="220" t="s">
        <v>850</v>
      </c>
      <c r="F92" s="220" t="s">
        <v>850</v>
      </c>
      <c r="G92" s="220" t="s">
        <v>850</v>
      </c>
      <c r="H92" s="220" t="s">
        <v>850</v>
      </c>
      <c r="I92" s="220" t="s">
        <v>850</v>
      </c>
      <c r="J92" s="220" t="s">
        <v>850</v>
      </c>
      <c r="K92" s="220" t="s">
        <v>850</v>
      </c>
      <c r="L92" s="220" t="s">
        <v>850</v>
      </c>
      <c r="M92" s="220" t="s">
        <v>850</v>
      </c>
      <c r="N92" s="220" t="s">
        <v>850</v>
      </c>
      <c r="O92" s="220" t="s">
        <v>850</v>
      </c>
      <c r="P92" s="220" t="s">
        <v>850</v>
      </c>
      <c r="Q92" s="220" t="s">
        <v>850</v>
      </c>
      <c r="R92" s="220" t="s">
        <v>850</v>
      </c>
      <c r="S92" s="220" t="s">
        <v>850</v>
      </c>
      <c r="T92" s="220" t="s">
        <v>850</v>
      </c>
      <c r="U92" s="224" t="s">
        <v>850</v>
      </c>
      <c r="V92" s="209" t="s">
        <v>1644</v>
      </c>
      <c r="W92" s="210" t="s">
        <v>1644</v>
      </c>
      <c r="X92" s="210" t="s">
        <v>1644</v>
      </c>
      <c r="Y92" s="210" t="s">
        <v>1644</v>
      </c>
      <c r="Z92" s="210" t="s">
        <v>1644</v>
      </c>
      <c r="AA92" s="210" t="s">
        <v>1644</v>
      </c>
      <c r="AB92" s="210" t="s">
        <v>1644</v>
      </c>
      <c r="AC92" s="210" t="s">
        <v>1644</v>
      </c>
      <c r="AD92" s="210" t="s">
        <v>1644</v>
      </c>
      <c r="AE92" s="210" t="s">
        <v>1644</v>
      </c>
      <c r="AF92" s="210" t="s">
        <v>1644</v>
      </c>
      <c r="AG92" s="211" t="s">
        <v>1644</v>
      </c>
      <c r="AH92" s="209" t="s">
        <v>1644</v>
      </c>
      <c r="AI92" s="210" t="s">
        <v>1644</v>
      </c>
      <c r="AJ92" s="210" t="s">
        <v>1644</v>
      </c>
      <c r="AK92" s="210" t="s">
        <v>1644</v>
      </c>
      <c r="AL92" s="210" t="s">
        <v>1644</v>
      </c>
      <c r="AM92" s="210" t="s">
        <v>1644</v>
      </c>
      <c r="AN92" s="210" t="s">
        <v>1644</v>
      </c>
      <c r="AO92" s="210" t="s">
        <v>1644</v>
      </c>
      <c r="AP92" s="210" t="s">
        <v>1644</v>
      </c>
      <c r="AQ92" s="210" t="s">
        <v>1644</v>
      </c>
      <c r="AR92" s="210" t="s">
        <v>1644</v>
      </c>
      <c r="AS92" s="211" t="s">
        <v>1644</v>
      </c>
    </row>
    <row r="93" spans="1:45" ht="15.75" thickBot="1" x14ac:dyDescent="0.3">
      <c r="A93" s="212" t="s">
        <v>1147</v>
      </c>
      <c r="B93" s="48" t="s">
        <v>1148</v>
      </c>
      <c r="C93" s="214" t="s">
        <v>798</v>
      </c>
      <c r="D93" s="218">
        <v>32</v>
      </c>
      <c r="E93" s="219">
        <v>18000</v>
      </c>
      <c r="F93" s="219">
        <v>25000</v>
      </c>
      <c r="G93" s="220" t="s">
        <v>850</v>
      </c>
      <c r="H93" s="220" t="s">
        <v>850</v>
      </c>
      <c r="I93" s="220" t="s">
        <v>850</v>
      </c>
      <c r="J93" s="220" t="s">
        <v>850</v>
      </c>
      <c r="K93" s="220" t="s">
        <v>850</v>
      </c>
      <c r="L93" s="220" t="s">
        <v>850</v>
      </c>
      <c r="M93" s="220" t="s">
        <v>850</v>
      </c>
      <c r="N93" s="220" t="s">
        <v>850</v>
      </c>
      <c r="O93" s="220" t="s">
        <v>850</v>
      </c>
      <c r="P93" s="220" t="s">
        <v>850</v>
      </c>
      <c r="Q93" s="220" t="s">
        <v>850</v>
      </c>
      <c r="R93" s="220" t="s">
        <v>850</v>
      </c>
      <c r="S93" s="221">
        <v>3</v>
      </c>
      <c r="T93" s="219">
        <v>2000</v>
      </c>
      <c r="U93" s="222">
        <v>3000</v>
      </c>
      <c r="V93" s="212" t="s">
        <v>1643</v>
      </c>
      <c r="W93" s="213" t="s">
        <v>1644</v>
      </c>
      <c r="X93" s="213" t="s">
        <v>1644</v>
      </c>
      <c r="Y93" s="213" t="s">
        <v>1644</v>
      </c>
      <c r="Z93" s="213" t="s">
        <v>1644</v>
      </c>
      <c r="AA93" s="213" t="s">
        <v>1643</v>
      </c>
      <c r="AB93" s="213" t="s">
        <v>1643</v>
      </c>
      <c r="AC93" s="213" t="s">
        <v>1643</v>
      </c>
      <c r="AD93" s="213" t="s">
        <v>1644</v>
      </c>
      <c r="AE93" s="213" t="s">
        <v>1644</v>
      </c>
      <c r="AF93" s="213" t="s">
        <v>1644</v>
      </c>
      <c r="AG93" s="214" t="s">
        <v>1644</v>
      </c>
      <c r="AH93" s="212" t="s">
        <v>1644</v>
      </c>
      <c r="AI93" s="213" t="s">
        <v>1644</v>
      </c>
      <c r="AJ93" s="213" t="s">
        <v>1644</v>
      </c>
      <c r="AK93" s="213" t="s">
        <v>1644</v>
      </c>
      <c r="AL93" s="213" t="s">
        <v>1644</v>
      </c>
      <c r="AM93" s="213" t="s">
        <v>1644</v>
      </c>
      <c r="AN93" s="213" t="s">
        <v>1644</v>
      </c>
      <c r="AO93" s="213" t="s">
        <v>1644</v>
      </c>
      <c r="AP93" s="213" t="s">
        <v>1644</v>
      </c>
      <c r="AQ93" s="213" t="s">
        <v>1644</v>
      </c>
      <c r="AR93" s="213" t="s">
        <v>1644</v>
      </c>
      <c r="AS93" s="214" t="s">
        <v>1644</v>
      </c>
    </row>
    <row r="94" spans="1:45" ht="15.75" thickBot="1" x14ac:dyDescent="0.3">
      <c r="A94" s="212" t="s">
        <v>1151</v>
      </c>
      <c r="B94" s="48" t="s">
        <v>1152</v>
      </c>
      <c r="C94" s="214" t="s">
        <v>798</v>
      </c>
      <c r="D94" s="225"/>
      <c r="E94" s="226"/>
      <c r="F94" s="226"/>
      <c r="G94" s="227"/>
      <c r="H94" s="226"/>
      <c r="I94" s="226"/>
      <c r="J94" s="227"/>
      <c r="K94" s="226"/>
      <c r="L94" s="226"/>
      <c r="M94" s="227"/>
      <c r="N94" s="226"/>
      <c r="O94" s="226"/>
      <c r="P94" s="227"/>
      <c r="Q94" s="226"/>
      <c r="R94" s="226"/>
      <c r="S94" s="221">
        <v>18</v>
      </c>
      <c r="T94" s="219">
        <v>6000</v>
      </c>
      <c r="U94" s="222">
        <v>15000</v>
      </c>
      <c r="V94" s="209" t="s">
        <v>1644</v>
      </c>
      <c r="W94" s="210" t="s">
        <v>1644</v>
      </c>
      <c r="X94" s="210" t="s">
        <v>1644</v>
      </c>
      <c r="Y94" s="210" t="s">
        <v>1644</v>
      </c>
      <c r="Z94" s="210" t="s">
        <v>1644</v>
      </c>
      <c r="AA94" s="210" t="s">
        <v>1644</v>
      </c>
      <c r="AB94" s="210" t="s">
        <v>1644</v>
      </c>
      <c r="AC94" s="210" t="s">
        <v>1644</v>
      </c>
      <c r="AD94" s="210" t="s">
        <v>1644</v>
      </c>
      <c r="AE94" s="210" t="s">
        <v>1644</v>
      </c>
      <c r="AF94" s="210" t="s">
        <v>1644</v>
      </c>
      <c r="AG94" s="211" t="s">
        <v>1644</v>
      </c>
      <c r="AH94" s="209" t="s">
        <v>1644</v>
      </c>
      <c r="AI94" s="210" t="s">
        <v>1644</v>
      </c>
      <c r="AJ94" s="210" t="s">
        <v>1644</v>
      </c>
      <c r="AK94" s="210" t="s">
        <v>1644</v>
      </c>
      <c r="AL94" s="210" t="s">
        <v>1644</v>
      </c>
      <c r="AM94" s="210" t="s">
        <v>1644</v>
      </c>
      <c r="AN94" s="210" t="s">
        <v>1644</v>
      </c>
      <c r="AO94" s="210" t="s">
        <v>1644</v>
      </c>
      <c r="AP94" s="210" t="s">
        <v>1644</v>
      </c>
      <c r="AQ94" s="210" t="s">
        <v>1644</v>
      </c>
      <c r="AR94" s="210" t="s">
        <v>1644</v>
      </c>
      <c r="AS94" s="211" t="s">
        <v>1644</v>
      </c>
    </row>
    <row r="95" spans="1:45" ht="15.75" thickBot="1" x14ac:dyDescent="0.3">
      <c r="A95" s="212" t="s">
        <v>1157</v>
      </c>
      <c r="B95" s="48" t="s">
        <v>1158</v>
      </c>
      <c r="C95" s="214" t="s">
        <v>798</v>
      </c>
      <c r="D95" s="223" t="s">
        <v>850</v>
      </c>
      <c r="E95" s="220" t="s">
        <v>850</v>
      </c>
      <c r="F95" s="220" t="s">
        <v>850</v>
      </c>
      <c r="G95" s="220" t="s">
        <v>850</v>
      </c>
      <c r="H95" s="220" t="s">
        <v>850</v>
      </c>
      <c r="I95" s="220" t="s">
        <v>850</v>
      </c>
      <c r="J95" s="220" t="s">
        <v>850</v>
      </c>
      <c r="K95" s="220" t="s">
        <v>850</v>
      </c>
      <c r="L95" s="220" t="s">
        <v>850</v>
      </c>
      <c r="M95" s="221">
        <v>33</v>
      </c>
      <c r="N95" s="219">
        <v>15870</v>
      </c>
      <c r="O95" s="219">
        <v>18876</v>
      </c>
      <c r="P95" s="220" t="s">
        <v>850</v>
      </c>
      <c r="Q95" s="220" t="s">
        <v>850</v>
      </c>
      <c r="R95" s="220" t="s">
        <v>850</v>
      </c>
      <c r="S95" s="220" t="s">
        <v>850</v>
      </c>
      <c r="T95" s="220" t="s">
        <v>850</v>
      </c>
      <c r="U95" s="224" t="s">
        <v>850</v>
      </c>
      <c r="V95" s="212" t="s">
        <v>1644</v>
      </c>
      <c r="W95" s="213" t="s">
        <v>1644</v>
      </c>
      <c r="X95" s="213" t="s">
        <v>1644</v>
      </c>
      <c r="Y95" s="213" t="s">
        <v>1644</v>
      </c>
      <c r="Z95" s="213" t="s">
        <v>1644</v>
      </c>
      <c r="AA95" s="213" t="s">
        <v>1644</v>
      </c>
      <c r="AB95" s="213" t="s">
        <v>1643</v>
      </c>
      <c r="AC95" s="213" t="s">
        <v>1643</v>
      </c>
      <c r="AD95" s="213" t="s">
        <v>1644</v>
      </c>
      <c r="AE95" s="213" t="s">
        <v>1643</v>
      </c>
      <c r="AF95" s="213" t="s">
        <v>1644</v>
      </c>
      <c r="AG95" s="214" t="s">
        <v>1644</v>
      </c>
      <c r="AH95" s="212" t="s">
        <v>1644</v>
      </c>
      <c r="AI95" s="213" t="s">
        <v>1644</v>
      </c>
      <c r="AJ95" s="213" t="s">
        <v>1644</v>
      </c>
      <c r="AK95" s="213" t="s">
        <v>1644</v>
      </c>
      <c r="AL95" s="213" t="s">
        <v>1644</v>
      </c>
      <c r="AM95" s="213" t="s">
        <v>1644</v>
      </c>
      <c r="AN95" s="213" t="s">
        <v>1644</v>
      </c>
      <c r="AO95" s="213" t="s">
        <v>1643</v>
      </c>
      <c r="AP95" s="213" t="s">
        <v>1644</v>
      </c>
      <c r="AQ95" s="213" t="s">
        <v>1643</v>
      </c>
      <c r="AR95" s="213" t="s">
        <v>1644</v>
      </c>
      <c r="AS95" s="214" t="s">
        <v>1644</v>
      </c>
    </row>
    <row r="96" spans="1:45" ht="15.75" thickBot="1" x14ac:dyDescent="0.3">
      <c r="A96" s="212" t="s">
        <v>1161</v>
      </c>
      <c r="B96" s="48" t="s">
        <v>1162</v>
      </c>
      <c r="C96" s="214" t="s">
        <v>798</v>
      </c>
      <c r="D96" s="218">
        <v>20</v>
      </c>
      <c r="E96" s="219">
        <v>10400</v>
      </c>
      <c r="F96" s="219">
        <v>13000</v>
      </c>
      <c r="G96" s="220" t="s">
        <v>850</v>
      </c>
      <c r="H96" s="220" t="s">
        <v>850</v>
      </c>
      <c r="I96" s="220" t="s">
        <v>850</v>
      </c>
      <c r="J96" s="220" t="s">
        <v>850</v>
      </c>
      <c r="K96" s="220" t="s">
        <v>850</v>
      </c>
      <c r="L96" s="220" t="s">
        <v>850</v>
      </c>
      <c r="M96" s="220" t="s">
        <v>850</v>
      </c>
      <c r="N96" s="220" t="s">
        <v>850</v>
      </c>
      <c r="O96" s="220" t="s">
        <v>850</v>
      </c>
      <c r="P96" s="220" t="s">
        <v>850</v>
      </c>
      <c r="Q96" s="220" t="s">
        <v>850</v>
      </c>
      <c r="R96" s="220" t="s">
        <v>850</v>
      </c>
      <c r="S96" s="221">
        <v>20</v>
      </c>
      <c r="T96" s="219">
        <v>10000</v>
      </c>
      <c r="U96" s="222">
        <v>12000</v>
      </c>
      <c r="V96" s="212" t="s">
        <v>1644</v>
      </c>
      <c r="W96" s="213" t="s">
        <v>1644</v>
      </c>
      <c r="X96" s="213" t="s">
        <v>1644</v>
      </c>
      <c r="Y96" s="213" t="s">
        <v>1644</v>
      </c>
      <c r="Z96" s="213" t="s">
        <v>1644</v>
      </c>
      <c r="AA96" s="213" t="s">
        <v>1644</v>
      </c>
      <c r="AB96" s="213" t="s">
        <v>1644</v>
      </c>
      <c r="AC96" s="213" t="s">
        <v>1644</v>
      </c>
      <c r="AD96" s="213" t="s">
        <v>1644</v>
      </c>
      <c r="AE96" s="213" t="s">
        <v>1644</v>
      </c>
      <c r="AF96" s="213" t="s">
        <v>1644</v>
      </c>
      <c r="AG96" s="214" t="s">
        <v>1644</v>
      </c>
      <c r="AH96" s="212" t="s">
        <v>1644</v>
      </c>
      <c r="AI96" s="213" t="s">
        <v>1644</v>
      </c>
      <c r="AJ96" s="213" t="s">
        <v>1644</v>
      </c>
      <c r="AK96" s="213" t="s">
        <v>1644</v>
      </c>
      <c r="AL96" s="213" t="s">
        <v>1644</v>
      </c>
      <c r="AM96" s="213" t="s">
        <v>1644</v>
      </c>
      <c r="AN96" s="213" t="s">
        <v>1644</v>
      </c>
      <c r="AO96" s="213" t="s">
        <v>1644</v>
      </c>
      <c r="AP96" s="213" t="s">
        <v>1644</v>
      </c>
      <c r="AQ96" s="213" t="s">
        <v>1644</v>
      </c>
      <c r="AR96" s="213" t="s">
        <v>1644</v>
      </c>
      <c r="AS96" s="214" t="s">
        <v>1644</v>
      </c>
    </row>
    <row r="97" spans="1:45" ht="15.75" thickBot="1" x14ac:dyDescent="0.3">
      <c r="A97" s="212" t="s">
        <v>1167</v>
      </c>
      <c r="B97" s="48" t="s">
        <v>1168</v>
      </c>
      <c r="C97" s="214" t="s">
        <v>798</v>
      </c>
      <c r="D97" s="225"/>
      <c r="E97" s="226"/>
      <c r="F97" s="226"/>
      <c r="G97" s="227"/>
      <c r="H97" s="226"/>
      <c r="I97" s="226"/>
      <c r="J97" s="227"/>
      <c r="K97" s="226"/>
      <c r="L97" s="226"/>
      <c r="M97" s="227"/>
      <c r="N97" s="226"/>
      <c r="O97" s="226"/>
      <c r="P97" s="227"/>
      <c r="Q97" s="226"/>
      <c r="R97" s="226"/>
      <c r="S97" s="221">
        <v>18</v>
      </c>
      <c r="T97" s="219">
        <v>9880</v>
      </c>
      <c r="U97" s="222">
        <v>16548</v>
      </c>
      <c r="V97" s="212" t="s">
        <v>1644</v>
      </c>
      <c r="W97" s="213" t="s">
        <v>1644</v>
      </c>
      <c r="X97" s="213" t="s">
        <v>1644</v>
      </c>
      <c r="Y97" s="213" t="s">
        <v>1644</v>
      </c>
      <c r="Z97" s="213" t="s">
        <v>1644</v>
      </c>
      <c r="AA97" s="213" t="s">
        <v>1644</v>
      </c>
      <c r="AB97" s="213" t="s">
        <v>1644</v>
      </c>
      <c r="AC97" s="213" t="s">
        <v>1644</v>
      </c>
      <c r="AD97" s="213" t="s">
        <v>1644</v>
      </c>
      <c r="AE97" s="213" t="s">
        <v>1644</v>
      </c>
      <c r="AF97" s="213" t="s">
        <v>1644</v>
      </c>
      <c r="AG97" s="214" t="s">
        <v>1644</v>
      </c>
      <c r="AH97" s="212" t="s">
        <v>1644</v>
      </c>
      <c r="AI97" s="213" t="s">
        <v>1644</v>
      </c>
      <c r="AJ97" s="213" t="s">
        <v>1644</v>
      </c>
      <c r="AK97" s="213" t="s">
        <v>1644</v>
      </c>
      <c r="AL97" s="213" t="s">
        <v>1644</v>
      </c>
      <c r="AM97" s="213" t="s">
        <v>1644</v>
      </c>
      <c r="AN97" s="213" t="s">
        <v>1644</v>
      </c>
      <c r="AO97" s="213" t="s">
        <v>1644</v>
      </c>
      <c r="AP97" s="213" t="s">
        <v>1644</v>
      </c>
      <c r="AQ97" s="213" t="s">
        <v>1644</v>
      </c>
      <c r="AR97" s="213" t="s">
        <v>1644</v>
      </c>
      <c r="AS97" s="214" t="s">
        <v>1644</v>
      </c>
    </row>
    <row r="98" spans="1:45" ht="15.75" thickBot="1" x14ac:dyDescent="0.3">
      <c r="A98" s="212" t="s">
        <v>1173</v>
      </c>
      <c r="B98" s="48" t="s">
        <v>1174</v>
      </c>
      <c r="C98" s="214" t="s">
        <v>798</v>
      </c>
      <c r="D98" s="225"/>
      <c r="E98" s="226"/>
      <c r="F98" s="226"/>
      <c r="G98" s="220" t="s">
        <v>850</v>
      </c>
      <c r="H98" s="220" t="s">
        <v>850</v>
      </c>
      <c r="I98" s="220" t="s">
        <v>850</v>
      </c>
      <c r="J98" s="220" t="s">
        <v>850</v>
      </c>
      <c r="K98" s="220" t="s">
        <v>850</v>
      </c>
      <c r="L98" s="220" t="s">
        <v>850</v>
      </c>
      <c r="M98" s="220" t="s">
        <v>850</v>
      </c>
      <c r="N98" s="220" t="s">
        <v>850</v>
      </c>
      <c r="O98" s="220" t="s">
        <v>850</v>
      </c>
      <c r="P98" s="220" t="s">
        <v>850</v>
      </c>
      <c r="Q98" s="220" t="s">
        <v>850</v>
      </c>
      <c r="R98" s="220" t="s">
        <v>850</v>
      </c>
      <c r="S98" s="221">
        <v>9</v>
      </c>
      <c r="T98" s="219">
        <v>2509</v>
      </c>
      <c r="U98" s="222">
        <v>11440</v>
      </c>
      <c r="V98" s="212" t="s">
        <v>1643</v>
      </c>
      <c r="W98" s="213" t="s">
        <v>1643</v>
      </c>
      <c r="X98" s="213" t="s">
        <v>1643</v>
      </c>
      <c r="Y98" s="213" t="s">
        <v>1643</v>
      </c>
      <c r="Z98" s="213" t="s">
        <v>1643</v>
      </c>
      <c r="AA98" s="213" t="s">
        <v>1643</v>
      </c>
      <c r="AB98" s="213" t="s">
        <v>1643</v>
      </c>
      <c r="AC98" s="213" t="s">
        <v>1643</v>
      </c>
      <c r="AD98" s="213" t="s">
        <v>1644</v>
      </c>
      <c r="AE98" s="213" t="s">
        <v>1644</v>
      </c>
      <c r="AF98" s="213" t="s">
        <v>1643</v>
      </c>
      <c r="AG98" s="214" t="s">
        <v>1643</v>
      </c>
      <c r="AH98" s="212" t="s">
        <v>1644</v>
      </c>
      <c r="AI98" s="213" t="s">
        <v>1644</v>
      </c>
      <c r="AJ98" s="213" t="s">
        <v>1644</v>
      </c>
      <c r="AK98" s="213" t="s">
        <v>1644</v>
      </c>
      <c r="AL98" s="213" t="s">
        <v>1644</v>
      </c>
      <c r="AM98" s="213" t="s">
        <v>1644</v>
      </c>
      <c r="AN98" s="213" t="s">
        <v>1644</v>
      </c>
      <c r="AO98" s="213" t="s">
        <v>1644</v>
      </c>
      <c r="AP98" s="213" t="s">
        <v>1644</v>
      </c>
      <c r="AQ98" s="213" t="s">
        <v>1644</v>
      </c>
      <c r="AR98" s="213" t="s">
        <v>1644</v>
      </c>
      <c r="AS98" s="214" t="s">
        <v>1644</v>
      </c>
    </row>
    <row r="99" spans="1:45" ht="15.75" thickBot="1" x14ac:dyDescent="0.3">
      <c r="A99" s="212" t="s">
        <v>1177</v>
      </c>
      <c r="B99" s="48" t="s">
        <v>1178</v>
      </c>
      <c r="C99" s="214" t="s">
        <v>798</v>
      </c>
      <c r="D99" s="218">
        <v>20</v>
      </c>
      <c r="E99" s="219">
        <v>12222</v>
      </c>
      <c r="F99" s="219">
        <v>12222</v>
      </c>
      <c r="G99" s="227"/>
      <c r="H99" s="226"/>
      <c r="I99" s="226"/>
      <c r="J99" s="227"/>
      <c r="K99" s="226"/>
      <c r="L99" s="226"/>
      <c r="M99" s="227"/>
      <c r="N99" s="226"/>
      <c r="O99" s="226"/>
      <c r="P99" s="227"/>
      <c r="Q99" s="226"/>
      <c r="R99" s="226"/>
      <c r="S99" s="221">
        <v>14</v>
      </c>
      <c r="T99" s="219">
        <v>7457</v>
      </c>
      <c r="U99" s="222">
        <v>7457</v>
      </c>
      <c r="V99" s="212" t="s">
        <v>1644</v>
      </c>
      <c r="W99" s="213" t="s">
        <v>1644</v>
      </c>
      <c r="X99" s="213" t="s">
        <v>1644</v>
      </c>
      <c r="Y99" s="213" t="s">
        <v>1644</v>
      </c>
      <c r="Z99" s="213" t="s">
        <v>1644</v>
      </c>
      <c r="AA99" s="213" t="s">
        <v>1643</v>
      </c>
      <c r="AB99" s="213" t="s">
        <v>1643</v>
      </c>
      <c r="AC99" s="213" t="s">
        <v>1643</v>
      </c>
      <c r="AD99" s="213" t="s">
        <v>1644</v>
      </c>
      <c r="AE99" s="213" t="s">
        <v>1644</v>
      </c>
      <c r="AF99" s="213" t="s">
        <v>1644</v>
      </c>
      <c r="AG99" s="214" t="s">
        <v>1644</v>
      </c>
      <c r="AH99" s="212" t="s">
        <v>1644</v>
      </c>
      <c r="AI99" s="213" t="s">
        <v>1644</v>
      </c>
      <c r="AJ99" s="213" t="s">
        <v>1644</v>
      </c>
      <c r="AK99" s="213" t="s">
        <v>1644</v>
      </c>
      <c r="AL99" s="213" t="s">
        <v>1644</v>
      </c>
      <c r="AM99" s="213" t="s">
        <v>1643</v>
      </c>
      <c r="AN99" s="213" t="s">
        <v>1643</v>
      </c>
      <c r="AO99" s="213" t="s">
        <v>1643</v>
      </c>
      <c r="AP99" s="213" t="s">
        <v>1644</v>
      </c>
      <c r="AQ99" s="213" t="s">
        <v>1644</v>
      </c>
      <c r="AR99" s="213" t="s">
        <v>1644</v>
      </c>
      <c r="AS99" s="214" t="s">
        <v>1644</v>
      </c>
    </row>
    <row r="100" spans="1:45" ht="15.75" thickBot="1" x14ac:dyDescent="0.3">
      <c r="A100" s="212" t="s">
        <v>1181</v>
      </c>
      <c r="B100" s="48" t="s">
        <v>1182</v>
      </c>
      <c r="C100" s="214" t="s">
        <v>798</v>
      </c>
      <c r="D100" s="225"/>
      <c r="E100" s="226"/>
      <c r="F100" s="226"/>
      <c r="G100" s="227"/>
      <c r="H100" s="226"/>
      <c r="I100" s="226"/>
      <c r="J100" s="227"/>
      <c r="K100" s="226"/>
      <c r="L100" s="226"/>
      <c r="M100" s="227"/>
      <c r="N100" s="226"/>
      <c r="O100" s="226"/>
      <c r="P100" s="227"/>
      <c r="Q100" s="226"/>
      <c r="R100" s="226"/>
      <c r="S100" s="221">
        <v>10</v>
      </c>
      <c r="T100" s="219">
        <v>4000</v>
      </c>
      <c r="U100" s="222">
        <v>8000</v>
      </c>
      <c r="V100" s="212" t="s">
        <v>1644</v>
      </c>
      <c r="W100" s="213" t="s">
        <v>1644</v>
      </c>
      <c r="X100" s="213" t="s">
        <v>1644</v>
      </c>
      <c r="Y100" s="213" t="s">
        <v>1643</v>
      </c>
      <c r="Z100" s="213" t="s">
        <v>1644</v>
      </c>
      <c r="AA100" s="213" t="s">
        <v>1643</v>
      </c>
      <c r="AB100" s="213" t="s">
        <v>1644</v>
      </c>
      <c r="AC100" s="213" t="s">
        <v>1644</v>
      </c>
      <c r="AD100" s="213" t="s">
        <v>1643</v>
      </c>
      <c r="AE100" s="213" t="s">
        <v>1644</v>
      </c>
      <c r="AF100" s="213" t="s">
        <v>1643</v>
      </c>
      <c r="AG100" s="214" t="s">
        <v>1644</v>
      </c>
      <c r="AH100" s="212" t="s">
        <v>1644</v>
      </c>
      <c r="AI100" s="213" t="s">
        <v>1644</v>
      </c>
      <c r="AJ100" s="213" t="s">
        <v>1644</v>
      </c>
      <c r="AK100" s="213" t="s">
        <v>1643</v>
      </c>
      <c r="AL100" s="213" t="s">
        <v>1644</v>
      </c>
      <c r="AM100" s="213" t="s">
        <v>1643</v>
      </c>
      <c r="AN100" s="213" t="s">
        <v>1644</v>
      </c>
      <c r="AO100" s="213" t="s">
        <v>1644</v>
      </c>
      <c r="AP100" s="213" t="s">
        <v>1643</v>
      </c>
      <c r="AQ100" s="213" t="s">
        <v>1644</v>
      </c>
      <c r="AR100" s="213" t="s">
        <v>1643</v>
      </c>
      <c r="AS100" s="214" t="s">
        <v>1644</v>
      </c>
    </row>
    <row r="101" spans="1:45" ht="15.75" thickBot="1" x14ac:dyDescent="0.3">
      <c r="A101" s="212" t="s">
        <v>1183</v>
      </c>
      <c r="B101" s="48" t="s">
        <v>1184</v>
      </c>
      <c r="C101" s="214" t="s">
        <v>798</v>
      </c>
      <c r="D101" s="225"/>
      <c r="E101" s="226"/>
      <c r="F101" s="226"/>
      <c r="G101" s="221">
        <v>40</v>
      </c>
      <c r="H101" s="219">
        <v>19565</v>
      </c>
      <c r="I101" s="219">
        <v>20467</v>
      </c>
      <c r="J101" s="221">
        <v>35</v>
      </c>
      <c r="K101" s="219">
        <v>16926</v>
      </c>
      <c r="L101" s="219">
        <v>17636</v>
      </c>
      <c r="M101" s="227"/>
      <c r="N101" s="226"/>
      <c r="O101" s="226"/>
      <c r="P101" s="220" t="s">
        <v>850</v>
      </c>
      <c r="Q101" s="220" t="s">
        <v>850</v>
      </c>
      <c r="R101" s="220" t="s">
        <v>850</v>
      </c>
      <c r="S101" s="221">
        <v>20</v>
      </c>
      <c r="T101" s="219">
        <v>9620</v>
      </c>
      <c r="U101" s="222">
        <v>10026</v>
      </c>
      <c r="V101" s="212" t="s">
        <v>1644</v>
      </c>
      <c r="W101" s="213" t="s">
        <v>1644</v>
      </c>
      <c r="X101" s="213" t="s">
        <v>1644</v>
      </c>
      <c r="Y101" s="213" t="s">
        <v>1644</v>
      </c>
      <c r="Z101" s="213" t="s">
        <v>1644</v>
      </c>
      <c r="AA101" s="213" t="s">
        <v>1643</v>
      </c>
      <c r="AB101" s="213" t="s">
        <v>1643</v>
      </c>
      <c r="AC101" s="213" t="s">
        <v>1643</v>
      </c>
      <c r="AD101" s="213" t="s">
        <v>1644</v>
      </c>
      <c r="AE101" s="213" t="s">
        <v>1644</v>
      </c>
      <c r="AF101" s="213" t="s">
        <v>1644</v>
      </c>
      <c r="AG101" s="214" t="s">
        <v>1644</v>
      </c>
      <c r="AH101" s="212" t="s">
        <v>1644</v>
      </c>
      <c r="AI101" s="213" t="s">
        <v>1644</v>
      </c>
      <c r="AJ101" s="213" t="s">
        <v>1644</v>
      </c>
      <c r="AK101" s="213" t="s">
        <v>1644</v>
      </c>
      <c r="AL101" s="213" t="s">
        <v>1644</v>
      </c>
      <c r="AM101" s="213" t="s">
        <v>1644</v>
      </c>
      <c r="AN101" s="213" t="s">
        <v>1644</v>
      </c>
      <c r="AO101" s="213" t="s">
        <v>1643</v>
      </c>
      <c r="AP101" s="213" t="s">
        <v>1644</v>
      </c>
      <c r="AQ101" s="213" t="s">
        <v>1644</v>
      </c>
      <c r="AR101" s="213" t="s">
        <v>1644</v>
      </c>
      <c r="AS101" s="214" t="s">
        <v>1644</v>
      </c>
    </row>
    <row r="102" spans="1:45" ht="15.75" thickBot="1" x14ac:dyDescent="0.3">
      <c r="A102" s="212" t="s">
        <v>1185</v>
      </c>
      <c r="B102" s="48" t="s">
        <v>1186</v>
      </c>
      <c r="C102" s="214" t="s">
        <v>798</v>
      </c>
      <c r="D102" s="223" t="s">
        <v>850</v>
      </c>
      <c r="E102" s="220" t="s">
        <v>850</v>
      </c>
      <c r="F102" s="220" t="s">
        <v>850</v>
      </c>
      <c r="G102" s="220" t="s">
        <v>850</v>
      </c>
      <c r="H102" s="220" t="s">
        <v>850</v>
      </c>
      <c r="I102" s="220" t="s">
        <v>850</v>
      </c>
      <c r="J102" s="221">
        <v>23</v>
      </c>
      <c r="K102" s="219">
        <v>12000</v>
      </c>
      <c r="L102" s="219">
        <v>15000</v>
      </c>
      <c r="M102" s="221">
        <v>16</v>
      </c>
      <c r="N102" s="219">
        <v>8000</v>
      </c>
      <c r="O102" s="219">
        <v>10000</v>
      </c>
      <c r="P102" s="220" t="s">
        <v>850</v>
      </c>
      <c r="Q102" s="220" t="s">
        <v>850</v>
      </c>
      <c r="R102" s="220" t="s">
        <v>850</v>
      </c>
      <c r="S102" s="221">
        <v>8</v>
      </c>
      <c r="T102" s="219">
        <v>3648</v>
      </c>
      <c r="U102" s="222">
        <v>4200</v>
      </c>
      <c r="V102" s="209" t="s">
        <v>1644</v>
      </c>
      <c r="W102" s="210" t="s">
        <v>1644</v>
      </c>
      <c r="X102" s="210" t="s">
        <v>1644</v>
      </c>
      <c r="Y102" s="210" t="s">
        <v>1644</v>
      </c>
      <c r="Z102" s="210" t="s">
        <v>1644</v>
      </c>
      <c r="AA102" s="210" t="s">
        <v>1644</v>
      </c>
      <c r="AB102" s="210" t="s">
        <v>1644</v>
      </c>
      <c r="AC102" s="210" t="s">
        <v>1644</v>
      </c>
      <c r="AD102" s="210" t="s">
        <v>1644</v>
      </c>
      <c r="AE102" s="210" t="s">
        <v>1644</v>
      </c>
      <c r="AF102" s="210" t="s">
        <v>1644</v>
      </c>
      <c r="AG102" s="211" t="s">
        <v>1644</v>
      </c>
      <c r="AH102" s="209" t="s">
        <v>1644</v>
      </c>
      <c r="AI102" s="210" t="s">
        <v>1644</v>
      </c>
      <c r="AJ102" s="210" t="s">
        <v>1644</v>
      </c>
      <c r="AK102" s="210" t="s">
        <v>1644</v>
      </c>
      <c r="AL102" s="210" t="s">
        <v>1644</v>
      </c>
      <c r="AM102" s="210" t="s">
        <v>1644</v>
      </c>
      <c r="AN102" s="210" t="s">
        <v>1644</v>
      </c>
      <c r="AO102" s="210" t="s">
        <v>1644</v>
      </c>
      <c r="AP102" s="210" t="s">
        <v>1644</v>
      </c>
      <c r="AQ102" s="210" t="s">
        <v>1644</v>
      </c>
      <c r="AR102" s="210" t="s">
        <v>1644</v>
      </c>
      <c r="AS102" s="211" t="s">
        <v>1644</v>
      </c>
    </row>
    <row r="103" spans="1:45" ht="15.75" thickBot="1" x14ac:dyDescent="0.3">
      <c r="A103" s="212" t="s">
        <v>1197</v>
      </c>
      <c r="B103" s="48" t="s">
        <v>1198</v>
      </c>
      <c r="C103" s="214" t="s">
        <v>798</v>
      </c>
      <c r="D103" s="225"/>
      <c r="E103" s="226"/>
      <c r="F103" s="226"/>
      <c r="G103" s="227"/>
      <c r="H103" s="226"/>
      <c r="I103" s="226"/>
      <c r="J103" s="221">
        <v>34</v>
      </c>
      <c r="K103" s="219">
        <v>23400</v>
      </c>
      <c r="L103" s="219">
        <v>23400</v>
      </c>
      <c r="M103" s="221">
        <v>18</v>
      </c>
      <c r="N103" s="219">
        <v>11232</v>
      </c>
      <c r="O103" s="219">
        <v>11232</v>
      </c>
      <c r="P103" s="227"/>
      <c r="Q103" s="226"/>
      <c r="R103" s="226"/>
      <c r="S103" s="221">
        <v>10</v>
      </c>
      <c r="T103" s="219">
        <v>4914</v>
      </c>
      <c r="U103" s="222">
        <v>5000</v>
      </c>
      <c r="V103" s="212" t="s">
        <v>1644</v>
      </c>
      <c r="W103" s="213" t="s">
        <v>1644</v>
      </c>
      <c r="X103" s="213" t="s">
        <v>1644</v>
      </c>
      <c r="Y103" s="213" t="s">
        <v>1644</v>
      </c>
      <c r="Z103" s="213" t="s">
        <v>1644</v>
      </c>
      <c r="AA103" s="213" t="s">
        <v>1643</v>
      </c>
      <c r="AB103" s="213" t="s">
        <v>1643</v>
      </c>
      <c r="AC103" s="213" t="s">
        <v>1643</v>
      </c>
      <c r="AD103" s="213" t="s">
        <v>1643</v>
      </c>
      <c r="AE103" s="213" t="s">
        <v>1644</v>
      </c>
      <c r="AF103" s="213" t="s">
        <v>1644</v>
      </c>
      <c r="AG103" s="214" t="s">
        <v>1644</v>
      </c>
      <c r="AH103" s="212" t="s">
        <v>1644</v>
      </c>
      <c r="AI103" s="213" t="s">
        <v>1644</v>
      </c>
      <c r="AJ103" s="213" t="s">
        <v>1644</v>
      </c>
      <c r="AK103" s="213" t="s">
        <v>1644</v>
      </c>
      <c r="AL103" s="213" t="s">
        <v>1644</v>
      </c>
      <c r="AM103" s="213" t="s">
        <v>1644</v>
      </c>
      <c r="AN103" s="213" t="s">
        <v>1644</v>
      </c>
      <c r="AO103" s="213" t="s">
        <v>1644</v>
      </c>
      <c r="AP103" s="213" t="s">
        <v>1643</v>
      </c>
      <c r="AQ103" s="213" t="s">
        <v>1644</v>
      </c>
      <c r="AR103" s="213" t="s">
        <v>1644</v>
      </c>
      <c r="AS103" s="214" t="s">
        <v>1644</v>
      </c>
    </row>
    <row r="104" spans="1:45" ht="15.75" thickBot="1" x14ac:dyDescent="0.3">
      <c r="A104" s="212" t="s">
        <v>1211</v>
      </c>
      <c r="B104" s="48" t="s">
        <v>1212</v>
      </c>
      <c r="C104" s="214" t="s">
        <v>798</v>
      </c>
      <c r="D104" s="218">
        <v>18</v>
      </c>
      <c r="E104" s="219">
        <v>12084</v>
      </c>
      <c r="F104" s="219">
        <v>15906</v>
      </c>
      <c r="G104" s="221">
        <v>23</v>
      </c>
      <c r="H104" s="219">
        <v>19669</v>
      </c>
      <c r="I104" s="219">
        <v>20540</v>
      </c>
      <c r="J104" s="221">
        <v>20</v>
      </c>
      <c r="K104" s="219">
        <v>12438</v>
      </c>
      <c r="L104" s="219">
        <v>13593</v>
      </c>
      <c r="M104" s="221">
        <v>20</v>
      </c>
      <c r="N104" s="219">
        <v>10712</v>
      </c>
      <c r="O104" s="219">
        <v>12105</v>
      </c>
      <c r="P104" s="220" t="s">
        <v>850</v>
      </c>
      <c r="Q104" s="220" t="s">
        <v>850</v>
      </c>
      <c r="R104" s="220" t="s">
        <v>850</v>
      </c>
      <c r="S104" s="221">
        <v>20</v>
      </c>
      <c r="T104" s="219">
        <v>15267</v>
      </c>
      <c r="U104" s="222">
        <v>15725</v>
      </c>
      <c r="V104" s="209" t="s">
        <v>1644</v>
      </c>
      <c r="W104" s="210" t="s">
        <v>1644</v>
      </c>
      <c r="X104" s="210" t="s">
        <v>1644</v>
      </c>
      <c r="Y104" s="210" t="s">
        <v>1644</v>
      </c>
      <c r="Z104" s="210" t="s">
        <v>1644</v>
      </c>
      <c r="AA104" s="210" t="s">
        <v>1644</v>
      </c>
      <c r="AB104" s="210" t="s">
        <v>1644</v>
      </c>
      <c r="AC104" s="210" t="s">
        <v>1644</v>
      </c>
      <c r="AD104" s="210" t="s">
        <v>1644</v>
      </c>
      <c r="AE104" s="210" t="s">
        <v>1644</v>
      </c>
      <c r="AF104" s="210" t="s">
        <v>1644</v>
      </c>
      <c r="AG104" s="211" t="s">
        <v>1644</v>
      </c>
      <c r="AH104" s="209" t="s">
        <v>1644</v>
      </c>
      <c r="AI104" s="210" t="s">
        <v>1644</v>
      </c>
      <c r="AJ104" s="210" t="s">
        <v>1644</v>
      </c>
      <c r="AK104" s="210" t="s">
        <v>1644</v>
      </c>
      <c r="AL104" s="210" t="s">
        <v>1644</v>
      </c>
      <c r="AM104" s="210" t="s">
        <v>1644</v>
      </c>
      <c r="AN104" s="210" t="s">
        <v>1644</v>
      </c>
      <c r="AO104" s="210" t="s">
        <v>1644</v>
      </c>
      <c r="AP104" s="210" t="s">
        <v>1644</v>
      </c>
      <c r="AQ104" s="210" t="s">
        <v>1644</v>
      </c>
      <c r="AR104" s="210" t="s">
        <v>1644</v>
      </c>
      <c r="AS104" s="211" t="s">
        <v>1644</v>
      </c>
    </row>
    <row r="105" spans="1:45" ht="15.75" thickBot="1" x14ac:dyDescent="0.3">
      <c r="A105" s="212" t="s">
        <v>1213</v>
      </c>
      <c r="B105" s="48" t="s">
        <v>1214</v>
      </c>
      <c r="C105" s="214" t="s">
        <v>798</v>
      </c>
      <c r="D105" s="225"/>
      <c r="E105" s="226"/>
      <c r="F105" s="226"/>
      <c r="G105" s="220" t="s">
        <v>850</v>
      </c>
      <c r="H105" s="220" t="s">
        <v>850</v>
      </c>
      <c r="I105" s="220" t="s">
        <v>850</v>
      </c>
      <c r="J105" s="221">
        <v>20</v>
      </c>
      <c r="K105" s="219">
        <v>15150</v>
      </c>
      <c r="L105" s="219">
        <v>15150</v>
      </c>
      <c r="M105" s="220" t="s">
        <v>850</v>
      </c>
      <c r="N105" s="220" t="s">
        <v>850</v>
      </c>
      <c r="O105" s="220" t="s">
        <v>850</v>
      </c>
      <c r="P105" s="227"/>
      <c r="Q105" s="226"/>
      <c r="R105" s="226"/>
      <c r="S105" s="221">
        <v>36</v>
      </c>
      <c r="T105" s="219">
        <v>27300</v>
      </c>
      <c r="U105" s="222">
        <v>27300</v>
      </c>
      <c r="V105" s="212" t="s">
        <v>1643</v>
      </c>
      <c r="W105" s="213" t="s">
        <v>1644</v>
      </c>
      <c r="X105" s="213" t="s">
        <v>1644</v>
      </c>
      <c r="Y105" s="213" t="s">
        <v>1644</v>
      </c>
      <c r="Z105" s="213" t="s">
        <v>1644</v>
      </c>
      <c r="AA105" s="213" t="s">
        <v>1644</v>
      </c>
      <c r="AB105" s="213" t="s">
        <v>1644</v>
      </c>
      <c r="AC105" s="213" t="s">
        <v>1643</v>
      </c>
      <c r="AD105" s="213" t="s">
        <v>1644</v>
      </c>
      <c r="AE105" s="213" t="s">
        <v>1644</v>
      </c>
      <c r="AF105" s="213" t="s">
        <v>1643</v>
      </c>
      <c r="AG105" s="214" t="s">
        <v>1644</v>
      </c>
      <c r="AH105" s="212" t="s">
        <v>1644</v>
      </c>
      <c r="AI105" s="213" t="s">
        <v>1644</v>
      </c>
      <c r="AJ105" s="213" t="s">
        <v>1644</v>
      </c>
      <c r="AK105" s="213" t="s">
        <v>1644</v>
      </c>
      <c r="AL105" s="213" t="s">
        <v>1644</v>
      </c>
      <c r="AM105" s="213" t="s">
        <v>1644</v>
      </c>
      <c r="AN105" s="213" t="s">
        <v>1644</v>
      </c>
      <c r="AO105" s="213" t="s">
        <v>1643</v>
      </c>
      <c r="AP105" s="213" t="s">
        <v>1644</v>
      </c>
      <c r="AQ105" s="213" t="s">
        <v>1644</v>
      </c>
      <c r="AR105" s="213" t="s">
        <v>1644</v>
      </c>
      <c r="AS105" s="214" t="s">
        <v>1644</v>
      </c>
    </row>
    <row r="106" spans="1:45" ht="15.75" thickBot="1" x14ac:dyDescent="0.3">
      <c r="A106" s="212" t="s">
        <v>1233</v>
      </c>
      <c r="B106" s="48" t="s">
        <v>1234</v>
      </c>
      <c r="C106" s="214" t="s">
        <v>798</v>
      </c>
      <c r="D106" s="218">
        <v>14</v>
      </c>
      <c r="E106" s="219">
        <v>8000</v>
      </c>
      <c r="F106" s="219">
        <v>10000</v>
      </c>
      <c r="G106" s="220" t="s">
        <v>850</v>
      </c>
      <c r="H106" s="220" t="s">
        <v>850</v>
      </c>
      <c r="I106" s="220" t="s">
        <v>850</v>
      </c>
      <c r="J106" s="220" t="s">
        <v>850</v>
      </c>
      <c r="K106" s="220" t="s">
        <v>850</v>
      </c>
      <c r="L106" s="220" t="s">
        <v>850</v>
      </c>
      <c r="M106" s="220" t="s">
        <v>850</v>
      </c>
      <c r="N106" s="220" t="s">
        <v>850</v>
      </c>
      <c r="O106" s="220" t="s">
        <v>850</v>
      </c>
      <c r="P106" s="220" t="s">
        <v>850</v>
      </c>
      <c r="Q106" s="220" t="s">
        <v>850</v>
      </c>
      <c r="R106" s="220" t="s">
        <v>850</v>
      </c>
      <c r="S106" s="221">
        <v>12</v>
      </c>
      <c r="T106" s="219">
        <v>6000</v>
      </c>
      <c r="U106" s="222">
        <v>8000</v>
      </c>
      <c r="V106" s="209" t="s">
        <v>1644</v>
      </c>
      <c r="W106" s="210" t="s">
        <v>1644</v>
      </c>
      <c r="X106" s="210" t="s">
        <v>1644</v>
      </c>
      <c r="Y106" s="210" t="s">
        <v>1644</v>
      </c>
      <c r="Z106" s="210" t="s">
        <v>1644</v>
      </c>
      <c r="AA106" s="210" t="s">
        <v>1644</v>
      </c>
      <c r="AB106" s="210" t="s">
        <v>1644</v>
      </c>
      <c r="AC106" s="210" t="s">
        <v>1644</v>
      </c>
      <c r="AD106" s="210" t="s">
        <v>1644</v>
      </c>
      <c r="AE106" s="210" t="s">
        <v>1644</v>
      </c>
      <c r="AF106" s="210" t="s">
        <v>1644</v>
      </c>
      <c r="AG106" s="211" t="s">
        <v>1644</v>
      </c>
      <c r="AH106" s="209" t="s">
        <v>1644</v>
      </c>
      <c r="AI106" s="210" t="s">
        <v>1644</v>
      </c>
      <c r="AJ106" s="210" t="s">
        <v>1644</v>
      </c>
      <c r="AK106" s="210" t="s">
        <v>1644</v>
      </c>
      <c r="AL106" s="210" t="s">
        <v>1644</v>
      </c>
      <c r="AM106" s="210" t="s">
        <v>1644</v>
      </c>
      <c r="AN106" s="210" t="s">
        <v>1644</v>
      </c>
      <c r="AO106" s="210" t="s">
        <v>1644</v>
      </c>
      <c r="AP106" s="210" t="s">
        <v>1644</v>
      </c>
      <c r="AQ106" s="210" t="s">
        <v>1644</v>
      </c>
      <c r="AR106" s="210" t="s">
        <v>1644</v>
      </c>
      <c r="AS106" s="211" t="s">
        <v>1644</v>
      </c>
    </row>
    <row r="107" spans="1:45" ht="15.75" thickBot="1" x14ac:dyDescent="0.3">
      <c r="A107" s="212" t="s">
        <v>1239</v>
      </c>
      <c r="B107" s="48" t="s">
        <v>1240</v>
      </c>
      <c r="C107" s="214" t="s">
        <v>798</v>
      </c>
      <c r="D107" s="225"/>
      <c r="E107" s="226"/>
      <c r="F107" s="226"/>
      <c r="G107" s="227"/>
      <c r="H107" s="226"/>
      <c r="I107" s="226"/>
      <c r="J107" s="227"/>
      <c r="K107" s="226"/>
      <c r="L107" s="226"/>
      <c r="M107" s="227"/>
      <c r="N107" s="226"/>
      <c r="O107" s="226"/>
      <c r="P107" s="227"/>
      <c r="Q107" s="226"/>
      <c r="R107" s="226"/>
      <c r="S107" s="221">
        <v>9</v>
      </c>
      <c r="T107" s="219">
        <v>4862</v>
      </c>
      <c r="U107" s="222">
        <v>5900</v>
      </c>
      <c r="V107" s="212" t="s">
        <v>1644</v>
      </c>
      <c r="W107" s="213" t="s">
        <v>1644</v>
      </c>
      <c r="X107" s="213" t="s">
        <v>1644</v>
      </c>
      <c r="Y107" s="213" t="s">
        <v>1644</v>
      </c>
      <c r="Z107" s="213" t="s">
        <v>1644</v>
      </c>
      <c r="AA107" s="213" t="s">
        <v>1644</v>
      </c>
      <c r="AB107" s="213" t="s">
        <v>1644</v>
      </c>
      <c r="AC107" s="213" t="s">
        <v>1644</v>
      </c>
      <c r="AD107" s="213" t="s">
        <v>1644</v>
      </c>
      <c r="AE107" s="213" t="s">
        <v>1644</v>
      </c>
      <c r="AF107" s="213" t="s">
        <v>1644</v>
      </c>
      <c r="AG107" s="214" t="s">
        <v>1644</v>
      </c>
      <c r="AH107" s="212" t="s">
        <v>1644</v>
      </c>
      <c r="AI107" s="213" t="s">
        <v>1644</v>
      </c>
      <c r="AJ107" s="213" t="s">
        <v>1644</v>
      </c>
      <c r="AK107" s="213" t="s">
        <v>1644</v>
      </c>
      <c r="AL107" s="213" t="s">
        <v>1644</v>
      </c>
      <c r="AM107" s="213" t="s">
        <v>1644</v>
      </c>
      <c r="AN107" s="213" t="s">
        <v>1644</v>
      </c>
      <c r="AO107" s="213" t="s">
        <v>1644</v>
      </c>
      <c r="AP107" s="213" t="s">
        <v>1644</v>
      </c>
      <c r="AQ107" s="213" t="s">
        <v>1644</v>
      </c>
      <c r="AR107" s="213" t="s">
        <v>1643</v>
      </c>
      <c r="AS107" s="214" t="s">
        <v>1644</v>
      </c>
    </row>
    <row r="108" spans="1:45" ht="15.75" thickBot="1" x14ac:dyDescent="0.3">
      <c r="A108" s="212" t="s">
        <v>1245</v>
      </c>
      <c r="B108" s="48" t="s">
        <v>1246</v>
      </c>
      <c r="C108" s="214" t="s">
        <v>798</v>
      </c>
      <c r="D108" s="225"/>
      <c r="E108" s="226"/>
      <c r="F108" s="226"/>
      <c r="G108" s="221">
        <v>16</v>
      </c>
      <c r="H108" s="219">
        <v>6240</v>
      </c>
      <c r="I108" s="219">
        <v>14560</v>
      </c>
      <c r="J108" s="221">
        <v>35</v>
      </c>
      <c r="K108" s="219">
        <v>23296</v>
      </c>
      <c r="L108" s="219">
        <v>25480</v>
      </c>
      <c r="M108" s="221">
        <v>14</v>
      </c>
      <c r="N108" s="219">
        <v>6864</v>
      </c>
      <c r="O108" s="219">
        <v>8008</v>
      </c>
      <c r="P108" s="227"/>
      <c r="Q108" s="226"/>
      <c r="R108" s="226"/>
      <c r="S108" s="227"/>
      <c r="T108" s="226"/>
      <c r="U108" s="228"/>
      <c r="V108" s="212" t="s">
        <v>1643</v>
      </c>
      <c r="W108" s="213" t="s">
        <v>1644</v>
      </c>
      <c r="X108" s="213" t="s">
        <v>1644</v>
      </c>
      <c r="Y108" s="213" t="s">
        <v>1644</v>
      </c>
      <c r="Z108" s="213" t="s">
        <v>1644</v>
      </c>
      <c r="AA108" s="213" t="s">
        <v>1643</v>
      </c>
      <c r="AB108" s="213" t="s">
        <v>1643</v>
      </c>
      <c r="AC108" s="213" t="s">
        <v>1643</v>
      </c>
      <c r="AD108" s="213" t="s">
        <v>1644</v>
      </c>
      <c r="AE108" s="213" t="s">
        <v>1644</v>
      </c>
      <c r="AF108" s="213" t="s">
        <v>1644</v>
      </c>
      <c r="AG108" s="214" t="s">
        <v>1644</v>
      </c>
      <c r="AH108" s="212" t="s">
        <v>1644</v>
      </c>
      <c r="AI108" s="213" t="s">
        <v>1644</v>
      </c>
      <c r="AJ108" s="213" t="s">
        <v>1644</v>
      </c>
      <c r="AK108" s="213" t="s">
        <v>1644</v>
      </c>
      <c r="AL108" s="213" t="s">
        <v>1644</v>
      </c>
      <c r="AM108" s="213" t="s">
        <v>1644</v>
      </c>
      <c r="AN108" s="213" t="s">
        <v>1643</v>
      </c>
      <c r="AO108" s="213" t="s">
        <v>1643</v>
      </c>
      <c r="AP108" s="213" t="s">
        <v>1644</v>
      </c>
      <c r="AQ108" s="213" t="s">
        <v>1644</v>
      </c>
      <c r="AR108" s="213" t="s">
        <v>1644</v>
      </c>
      <c r="AS108" s="214" t="s">
        <v>1644</v>
      </c>
    </row>
    <row r="109" spans="1:45" ht="15.75" thickBot="1" x14ac:dyDescent="0.3">
      <c r="A109" s="212" t="s">
        <v>1249</v>
      </c>
      <c r="B109" s="48" t="s">
        <v>1250</v>
      </c>
      <c r="C109" s="214" t="s">
        <v>798</v>
      </c>
      <c r="D109" s="223" t="s">
        <v>850</v>
      </c>
      <c r="E109" s="220" t="s">
        <v>850</v>
      </c>
      <c r="F109" s="220" t="s">
        <v>850</v>
      </c>
      <c r="G109" s="220" t="s">
        <v>850</v>
      </c>
      <c r="H109" s="220" t="s">
        <v>850</v>
      </c>
      <c r="I109" s="220" t="s">
        <v>850</v>
      </c>
      <c r="J109" s="220" t="s">
        <v>850</v>
      </c>
      <c r="K109" s="220" t="s">
        <v>850</v>
      </c>
      <c r="L109" s="220" t="s">
        <v>850</v>
      </c>
      <c r="M109" s="220" t="s">
        <v>850</v>
      </c>
      <c r="N109" s="220" t="s">
        <v>850</v>
      </c>
      <c r="O109" s="220" t="s">
        <v>850</v>
      </c>
      <c r="P109" s="220" t="s">
        <v>850</v>
      </c>
      <c r="Q109" s="220" t="s">
        <v>850</v>
      </c>
      <c r="R109" s="220" t="s">
        <v>850</v>
      </c>
      <c r="S109" s="221">
        <v>20</v>
      </c>
      <c r="T109" s="219">
        <v>8000</v>
      </c>
      <c r="U109" s="222">
        <v>11960</v>
      </c>
      <c r="V109" s="212" t="s">
        <v>1644</v>
      </c>
      <c r="W109" s="213" t="s">
        <v>1644</v>
      </c>
      <c r="X109" s="213" t="s">
        <v>1644</v>
      </c>
      <c r="Y109" s="213" t="s">
        <v>1644</v>
      </c>
      <c r="Z109" s="213" t="s">
        <v>1644</v>
      </c>
      <c r="AA109" s="213" t="s">
        <v>1644</v>
      </c>
      <c r="AB109" s="213" t="s">
        <v>1644</v>
      </c>
      <c r="AC109" s="213" t="s">
        <v>1644</v>
      </c>
      <c r="AD109" s="213" t="s">
        <v>1644</v>
      </c>
      <c r="AE109" s="213" t="s">
        <v>1644</v>
      </c>
      <c r="AF109" s="213" t="s">
        <v>1644</v>
      </c>
      <c r="AG109" s="214" t="s">
        <v>1644</v>
      </c>
      <c r="AH109" s="212" t="s">
        <v>1644</v>
      </c>
      <c r="AI109" s="213" t="s">
        <v>1644</v>
      </c>
      <c r="AJ109" s="213" t="s">
        <v>1644</v>
      </c>
      <c r="AK109" s="213" t="s">
        <v>1644</v>
      </c>
      <c r="AL109" s="213" t="s">
        <v>1644</v>
      </c>
      <c r="AM109" s="213" t="s">
        <v>1644</v>
      </c>
      <c r="AN109" s="213" t="s">
        <v>1644</v>
      </c>
      <c r="AO109" s="213" t="s">
        <v>1644</v>
      </c>
      <c r="AP109" s="213" t="s">
        <v>1644</v>
      </c>
      <c r="AQ109" s="213" t="s">
        <v>1644</v>
      </c>
      <c r="AR109" s="213" t="s">
        <v>1644</v>
      </c>
      <c r="AS109" s="214" t="s">
        <v>1644</v>
      </c>
    </row>
    <row r="110" spans="1:45" ht="15.75" thickBot="1" x14ac:dyDescent="0.3">
      <c r="A110" s="212" t="s">
        <v>1261</v>
      </c>
      <c r="B110" s="48" t="s">
        <v>1262</v>
      </c>
      <c r="C110" s="214" t="s">
        <v>798</v>
      </c>
      <c r="D110" s="225"/>
      <c r="E110" s="226"/>
      <c r="F110" s="226"/>
      <c r="G110" s="227"/>
      <c r="H110" s="226"/>
      <c r="I110" s="226"/>
      <c r="J110" s="221" t="s">
        <v>3453</v>
      </c>
      <c r="K110" s="219">
        <v>11750</v>
      </c>
      <c r="L110" s="219">
        <v>11750</v>
      </c>
      <c r="M110" s="221">
        <v>34</v>
      </c>
      <c r="N110" s="219">
        <v>10000</v>
      </c>
      <c r="O110" s="219">
        <v>10000</v>
      </c>
      <c r="P110" s="227"/>
      <c r="Q110" s="226"/>
      <c r="R110" s="226"/>
      <c r="S110" s="221">
        <v>20</v>
      </c>
      <c r="T110" s="219">
        <v>8400</v>
      </c>
      <c r="U110" s="222">
        <v>7400</v>
      </c>
      <c r="V110" s="209" t="s">
        <v>1644</v>
      </c>
      <c r="W110" s="210" t="s">
        <v>1644</v>
      </c>
      <c r="X110" s="210" t="s">
        <v>1644</v>
      </c>
      <c r="Y110" s="210" t="s">
        <v>1644</v>
      </c>
      <c r="Z110" s="210" t="s">
        <v>1644</v>
      </c>
      <c r="AA110" s="210" t="s">
        <v>1644</v>
      </c>
      <c r="AB110" s="210" t="s">
        <v>1644</v>
      </c>
      <c r="AC110" s="210" t="s">
        <v>1644</v>
      </c>
      <c r="AD110" s="210" t="s">
        <v>1644</v>
      </c>
      <c r="AE110" s="210" t="s">
        <v>1644</v>
      </c>
      <c r="AF110" s="210" t="s">
        <v>1644</v>
      </c>
      <c r="AG110" s="211" t="s">
        <v>1644</v>
      </c>
      <c r="AH110" s="209" t="s">
        <v>1644</v>
      </c>
      <c r="AI110" s="210" t="s">
        <v>1644</v>
      </c>
      <c r="AJ110" s="210" t="s">
        <v>1644</v>
      </c>
      <c r="AK110" s="210" t="s">
        <v>1644</v>
      </c>
      <c r="AL110" s="210" t="s">
        <v>1644</v>
      </c>
      <c r="AM110" s="210" t="s">
        <v>1644</v>
      </c>
      <c r="AN110" s="210" t="s">
        <v>1644</v>
      </c>
      <c r="AO110" s="210" t="s">
        <v>1644</v>
      </c>
      <c r="AP110" s="210" t="s">
        <v>1644</v>
      </c>
      <c r="AQ110" s="210" t="s">
        <v>1644</v>
      </c>
      <c r="AR110" s="210" t="s">
        <v>1644</v>
      </c>
      <c r="AS110" s="211" t="s">
        <v>1644</v>
      </c>
    </row>
    <row r="111" spans="1:45" ht="15.75" thickBot="1" x14ac:dyDescent="0.3">
      <c r="A111" s="212" t="s">
        <v>1263</v>
      </c>
      <c r="B111" s="48" t="s">
        <v>1264</v>
      </c>
      <c r="C111" s="214" t="s">
        <v>798</v>
      </c>
      <c r="D111" s="223" t="s">
        <v>850</v>
      </c>
      <c r="E111" s="220" t="s">
        <v>850</v>
      </c>
      <c r="F111" s="220" t="s">
        <v>850</v>
      </c>
      <c r="G111" s="220" t="s">
        <v>850</v>
      </c>
      <c r="H111" s="220" t="s">
        <v>850</v>
      </c>
      <c r="I111" s="220" t="s">
        <v>850</v>
      </c>
      <c r="J111" s="221">
        <v>16</v>
      </c>
      <c r="K111" s="219">
        <v>7000</v>
      </c>
      <c r="L111" s="219">
        <v>12000</v>
      </c>
      <c r="M111" s="221">
        <v>12</v>
      </c>
      <c r="N111" s="219">
        <v>3000</v>
      </c>
      <c r="O111" s="219">
        <v>8000</v>
      </c>
      <c r="P111" s="220" t="s">
        <v>850</v>
      </c>
      <c r="Q111" s="220" t="s">
        <v>850</v>
      </c>
      <c r="R111" s="220" t="s">
        <v>850</v>
      </c>
      <c r="S111" s="220" t="s">
        <v>850</v>
      </c>
      <c r="T111" s="220" t="s">
        <v>850</v>
      </c>
      <c r="U111" s="224" t="s">
        <v>850</v>
      </c>
      <c r="V111" s="209" t="s">
        <v>1644</v>
      </c>
      <c r="W111" s="210" t="s">
        <v>1644</v>
      </c>
      <c r="X111" s="210" t="s">
        <v>1644</v>
      </c>
      <c r="Y111" s="210" t="s">
        <v>1644</v>
      </c>
      <c r="Z111" s="210" t="s">
        <v>1644</v>
      </c>
      <c r="AA111" s="210" t="s">
        <v>1644</v>
      </c>
      <c r="AB111" s="210" t="s">
        <v>1644</v>
      </c>
      <c r="AC111" s="210" t="s">
        <v>1644</v>
      </c>
      <c r="AD111" s="210" t="s">
        <v>1644</v>
      </c>
      <c r="AE111" s="210" t="s">
        <v>1644</v>
      </c>
      <c r="AF111" s="210" t="s">
        <v>1644</v>
      </c>
      <c r="AG111" s="211" t="s">
        <v>1644</v>
      </c>
      <c r="AH111" s="209" t="s">
        <v>1644</v>
      </c>
      <c r="AI111" s="210" t="s">
        <v>1644</v>
      </c>
      <c r="AJ111" s="210" t="s">
        <v>1644</v>
      </c>
      <c r="AK111" s="210" t="s">
        <v>1644</v>
      </c>
      <c r="AL111" s="210" t="s">
        <v>1644</v>
      </c>
      <c r="AM111" s="210" t="s">
        <v>1644</v>
      </c>
      <c r="AN111" s="213" t="s">
        <v>1643</v>
      </c>
      <c r="AO111" s="213" t="s">
        <v>1643</v>
      </c>
      <c r="AP111" s="210" t="s">
        <v>1644</v>
      </c>
      <c r="AQ111" s="210" t="s">
        <v>1644</v>
      </c>
      <c r="AR111" s="210" t="s">
        <v>1644</v>
      </c>
      <c r="AS111" s="211" t="s">
        <v>1644</v>
      </c>
    </row>
    <row r="112" spans="1:45" ht="15.75" thickBot="1" x14ac:dyDescent="0.3">
      <c r="A112" s="212" t="s">
        <v>1271</v>
      </c>
      <c r="B112" s="48" t="s">
        <v>1272</v>
      </c>
      <c r="C112" s="214" t="s">
        <v>798</v>
      </c>
      <c r="D112" s="218">
        <v>22</v>
      </c>
      <c r="E112" s="219">
        <v>9200</v>
      </c>
      <c r="F112" s="219">
        <v>9200</v>
      </c>
      <c r="G112" s="220" t="s">
        <v>850</v>
      </c>
      <c r="H112" s="220" t="s">
        <v>850</v>
      </c>
      <c r="I112" s="220" t="s">
        <v>850</v>
      </c>
      <c r="J112" s="220" t="s">
        <v>850</v>
      </c>
      <c r="K112" s="219">
        <v>12100</v>
      </c>
      <c r="L112" s="219">
        <v>12100</v>
      </c>
      <c r="M112" s="220" t="s">
        <v>850</v>
      </c>
      <c r="N112" s="220" t="s">
        <v>850</v>
      </c>
      <c r="O112" s="220" t="s">
        <v>850</v>
      </c>
      <c r="P112" s="220" t="s">
        <v>850</v>
      </c>
      <c r="Q112" s="220" t="s">
        <v>850</v>
      </c>
      <c r="R112" s="220" t="s">
        <v>850</v>
      </c>
      <c r="S112" s="220" t="s">
        <v>850</v>
      </c>
      <c r="T112" s="220" t="s">
        <v>850</v>
      </c>
      <c r="U112" s="224" t="s">
        <v>850</v>
      </c>
      <c r="V112" s="212" t="s">
        <v>1644</v>
      </c>
      <c r="W112" s="213" t="s">
        <v>1644</v>
      </c>
      <c r="X112" s="213" t="s">
        <v>1644</v>
      </c>
      <c r="Y112" s="213" t="s">
        <v>1644</v>
      </c>
      <c r="Z112" s="213" t="s">
        <v>1644</v>
      </c>
      <c r="AA112" s="213" t="s">
        <v>1644</v>
      </c>
      <c r="AB112" s="213" t="s">
        <v>1644</v>
      </c>
      <c r="AC112" s="213" t="s">
        <v>1644</v>
      </c>
      <c r="AD112" s="213" t="s">
        <v>1644</v>
      </c>
      <c r="AE112" s="213" t="s">
        <v>1644</v>
      </c>
      <c r="AF112" s="213" t="s">
        <v>1644</v>
      </c>
      <c r="AG112" s="214" t="s">
        <v>1644</v>
      </c>
      <c r="AH112" s="212" t="s">
        <v>1644</v>
      </c>
      <c r="AI112" s="213" t="s">
        <v>1644</v>
      </c>
      <c r="AJ112" s="213" t="s">
        <v>1644</v>
      </c>
      <c r="AK112" s="213" t="s">
        <v>1644</v>
      </c>
      <c r="AL112" s="213" t="s">
        <v>1644</v>
      </c>
      <c r="AM112" s="213" t="s">
        <v>1644</v>
      </c>
      <c r="AN112" s="213" t="s">
        <v>1644</v>
      </c>
      <c r="AO112" s="213" t="s">
        <v>1644</v>
      </c>
      <c r="AP112" s="213" t="s">
        <v>1644</v>
      </c>
      <c r="AQ112" s="213" t="s">
        <v>1644</v>
      </c>
      <c r="AR112" s="213" t="s">
        <v>1644</v>
      </c>
      <c r="AS112" s="214" t="s">
        <v>1644</v>
      </c>
    </row>
    <row r="113" spans="1:45" ht="15.75" thickBot="1" x14ac:dyDescent="0.3">
      <c r="A113" s="212" t="s">
        <v>1273</v>
      </c>
      <c r="B113" s="48" t="s">
        <v>1274</v>
      </c>
      <c r="C113" s="214" t="s">
        <v>798</v>
      </c>
      <c r="D113" s="225"/>
      <c r="E113" s="226"/>
      <c r="F113" s="226"/>
      <c r="G113" s="227"/>
      <c r="H113" s="226"/>
      <c r="I113" s="226"/>
      <c r="J113" s="227"/>
      <c r="K113" s="226"/>
      <c r="L113" s="226"/>
      <c r="M113" s="227"/>
      <c r="N113" s="226"/>
      <c r="O113" s="226"/>
      <c r="P113" s="227"/>
      <c r="Q113" s="226"/>
      <c r="R113" s="226"/>
      <c r="S113" s="221" t="s">
        <v>3453</v>
      </c>
      <c r="T113" s="219">
        <v>28866</v>
      </c>
      <c r="U113" s="222">
        <v>32805</v>
      </c>
      <c r="V113" s="209" t="s">
        <v>1644</v>
      </c>
      <c r="W113" s="210" t="s">
        <v>1644</v>
      </c>
      <c r="X113" s="210" t="s">
        <v>1644</v>
      </c>
      <c r="Y113" s="210" t="s">
        <v>1644</v>
      </c>
      <c r="Z113" s="210" t="s">
        <v>1644</v>
      </c>
      <c r="AA113" s="210" t="s">
        <v>1644</v>
      </c>
      <c r="AB113" s="210" t="s">
        <v>1644</v>
      </c>
      <c r="AC113" s="210" t="s">
        <v>1644</v>
      </c>
      <c r="AD113" s="210" t="s">
        <v>1644</v>
      </c>
      <c r="AE113" s="210" t="s">
        <v>1644</v>
      </c>
      <c r="AF113" s="210" t="s">
        <v>1644</v>
      </c>
      <c r="AG113" s="211" t="s">
        <v>1644</v>
      </c>
      <c r="AH113" s="212" t="s">
        <v>1644</v>
      </c>
      <c r="AI113" s="213" t="s">
        <v>1644</v>
      </c>
      <c r="AJ113" s="213" t="s">
        <v>1644</v>
      </c>
      <c r="AK113" s="213" t="s">
        <v>1643</v>
      </c>
      <c r="AL113" s="213" t="s">
        <v>1644</v>
      </c>
      <c r="AM113" s="213" t="s">
        <v>1643</v>
      </c>
      <c r="AN113" s="213" t="s">
        <v>1644</v>
      </c>
      <c r="AO113" s="213" t="s">
        <v>1643</v>
      </c>
      <c r="AP113" s="213" t="s">
        <v>1644</v>
      </c>
      <c r="AQ113" s="213" t="s">
        <v>1643</v>
      </c>
      <c r="AR113" s="213" t="s">
        <v>1643</v>
      </c>
      <c r="AS113" s="214" t="s">
        <v>1643</v>
      </c>
    </row>
    <row r="114" spans="1:45" ht="15.75" thickBot="1" x14ac:dyDescent="0.3">
      <c r="A114" s="212" t="s">
        <v>1279</v>
      </c>
      <c r="B114" s="48" t="s">
        <v>1280</v>
      </c>
      <c r="C114" s="214" t="s">
        <v>798</v>
      </c>
      <c r="D114" s="218">
        <v>20</v>
      </c>
      <c r="E114" s="219">
        <v>2875</v>
      </c>
      <c r="F114" s="219">
        <v>10373</v>
      </c>
      <c r="G114" s="220" t="s">
        <v>850</v>
      </c>
      <c r="H114" s="220" t="s">
        <v>850</v>
      </c>
      <c r="I114" s="220" t="s">
        <v>850</v>
      </c>
      <c r="J114" s="220" t="s">
        <v>850</v>
      </c>
      <c r="K114" s="220" t="s">
        <v>850</v>
      </c>
      <c r="L114" s="220" t="s">
        <v>850</v>
      </c>
      <c r="M114" s="220" t="s">
        <v>850</v>
      </c>
      <c r="N114" s="220" t="s">
        <v>850</v>
      </c>
      <c r="O114" s="220" t="s">
        <v>850</v>
      </c>
      <c r="P114" s="220" t="s">
        <v>850</v>
      </c>
      <c r="Q114" s="220" t="s">
        <v>850</v>
      </c>
      <c r="R114" s="220" t="s">
        <v>850</v>
      </c>
      <c r="S114" s="221">
        <v>10</v>
      </c>
      <c r="T114" s="219">
        <v>2875</v>
      </c>
      <c r="U114" s="222">
        <v>9000</v>
      </c>
      <c r="V114" s="209" t="s">
        <v>1644</v>
      </c>
      <c r="W114" s="210" t="s">
        <v>1644</v>
      </c>
      <c r="X114" s="210" t="s">
        <v>1644</v>
      </c>
      <c r="Y114" s="210" t="s">
        <v>1644</v>
      </c>
      <c r="Z114" s="210" t="s">
        <v>1644</v>
      </c>
      <c r="AA114" s="210" t="s">
        <v>1644</v>
      </c>
      <c r="AB114" s="210" t="s">
        <v>1644</v>
      </c>
      <c r="AC114" s="210" t="s">
        <v>1644</v>
      </c>
      <c r="AD114" s="210" t="s">
        <v>1644</v>
      </c>
      <c r="AE114" s="210" t="s">
        <v>1644</v>
      </c>
      <c r="AF114" s="210" t="s">
        <v>1644</v>
      </c>
      <c r="AG114" s="211" t="s">
        <v>1644</v>
      </c>
      <c r="AH114" s="209" t="s">
        <v>1644</v>
      </c>
      <c r="AI114" s="210" t="s">
        <v>1644</v>
      </c>
      <c r="AJ114" s="210" t="s">
        <v>1644</v>
      </c>
      <c r="AK114" s="210" t="s">
        <v>1644</v>
      </c>
      <c r="AL114" s="210" t="s">
        <v>1644</v>
      </c>
      <c r="AM114" s="210" t="s">
        <v>1644</v>
      </c>
      <c r="AN114" s="210" t="s">
        <v>1644</v>
      </c>
      <c r="AO114" s="210" t="s">
        <v>1644</v>
      </c>
      <c r="AP114" s="210" t="s">
        <v>1644</v>
      </c>
      <c r="AQ114" s="210" t="s">
        <v>1644</v>
      </c>
      <c r="AR114" s="210" t="s">
        <v>1644</v>
      </c>
      <c r="AS114" s="211" t="s">
        <v>1644</v>
      </c>
    </row>
    <row r="115" spans="1:45" ht="15.75" thickBot="1" x14ac:dyDescent="0.3">
      <c r="A115" s="212" t="s">
        <v>1297</v>
      </c>
      <c r="B115" s="48" t="s">
        <v>1298</v>
      </c>
      <c r="C115" s="214" t="s">
        <v>798</v>
      </c>
      <c r="D115" s="225"/>
      <c r="E115" s="226"/>
      <c r="F115" s="226"/>
      <c r="G115" s="227"/>
      <c r="H115" s="226"/>
      <c r="I115" s="226"/>
      <c r="J115" s="227"/>
      <c r="K115" s="226"/>
      <c r="L115" s="226"/>
      <c r="M115" s="227"/>
      <c r="N115" s="226"/>
      <c r="O115" s="226"/>
      <c r="P115" s="227"/>
      <c r="Q115" s="226"/>
      <c r="R115" s="226"/>
      <c r="S115" s="221">
        <v>30</v>
      </c>
      <c r="T115" s="219">
        <v>2881</v>
      </c>
      <c r="U115" s="222">
        <v>23497</v>
      </c>
      <c r="V115" s="212" t="s">
        <v>1644</v>
      </c>
      <c r="W115" s="213" t="s">
        <v>1644</v>
      </c>
      <c r="X115" s="213" t="s">
        <v>1644</v>
      </c>
      <c r="Y115" s="213" t="s">
        <v>1644</v>
      </c>
      <c r="Z115" s="213" t="s">
        <v>1644</v>
      </c>
      <c r="AA115" s="213" t="s">
        <v>1643</v>
      </c>
      <c r="AB115" s="213" t="s">
        <v>1643</v>
      </c>
      <c r="AC115" s="213" t="s">
        <v>1643</v>
      </c>
      <c r="AD115" s="213" t="s">
        <v>1644</v>
      </c>
      <c r="AE115" s="213" t="s">
        <v>1644</v>
      </c>
      <c r="AF115" s="213" t="s">
        <v>1644</v>
      </c>
      <c r="AG115" s="214" t="s">
        <v>1644</v>
      </c>
      <c r="AH115" s="212" t="s">
        <v>1644</v>
      </c>
      <c r="AI115" s="213" t="s">
        <v>1644</v>
      </c>
      <c r="AJ115" s="213" t="s">
        <v>1644</v>
      </c>
      <c r="AK115" s="213" t="s">
        <v>1644</v>
      </c>
      <c r="AL115" s="213" t="s">
        <v>1644</v>
      </c>
      <c r="AM115" s="213" t="s">
        <v>1644</v>
      </c>
      <c r="AN115" s="213" t="s">
        <v>1643</v>
      </c>
      <c r="AO115" s="213" t="s">
        <v>1644</v>
      </c>
      <c r="AP115" s="213" t="s">
        <v>1644</v>
      </c>
      <c r="AQ115" s="213" t="s">
        <v>1644</v>
      </c>
      <c r="AR115" s="213" t="s">
        <v>1644</v>
      </c>
      <c r="AS115" s="214" t="s">
        <v>1644</v>
      </c>
    </row>
    <row r="116" spans="1:45" ht="15.75" thickBot="1" x14ac:dyDescent="0.3">
      <c r="A116" s="212" t="s">
        <v>1299</v>
      </c>
      <c r="B116" s="48" t="s">
        <v>1300</v>
      </c>
      <c r="C116" s="214" t="s">
        <v>798</v>
      </c>
      <c r="D116" s="218">
        <v>40</v>
      </c>
      <c r="E116" s="219">
        <v>25000</v>
      </c>
      <c r="F116" s="219">
        <v>30000</v>
      </c>
      <c r="G116" s="221">
        <v>40</v>
      </c>
      <c r="H116" s="219">
        <v>25000</v>
      </c>
      <c r="I116" s="219">
        <v>35000</v>
      </c>
      <c r="J116" s="220" t="s">
        <v>850</v>
      </c>
      <c r="K116" s="220" t="s">
        <v>850</v>
      </c>
      <c r="L116" s="220" t="s">
        <v>850</v>
      </c>
      <c r="M116" s="220" t="s">
        <v>850</v>
      </c>
      <c r="N116" s="220" t="s">
        <v>850</v>
      </c>
      <c r="O116" s="220" t="s">
        <v>850</v>
      </c>
      <c r="P116" s="221">
        <v>14</v>
      </c>
      <c r="Q116" s="219">
        <v>12000</v>
      </c>
      <c r="R116" s="219">
        <v>18000</v>
      </c>
      <c r="S116" s="221">
        <v>33</v>
      </c>
      <c r="T116" s="220" t="s">
        <v>850</v>
      </c>
      <c r="U116" s="224" t="s">
        <v>850</v>
      </c>
      <c r="V116" s="212" t="s">
        <v>1643</v>
      </c>
      <c r="W116" s="213" t="s">
        <v>1643</v>
      </c>
      <c r="X116" s="213" t="s">
        <v>1644</v>
      </c>
      <c r="Y116" s="213" t="s">
        <v>1644</v>
      </c>
      <c r="Z116" s="213" t="s">
        <v>1643</v>
      </c>
      <c r="AA116" s="213" t="s">
        <v>1643</v>
      </c>
      <c r="AB116" s="213" t="s">
        <v>1643</v>
      </c>
      <c r="AC116" s="213" t="s">
        <v>1643</v>
      </c>
      <c r="AD116" s="213" t="s">
        <v>1643</v>
      </c>
      <c r="AE116" s="213" t="s">
        <v>1644</v>
      </c>
      <c r="AF116" s="213" t="s">
        <v>1643</v>
      </c>
      <c r="AG116" s="214" t="s">
        <v>1644</v>
      </c>
      <c r="AH116" s="212" t="s">
        <v>1644</v>
      </c>
      <c r="AI116" s="213" t="s">
        <v>1644</v>
      </c>
      <c r="AJ116" s="213" t="s">
        <v>1644</v>
      </c>
      <c r="AK116" s="213" t="s">
        <v>1644</v>
      </c>
      <c r="AL116" s="213" t="s">
        <v>1644</v>
      </c>
      <c r="AM116" s="213" t="s">
        <v>1644</v>
      </c>
      <c r="AN116" s="213" t="s">
        <v>1643</v>
      </c>
      <c r="AO116" s="213" t="s">
        <v>1643</v>
      </c>
      <c r="AP116" s="213" t="s">
        <v>1644</v>
      </c>
      <c r="AQ116" s="213" t="s">
        <v>1644</v>
      </c>
      <c r="AR116" s="213" t="s">
        <v>1644</v>
      </c>
      <c r="AS116" s="214" t="s">
        <v>1644</v>
      </c>
    </row>
    <row r="117" spans="1:45" ht="15.75" thickBot="1" x14ac:dyDescent="0.3">
      <c r="A117" s="212" t="s">
        <v>1311</v>
      </c>
      <c r="B117" s="48" t="s">
        <v>1312</v>
      </c>
      <c r="C117" s="214" t="s">
        <v>798</v>
      </c>
      <c r="D117" s="218">
        <v>35</v>
      </c>
      <c r="E117" s="219">
        <v>18000</v>
      </c>
      <c r="F117" s="219">
        <v>25000</v>
      </c>
      <c r="G117" s="221">
        <v>1</v>
      </c>
      <c r="H117" s="219">
        <v>100</v>
      </c>
      <c r="I117" s="219">
        <v>100</v>
      </c>
      <c r="J117" s="221">
        <v>1</v>
      </c>
      <c r="K117" s="219">
        <v>100</v>
      </c>
      <c r="L117" s="219">
        <v>100</v>
      </c>
      <c r="M117" s="221">
        <v>1</v>
      </c>
      <c r="N117" s="219">
        <v>100</v>
      </c>
      <c r="O117" s="219">
        <v>100</v>
      </c>
      <c r="P117" s="221">
        <v>1</v>
      </c>
      <c r="Q117" s="219">
        <v>100</v>
      </c>
      <c r="R117" s="219">
        <v>100</v>
      </c>
      <c r="S117" s="221">
        <v>20</v>
      </c>
      <c r="T117" s="219">
        <v>10000</v>
      </c>
      <c r="U117" s="222">
        <v>16000</v>
      </c>
      <c r="V117" s="212" t="s">
        <v>1644</v>
      </c>
      <c r="W117" s="213" t="s">
        <v>1644</v>
      </c>
      <c r="X117" s="213" t="s">
        <v>1644</v>
      </c>
      <c r="Y117" s="213" t="s">
        <v>1644</v>
      </c>
      <c r="Z117" s="213" t="s">
        <v>1644</v>
      </c>
      <c r="AA117" s="213" t="s">
        <v>1644</v>
      </c>
      <c r="AB117" s="213" t="s">
        <v>1643</v>
      </c>
      <c r="AC117" s="213" t="s">
        <v>1644</v>
      </c>
      <c r="AD117" s="213" t="s">
        <v>1644</v>
      </c>
      <c r="AE117" s="213" t="s">
        <v>1644</v>
      </c>
      <c r="AF117" s="213" t="s">
        <v>1644</v>
      </c>
      <c r="AG117" s="214" t="s">
        <v>1644</v>
      </c>
      <c r="AH117" s="212" t="s">
        <v>1644</v>
      </c>
      <c r="AI117" s="213" t="s">
        <v>1644</v>
      </c>
      <c r="AJ117" s="213" t="s">
        <v>1644</v>
      </c>
      <c r="AK117" s="213" t="s">
        <v>1644</v>
      </c>
      <c r="AL117" s="213" t="s">
        <v>1644</v>
      </c>
      <c r="AM117" s="213" t="s">
        <v>1644</v>
      </c>
      <c r="AN117" s="213" t="s">
        <v>1643</v>
      </c>
      <c r="AO117" s="213" t="s">
        <v>1644</v>
      </c>
      <c r="AP117" s="213" t="s">
        <v>1644</v>
      </c>
      <c r="AQ117" s="213" t="s">
        <v>1644</v>
      </c>
      <c r="AR117" s="213" t="s">
        <v>1644</v>
      </c>
      <c r="AS117" s="214" t="s">
        <v>1644</v>
      </c>
    </row>
    <row r="118" spans="1:45" ht="15.75" thickBot="1" x14ac:dyDescent="0.3">
      <c r="A118" s="212" t="s">
        <v>1313</v>
      </c>
      <c r="B118" s="48" t="s">
        <v>1314</v>
      </c>
      <c r="C118" s="214" t="s">
        <v>798</v>
      </c>
      <c r="D118" s="225"/>
      <c r="E118" s="226"/>
      <c r="F118" s="226"/>
      <c r="G118" s="227"/>
      <c r="H118" s="226"/>
      <c r="I118" s="226"/>
      <c r="J118" s="221">
        <v>30</v>
      </c>
      <c r="K118" s="219">
        <v>20000</v>
      </c>
      <c r="L118" s="219">
        <v>21840</v>
      </c>
      <c r="M118" s="221">
        <v>30</v>
      </c>
      <c r="N118" s="219">
        <v>17160</v>
      </c>
      <c r="O118" s="219">
        <v>18720</v>
      </c>
      <c r="P118" s="227"/>
      <c r="Q118" s="226"/>
      <c r="R118" s="226"/>
      <c r="S118" s="221">
        <v>30</v>
      </c>
      <c r="T118" s="219">
        <v>14742</v>
      </c>
      <c r="U118" s="222">
        <v>18720</v>
      </c>
      <c r="V118" s="212" t="s">
        <v>1644</v>
      </c>
      <c r="W118" s="213" t="s">
        <v>1644</v>
      </c>
      <c r="X118" s="213" t="s">
        <v>1644</v>
      </c>
      <c r="Y118" s="213" t="s">
        <v>1644</v>
      </c>
      <c r="Z118" s="213" t="s">
        <v>1644</v>
      </c>
      <c r="AA118" s="213" t="s">
        <v>1643</v>
      </c>
      <c r="AB118" s="213" t="s">
        <v>1643</v>
      </c>
      <c r="AC118" s="213" t="s">
        <v>1643</v>
      </c>
      <c r="AD118" s="213" t="s">
        <v>1644</v>
      </c>
      <c r="AE118" s="213" t="s">
        <v>1644</v>
      </c>
      <c r="AF118" s="213" t="s">
        <v>1643</v>
      </c>
      <c r="AG118" s="214" t="s">
        <v>1644</v>
      </c>
      <c r="AH118" s="212" t="s">
        <v>1644</v>
      </c>
      <c r="AI118" s="213" t="s">
        <v>1644</v>
      </c>
      <c r="AJ118" s="213" t="s">
        <v>1644</v>
      </c>
      <c r="AK118" s="213" t="s">
        <v>1644</v>
      </c>
      <c r="AL118" s="213" t="s">
        <v>1644</v>
      </c>
      <c r="AM118" s="213" t="s">
        <v>1643</v>
      </c>
      <c r="AN118" s="213" t="s">
        <v>1643</v>
      </c>
      <c r="AO118" s="213" t="s">
        <v>1643</v>
      </c>
      <c r="AP118" s="213" t="s">
        <v>1644</v>
      </c>
      <c r="AQ118" s="213" t="s">
        <v>1644</v>
      </c>
      <c r="AR118" s="213" t="s">
        <v>1644</v>
      </c>
      <c r="AS118" s="214" t="s">
        <v>1644</v>
      </c>
    </row>
    <row r="119" spans="1:45" ht="15.75" thickBot="1" x14ac:dyDescent="0.3">
      <c r="A119" s="212" t="s">
        <v>1317</v>
      </c>
      <c r="B119" s="48" t="s">
        <v>1318</v>
      </c>
      <c r="C119" s="214" t="s">
        <v>798</v>
      </c>
      <c r="D119" s="223" t="s">
        <v>850</v>
      </c>
      <c r="E119" s="220" t="s">
        <v>850</v>
      </c>
      <c r="F119" s="220" t="s">
        <v>850</v>
      </c>
      <c r="G119" s="221">
        <v>18</v>
      </c>
      <c r="H119" s="219">
        <v>9</v>
      </c>
      <c r="I119" s="219">
        <v>10</v>
      </c>
      <c r="J119" s="220" t="s">
        <v>850</v>
      </c>
      <c r="K119" s="220" t="s">
        <v>850</v>
      </c>
      <c r="L119" s="220" t="s">
        <v>850</v>
      </c>
      <c r="M119" s="220" t="s">
        <v>850</v>
      </c>
      <c r="N119" s="220" t="s">
        <v>850</v>
      </c>
      <c r="O119" s="220" t="s">
        <v>850</v>
      </c>
      <c r="P119" s="220" t="s">
        <v>850</v>
      </c>
      <c r="Q119" s="220" t="s">
        <v>850</v>
      </c>
      <c r="R119" s="220" t="s">
        <v>850</v>
      </c>
      <c r="S119" s="220" t="s">
        <v>850</v>
      </c>
      <c r="T119" s="220" t="s">
        <v>850</v>
      </c>
      <c r="U119" s="224" t="s">
        <v>850</v>
      </c>
      <c r="V119" s="209" t="s">
        <v>1644</v>
      </c>
      <c r="W119" s="210" t="s">
        <v>1644</v>
      </c>
      <c r="X119" s="210" t="s">
        <v>1644</v>
      </c>
      <c r="Y119" s="210" t="s">
        <v>1644</v>
      </c>
      <c r="Z119" s="210" t="s">
        <v>1644</v>
      </c>
      <c r="AA119" s="210" t="s">
        <v>1644</v>
      </c>
      <c r="AB119" s="210" t="s">
        <v>1644</v>
      </c>
      <c r="AC119" s="210" t="s">
        <v>1644</v>
      </c>
      <c r="AD119" s="210" t="s">
        <v>1644</v>
      </c>
      <c r="AE119" s="210" t="s">
        <v>1644</v>
      </c>
      <c r="AF119" s="210" t="s">
        <v>1644</v>
      </c>
      <c r="AG119" s="211" t="s">
        <v>1644</v>
      </c>
      <c r="AH119" s="209" t="s">
        <v>1644</v>
      </c>
      <c r="AI119" s="210" t="s">
        <v>1644</v>
      </c>
      <c r="AJ119" s="210" t="s">
        <v>1644</v>
      </c>
      <c r="AK119" s="210" t="s">
        <v>1644</v>
      </c>
      <c r="AL119" s="210" t="s">
        <v>1644</v>
      </c>
      <c r="AM119" s="210" t="s">
        <v>1644</v>
      </c>
      <c r="AN119" s="210" t="s">
        <v>1644</v>
      </c>
      <c r="AO119" s="213" t="s">
        <v>1643</v>
      </c>
      <c r="AP119" s="210" t="s">
        <v>1644</v>
      </c>
      <c r="AQ119" s="210" t="s">
        <v>1644</v>
      </c>
      <c r="AR119" s="210" t="s">
        <v>1644</v>
      </c>
      <c r="AS119" s="211" t="s">
        <v>1644</v>
      </c>
    </row>
    <row r="120" spans="1:45" ht="15.75" thickBot="1" x14ac:dyDescent="0.3">
      <c r="A120" s="212" t="s">
        <v>1325</v>
      </c>
      <c r="B120" s="48" t="s">
        <v>1326</v>
      </c>
      <c r="C120" s="214" t="s">
        <v>798</v>
      </c>
      <c r="D120" s="218">
        <v>24</v>
      </c>
      <c r="E120" s="219">
        <v>18500</v>
      </c>
      <c r="F120" s="219">
        <v>26000</v>
      </c>
      <c r="G120" s="220" t="s">
        <v>850</v>
      </c>
      <c r="H120" s="220" t="s">
        <v>850</v>
      </c>
      <c r="I120" s="220" t="s">
        <v>850</v>
      </c>
      <c r="J120" s="220" t="s">
        <v>850</v>
      </c>
      <c r="K120" s="220" t="s">
        <v>850</v>
      </c>
      <c r="L120" s="220" t="s">
        <v>850</v>
      </c>
      <c r="M120" s="220" t="s">
        <v>850</v>
      </c>
      <c r="N120" s="220" t="s">
        <v>850</v>
      </c>
      <c r="O120" s="220" t="s">
        <v>850</v>
      </c>
      <c r="P120" s="220" t="s">
        <v>850</v>
      </c>
      <c r="Q120" s="220" t="s">
        <v>850</v>
      </c>
      <c r="R120" s="220" t="s">
        <v>850</v>
      </c>
      <c r="S120" s="221">
        <v>24</v>
      </c>
      <c r="T120" s="219">
        <v>13100</v>
      </c>
      <c r="U120" s="222">
        <v>16850</v>
      </c>
      <c r="V120" s="212" t="s">
        <v>1644</v>
      </c>
      <c r="W120" s="213" t="s">
        <v>1644</v>
      </c>
      <c r="X120" s="213" t="s">
        <v>1644</v>
      </c>
      <c r="Y120" s="213" t="s">
        <v>1644</v>
      </c>
      <c r="Z120" s="213" t="s">
        <v>1644</v>
      </c>
      <c r="AA120" s="213" t="s">
        <v>1643</v>
      </c>
      <c r="AB120" s="213" t="s">
        <v>1643</v>
      </c>
      <c r="AC120" s="213" t="s">
        <v>1643</v>
      </c>
      <c r="AD120" s="213" t="s">
        <v>1644</v>
      </c>
      <c r="AE120" s="213" t="s">
        <v>1644</v>
      </c>
      <c r="AF120" s="213" t="s">
        <v>1644</v>
      </c>
      <c r="AG120" s="214" t="s">
        <v>1644</v>
      </c>
      <c r="AH120" s="212" t="s">
        <v>1644</v>
      </c>
      <c r="AI120" s="213" t="s">
        <v>1644</v>
      </c>
      <c r="AJ120" s="213" t="s">
        <v>1644</v>
      </c>
      <c r="AK120" s="213" t="s">
        <v>1644</v>
      </c>
      <c r="AL120" s="213" t="s">
        <v>1644</v>
      </c>
      <c r="AM120" s="213" t="s">
        <v>1643</v>
      </c>
      <c r="AN120" s="213" t="s">
        <v>1643</v>
      </c>
      <c r="AO120" s="213" t="s">
        <v>1643</v>
      </c>
      <c r="AP120" s="213" t="s">
        <v>1644</v>
      </c>
      <c r="AQ120" s="213" t="s">
        <v>1644</v>
      </c>
      <c r="AR120" s="213" t="s">
        <v>1644</v>
      </c>
      <c r="AS120" s="214" t="s">
        <v>1644</v>
      </c>
    </row>
    <row r="121" spans="1:45" ht="15.75" thickBot="1" x14ac:dyDescent="0.3">
      <c r="A121" s="212" t="s">
        <v>1345</v>
      </c>
      <c r="B121" s="48" t="s">
        <v>1346</v>
      </c>
      <c r="C121" s="214" t="s">
        <v>798</v>
      </c>
      <c r="D121" s="218">
        <v>30</v>
      </c>
      <c r="E121" s="219">
        <v>21601</v>
      </c>
      <c r="F121" s="219">
        <v>21601</v>
      </c>
      <c r="G121" s="220" t="s">
        <v>850</v>
      </c>
      <c r="H121" s="220" t="s">
        <v>850</v>
      </c>
      <c r="I121" s="220" t="s">
        <v>850</v>
      </c>
      <c r="J121" s="221">
        <v>28</v>
      </c>
      <c r="K121" s="219">
        <v>11328</v>
      </c>
      <c r="L121" s="219">
        <v>13520</v>
      </c>
      <c r="M121" s="220" t="s">
        <v>850</v>
      </c>
      <c r="N121" s="220" t="s">
        <v>850</v>
      </c>
      <c r="O121" s="220" t="s">
        <v>850</v>
      </c>
      <c r="P121" s="220" t="s">
        <v>850</v>
      </c>
      <c r="Q121" s="220" t="s">
        <v>850</v>
      </c>
      <c r="R121" s="220" t="s">
        <v>850</v>
      </c>
      <c r="S121" s="221">
        <v>15</v>
      </c>
      <c r="T121" s="219">
        <v>565</v>
      </c>
      <c r="U121" s="222">
        <v>4022</v>
      </c>
      <c r="V121" s="209" t="s">
        <v>1644</v>
      </c>
      <c r="W121" s="210" t="s">
        <v>1644</v>
      </c>
      <c r="X121" s="210" t="s">
        <v>1644</v>
      </c>
      <c r="Y121" s="210" t="s">
        <v>1644</v>
      </c>
      <c r="Z121" s="210" t="s">
        <v>1644</v>
      </c>
      <c r="AA121" s="210" t="s">
        <v>1644</v>
      </c>
      <c r="AB121" s="210" t="s">
        <v>1644</v>
      </c>
      <c r="AC121" s="210" t="s">
        <v>1644</v>
      </c>
      <c r="AD121" s="210" t="s">
        <v>1644</v>
      </c>
      <c r="AE121" s="210" t="s">
        <v>1644</v>
      </c>
      <c r="AF121" s="210" t="s">
        <v>1644</v>
      </c>
      <c r="AG121" s="211" t="s">
        <v>1644</v>
      </c>
      <c r="AH121" s="209" t="s">
        <v>1644</v>
      </c>
      <c r="AI121" s="210" t="s">
        <v>1644</v>
      </c>
      <c r="AJ121" s="210" t="s">
        <v>1644</v>
      </c>
      <c r="AK121" s="210" t="s">
        <v>1644</v>
      </c>
      <c r="AL121" s="210" t="s">
        <v>1644</v>
      </c>
      <c r="AM121" s="210" t="s">
        <v>1644</v>
      </c>
      <c r="AN121" s="210" t="s">
        <v>1644</v>
      </c>
      <c r="AO121" s="210" t="s">
        <v>1644</v>
      </c>
      <c r="AP121" s="210" t="s">
        <v>1644</v>
      </c>
      <c r="AQ121" s="210" t="s">
        <v>1644</v>
      </c>
      <c r="AR121" s="210" t="s">
        <v>1644</v>
      </c>
      <c r="AS121" s="211" t="s">
        <v>1644</v>
      </c>
    </row>
    <row r="122" spans="1:45" ht="15.75" thickBot="1" x14ac:dyDescent="0.3">
      <c r="A122" s="212" t="s">
        <v>1351</v>
      </c>
      <c r="B122" s="48" t="s">
        <v>1352</v>
      </c>
      <c r="C122" s="214" t="s">
        <v>798</v>
      </c>
      <c r="D122" s="225"/>
      <c r="E122" s="226"/>
      <c r="F122" s="226"/>
      <c r="G122" s="227"/>
      <c r="H122" s="226"/>
      <c r="I122" s="226"/>
      <c r="J122" s="227"/>
      <c r="K122" s="226"/>
      <c r="L122" s="226"/>
      <c r="M122" s="227"/>
      <c r="N122" s="226"/>
      <c r="O122" s="226"/>
      <c r="P122" s="221">
        <v>10</v>
      </c>
      <c r="Q122" s="219">
        <v>4000</v>
      </c>
      <c r="R122" s="219">
        <v>6000</v>
      </c>
      <c r="S122" s="221">
        <v>20</v>
      </c>
      <c r="T122" s="219">
        <v>4500</v>
      </c>
      <c r="U122" s="222">
        <v>8000</v>
      </c>
      <c r="V122" s="209" t="s">
        <v>1644</v>
      </c>
      <c r="W122" s="210" t="s">
        <v>1644</v>
      </c>
      <c r="X122" s="210" t="s">
        <v>1644</v>
      </c>
      <c r="Y122" s="210" t="s">
        <v>1644</v>
      </c>
      <c r="Z122" s="210" t="s">
        <v>1644</v>
      </c>
      <c r="AA122" s="210" t="s">
        <v>1644</v>
      </c>
      <c r="AB122" s="210" t="s">
        <v>1644</v>
      </c>
      <c r="AC122" s="210" t="s">
        <v>1644</v>
      </c>
      <c r="AD122" s="210" t="s">
        <v>1644</v>
      </c>
      <c r="AE122" s="210" t="s">
        <v>1644</v>
      </c>
      <c r="AF122" s="210" t="s">
        <v>1644</v>
      </c>
      <c r="AG122" s="211" t="s">
        <v>1644</v>
      </c>
      <c r="AH122" s="209" t="s">
        <v>1644</v>
      </c>
      <c r="AI122" s="210" t="s">
        <v>1644</v>
      </c>
      <c r="AJ122" s="210" t="s">
        <v>1644</v>
      </c>
      <c r="AK122" s="210" t="s">
        <v>1644</v>
      </c>
      <c r="AL122" s="210" t="s">
        <v>1644</v>
      </c>
      <c r="AM122" s="210" t="s">
        <v>1644</v>
      </c>
      <c r="AN122" s="210" t="s">
        <v>1644</v>
      </c>
      <c r="AO122" s="210" t="s">
        <v>1644</v>
      </c>
      <c r="AP122" s="210" t="s">
        <v>1644</v>
      </c>
      <c r="AQ122" s="210" t="s">
        <v>1644</v>
      </c>
      <c r="AR122" s="210" t="s">
        <v>1644</v>
      </c>
      <c r="AS122" s="211" t="s">
        <v>1644</v>
      </c>
    </row>
    <row r="123" spans="1:45" ht="15.75" thickBot="1" x14ac:dyDescent="0.3">
      <c r="A123" s="212" t="s">
        <v>1357</v>
      </c>
      <c r="B123" s="48" t="s">
        <v>1358</v>
      </c>
      <c r="C123" s="214" t="s">
        <v>798</v>
      </c>
      <c r="D123" s="218">
        <v>28</v>
      </c>
      <c r="E123" s="219">
        <v>17945</v>
      </c>
      <c r="F123" s="219">
        <v>22480</v>
      </c>
      <c r="G123" s="220" t="s">
        <v>850</v>
      </c>
      <c r="H123" s="220" t="s">
        <v>850</v>
      </c>
      <c r="I123" s="220" t="s">
        <v>850</v>
      </c>
      <c r="J123" s="220" t="s">
        <v>850</v>
      </c>
      <c r="K123" s="220" t="s">
        <v>850</v>
      </c>
      <c r="L123" s="220" t="s">
        <v>850</v>
      </c>
      <c r="M123" s="220" t="s">
        <v>850</v>
      </c>
      <c r="N123" s="220" t="s">
        <v>850</v>
      </c>
      <c r="O123" s="220" t="s">
        <v>850</v>
      </c>
      <c r="P123" s="220" t="s">
        <v>850</v>
      </c>
      <c r="Q123" s="220" t="s">
        <v>850</v>
      </c>
      <c r="R123" s="220" t="s">
        <v>850</v>
      </c>
      <c r="S123" s="221">
        <v>12</v>
      </c>
      <c r="T123" s="219">
        <v>2638</v>
      </c>
      <c r="U123" s="222">
        <v>10639</v>
      </c>
      <c r="V123" s="212" t="s">
        <v>1644</v>
      </c>
      <c r="W123" s="213" t="s">
        <v>1644</v>
      </c>
      <c r="X123" s="213" t="s">
        <v>1644</v>
      </c>
      <c r="Y123" s="213" t="s">
        <v>1644</v>
      </c>
      <c r="Z123" s="213" t="s">
        <v>1644</v>
      </c>
      <c r="AA123" s="213" t="s">
        <v>1644</v>
      </c>
      <c r="AB123" s="213" t="s">
        <v>1644</v>
      </c>
      <c r="AC123" s="213" t="s">
        <v>1644</v>
      </c>
      <c r="AD123" s="213" t="s">
        <v>1644</v>
      </c>
      <c r="AE123" s="213" t="s">
        <v>1644</v>
      </c>
      <c r="AF123" s="213" t="s">
        <v>1644</v>
      </c>
      <c r="AG123" s="214" t="s">
        <v>1644</v>
      </c>
      <c r="AH123" s="212" t="s">
        <v>1644</v>
      </c>
      <c r="AI123" s="213" t="s">
        <v>1644</v>
      </c>
      <c r="AJ123" s="213" t="s">
        <v>1644</v>
      </c>
      <c r="AK123" s="213" t="s">
        <v>1644</v>
      </c>
      <c r="AL123" s="213" t="s">
        <v>1644</v>
      </c>
      <c r="AM123" s="213" t="s">
        <v>1644</v>
      </c>
      <c r="AN123" s="213" t="s">
        <v>1643</v>
      </c>
      <c r="AO123" s="213" t="s">
        <v>1643</v>
      </c>
      <c r="AP123" s="213" t="s">
        <v>1644</v>
      </c>
      <c r="AQ123" s="213" t="s">
        <v>1644</v>
      </c>
      <c r="AR123" s="213" t="s">
        <v>1643</v>
      </c>
      <c r="AS123" s="214" t="s">
        <v>1644</v>
      </c>
    </row>
    <row r="124" spans="1:45" ht="15.75" thickBot="1" x14ac:dyDescent="0.3">
      <c r="A124" s="212" t="s">
        <v>1367</v>
      </c>
      <c r="B124" s="48" t="s">
        <v>1368</v>
      </c>
      <c r="C124" s="214" t="s">
        <v>798</v>
      </c>
      <c r="D124" s="225"/>
      <c r="E124" s="226"/>
      <c r="F124" s="226"/>
      <c r="G124" s="220" t="s">
        <v>850</v>
      </c>
      <c r="H124" s="220" t="s">
        <v>850</v>
      </c>
      <c r="I124" s="220" t="s">
        <v>850</v>
      </c>
      <c r="J124" s="221">
        <v>40</v>
      </c>
      <c r="K124" s="219">
        <v>30000</v>
      </c>
      <c r="L124" s="219">
        <v>34000</v>
      </c>
      <c r="M124" s="221">
        <v>40</v>
      </c>
      <c r="N124" s="219">
        <v>28500</v>
      </c>
      <c r="O124" s="219">
        <v>34000</v>
      </c>
      <c r="P124" s="220" t="s">
        <v>850</v>
      </c>
      <c r="Q124" s="220" t="s">
        <v>850</v>
      </c>
      <c r="R124" s="220" t="s">
        <v>850</v>
      </c>
      <c r="S124" s="221">
        <v>24</v>
      </c>
      <c r="T124" s="219">
        <v>12096</v>
      </c>
      <c r="U124" s="222">
        <v>13824</v>
      </c>
      <c r="V124" s="212" t="s">
        <v>1643</v>
      </c>
      <c r="W124" s="213" t="s">
        <v>1644</v>
      </c>
      <c r="X124" s="213" t="s">
        <v>1644</v>
      </c>
      <c r="Y124" s="213" t="s">
        <v>1644</v>
      </c>
      <c r="Z124" s="213" t="s">
        <v>1644</v>
      </c>
      <c r="AA124" s="213" t="s">
        <v>1643</v>
      </c>
      <c r="AB124" s="213" t="s">
        <v>1643</v>
      </c>
      <c r="AC124" s="213" t="s">
        <v>1643</v>
      </c>
      <c r="AD124" s="213" t="s">
        <v>1644</v>
      </c>
      <c r="AE124" s="213" t="s">
        <v>1644</v>
      </c>
      <c r="AF124" s="213" t="s">
        <v>1644</v>
      </c>
      <c r="AG124" s="214" t="s">
        <v>1644</v>
      </c>
      <c r="AH124" s="212" t="s">
        <v>1644</v>
      </c>
      <c r="AI124" s="213" t="s">
        <v>1644</v>
      </c>
      <c r="AJ124" s="213" t="s">
        <v>1644</v>
      </c>
      <c r="AK124" s="213" t="s">
        <v>1644</v>
      </c>
      <c r="AL124" s="213" t="s">
        <v>1644</v>
      </c>
      <c r="AM124" s="213" t="s">
        <v>1644</v>
      </c>
      <c r="AN124" s="213" t="s">
        <v>1644</v>
      </c>
      <c r="AO124" s="213" t="s">
        <v>1644</v>
      </c>
      <c r="AP124" s="213" t="s">
        <v>1644</v>
      </c>
      <c r="AQ124" s="213" t="s">
        <v>1644</v>
      </c>
      <c r="AR124" s="213" t="s">
        <v>1644</v>
      </c>
      <c r="AS124" s="214" t="s">
        <v>1644</v>
      </c>
    </row>
    <row r="125" spans="1:45" ht="15.75" thickBot="1" x14ac:dyDescent="0.3">
      <c r="A125" s="212" t="s">
        <v>1371</v>
      </c>
      <c r="B125" s="48" t="s">
        <v>1372</v>
      </c>
      <c r="C125" s="214" t="s">
        <v>798</v>
      </c>
      <c r="D125" s="218">
        <v>6</v>
      </c>
      <c r="E125" s="220" t="s">
        <v>850</v>
      </c>
      <c r="F125" s="220" t="s">
        <v>850</v>
      </c>
      <c r="G125" s="220" t="s">
        <v>850</v>
      </c>
      <c r="H125" s="220" t="s">
        <v>850</v>
      </c>
      <c r="I125" s="220" t="s">
        <v>850</v>
      </c>
      <c r="J125" s="220" t="s">
        <v>850</v>
      </c>
      <c r="K125" s="220" t="s">
        <v>850</v>
      </c>
      <c r="L125" s="220" t="s">
        <v>850</v>
      </c>
      <c r="M125" s="220" t="s">
        <v>850</v>
      </c>
      <c r="N125" s="220" t="s">
        <v>850</v>
      </c>
      <c r="O125" s="220" t="s">
        <v>850</v>
      </c>
      <c r="P125" s="220" t="s">
        <v>850</v>
      </c>
      <c r="Q125" s="220" t="s">
        <v>850</v>
      </c>
      <c r="R125" s="220" t="s">
        <v>850</v>
      </c>
      <c r="S125" s="221">
        <v>6</v>
      </c>
      <c r="T125" s="219">
        <v>2000</v>
      </c>
      <c r="U125" s="222">
        <v>10000</v>
      </c>
      <c r="V125" s="212" t="s">
        <v>1644</v>
      </c>
      <c r="W125" s="213" t="s">
        <v>1644</v>
      </c>
      <c r="X125" s="213" t="s">
        <v>1644</v>
      </c>
      <c r="Y125" s="213" t="s">
        <v>1644</v>
      </c>
      <c r="Z125" s="213" t="s">
        <v>1644</v>
      </c>
      <c r="AA125" s="213" t="s">
        <v>1644</v>
      </c>
      <c r="AB125" s="213" t="s">
        <v>1644</v>
      </c>
      <c r="AC125" s="213" t="s">
        <v>1644</v>
      </c>
      <c r="AD125" s="213" t="s">
        <v>1644</v>
      </c>
      <c r="AE125" s="213" t="s">
        <v>1644</v>
      </c>
      <c r="AF125" s="213" t="s">
        <v>1644</v>
      </c>
      <c r="AG125" s="214" t="s">
        <v>1644</v>
      </c>
      <c r="AH125" s="212" t="s">
        <v>1644</v>
      </c>
      <c r="AI125" s="213" t="s">
        <v>1644</v>
      </c>
      <c r="AJ125" s="213" t="s">
        <v>1644</v>
      </c>
      <c r="AK125" s="213" t="s">
        <v>1644</v>
      </c>
      <c r="AL125" s="213" t="s">
        <v>1644</v>
      </c>
      <c r="AM125" s="213" t="s">
        <v>1644</v>
      </c>
      <c r="AN125" s="213" t="s">
        <v>1644</v>
      </c>
      <c r="AO125" s="213" t="s">
        <v>1644</v>
      </c>
      <c r="AP125" s="213" t="s">
        <v>1644</v>
      </c>
      <c r="AQ125" s="213" t="s">
        <v>1644</v>
      </c>
      <c r="AR125" s="213" t="s">
        <v>1644</v>
      </c>
      <c r="AS125" s="214" t="s">
        <v>1644</v>
      </c>
    </row>
    <row r="126" spans="1:45" ht="15.75" thickBot="1" x14ac:dyDescent="0.3">
      <c r="A126" s="212" t="s">
        <v>1377</v>
      </c>
      <c r="B126" s="48" t="s">
        <v>1378</v>
      </c>
      <c r="C126" s="214" t="s">
        <v>798</v>
      </c>
      <c r="D126" s="223" t="s">
        <v>850</v>
      </c>
      <c r="E126" s="220" t="s">
        <v>850</v>
      </c>
      <c r="F126" s="220" t="s">
        <v>850</v>
      </c>
      <c r="G126" s="220" t="s">
        <v>850</v>
      </c>
      <c r="H126" s="220" t="s">
        <v>850</v>
      </c>
      <c r="I126" s="220" t="s">
        <v>850</v>
      </c>
      <c r="J126" s="220" t="s">
        <v>850</v>
      </c>
      <c r="K126" s="220" t="s">
        <v>850</v>
      </c>
      <c r="L126" s="220" t="s">
        <v>850</v>
      </c>
      <c r="M126" s="221">
        <v>6</v>
      </c>
      <c r="N126" s="219">
        <v>7600</v>
      </c>
      <c r="O126" s="219">
        <v>9500</v>
      </c>
      <c r="P126" s="221">
        <v>2</v>
      </c>
      <c r="Q126" s="219">
        <v>1000</v>
      </c>
      <c r="R126" s="219">
        <v>2500</v>
      </c>
      <c r="S126" s="221">
        <v>4</v>
      </c>
      <c r="T126" s="219">
        <v>2000</v>
      </c>
      <c r="U126" s="222">
        <v>5000</v>
      </c>
      <c r="V126" s="212" t="s">
        <v>1644</v>
      </c>
      <c r="W126" s="213" t="s">
        <v>1644</v>
      </c>
      <c r="X126" s="213" t="s">
        <v>1644</v>
      </c>
      <c r="Y126" s="213" t="s">
        <v>1644</v>
      </c>
      <c r="Z126" s="213" t="s">
        <v>1644</v>
      </c>
      <c r="AA126" s="213" t="s">
        <v>1644</v>
      </c>
      <c r="AB126" s="213" t="s">
        <v>1643</v>
      </c>
      <c r="AC126" s="213" t="s">
        <v>1643</v>
      </c>
      <c r="AD126" s="213" t="s">
        <v>1644</v>
      </c>
      <c r="AE126" s="213" t="s">
        <v>1644</v>
      </c>
      <c r="AF126" s="213" t="s">
        <v>1644</v>
      </c>
      <c r="AG126" s="214" t="s">
        <v>1644</v>
      </c>
      <c r="AH126" s="209" t="s">
        <v>1644</v>
      </c>
      <c r="AI126" s="210" t="s">
        <v>1644</v>
      </c>
      <c r="AJ126" s="210" t="s">
        <v>1644</v>
      </c>
      <c r="AK126" s="210" t="s">
        <v>1644</v>
      </c>
      <c r="AL126" s="210" t="s">
        <v>1644</v>
      </c>
      <c r="AM126" s="210" t="s">
        <v>1644</v>
      </c>
      <c r="AN126" s="210" t="s">
        <v>1644</v>
      </c>
      <c r="AO126" s="210" t="s">
        <v>1644</v>
      </c>
      <c r="AP126" s="210" t="s">
        <v>1644</v>
      </c>
      <c r="AQ126" s="210" t="s">
        <v>1644</v>
      </c>
      <c r="AR126" s="210" t="s">
        <v>1644</v>
      </c>
      <c r="AS126" s="211" t="s">
        <v>1644</v>
      </c>
    </row>
    <row r="127" spans="1:45" ht="15.75" thickBot="1" x14ac:dyDescent="0.3">
      <c r="A127" s="212" t="s">
        <v>1385</v>
      </c>
      <c r="B127" s="48" t="s">
        <v>1386</v>
      </c>
      <c r="C127" s="214" t="s">
        <v>798</v>
      </c>
      <c r="D127" s="218">
        <v>24</v>
      </c>
      <c r="E127" s="219">
        <v>12471</v>
      </c>
      <c r="F127" s="219">
        <v>12471</v>
      </c>
      <c r="G127" s="220" t="s">
        <v>850</v>
      </c>
      <c r="H127" s="220" t="s">
        <v>850</v>
      </c>
      <c r="I127" s="220" t="s">
        <v>850</v>
      </c>
      <c r="J127" s="220" t="s">
        <v>850</v>
      </c>
      <c r="K127" s="220" t="s">
        <v>850</v>
      </c>
      <c r="L127" s="220" t="s">
        <v>850</v>
      </c>
      <c r="M127" s="220" t="s">
        <v>850</v>
      </c>
      <c r="N127" s="220" t="s">
        <v>850</v>
      </c>
      <c r="O127" s="220" t="s">
        <v>850</v>
      </c>
      <c r="P127" s="220" t="s">
        <v>850</v>
      </c>
      <c r="Q127" s="220" t="s">
        <v>850</v>
      </c>
      <c r="R127" s="220" t="s">
        <v>850</v>
      </c>
      <c r="S127" s="221">
        <v>22</v>
      </c>
      <c r="T127" s="219">
        <v>10415</v>
      </c>
      <c r="U127" s="222">
        <v>10415</v>
      </c>
      <c r="V127" s="212" t="s">
        <v>1644</v>
      </c>
      <c r="W127" s="213" t="s">
        <v>1644</v>
      </c>
      <c r="X127" s="213" t="s">
        <v>1644</v>
      </c>
      <c r="Y127" s="213" t="s">
        <v>1644</v>
      </c>
      <c r="Z127" s="213" t="s">
        <v>1644</v>
      </c>
      <c r="AA127" s="213" t="s">
        <v>1643</v>
      </c>
      <c r="AB127" s="213" t="s">
        <v>1643</v>
      </c>
      <c r="AC127" s="213" t="s">
        <v>1643</v>
      </c>
      <c r="AD127" s="213" t="s">
        <v>1644</v>
      </c>
      <c r="AE127" s="213" t="s">
        <v>1644</v>
      </c>
      <c r="AF127" s="213" t="s">
        <v>1644</v>
      </c>
      <c r="AG127" s="214" t="s">
        <v>1644</v>
      </c>
      <c r="AH127" s="212" t="s">
        <v>1644</v>
      </c>
      <c r="AI127" s="213" t="s">
        <v>1644</v>
      </c>
      <c r="AJ127" s="213" t="s">
        <v>1644</v>
      </c>
      <c r="AK127" s="213" t="s">
        <v>1644</v>
      </c>
      <c r="AL127" s="213" t="s">
        <v>1644</v>
      </c>
      <c r="AM127" s="213" t="s">
        <v>1644</v>
      </c>
      <c r="AN127" s="213" t="s">
        <v>1644</v>
      </c>
      <c r="AO127" s="213" t="s">
        <v>1644</v>
      </c>
      <c r="AP127" s="213" t="s">
        <v>1644</v>
      </c>
      <c r="AQ127" s="213" t="s">
        <v>1644</v>
      </c>
      <c r="AR127" s="213" t="s">
        <v>1644</v>
      </c>
      <c r="AS127" s="214" t="s">
        <v>1644</v>
      </c>
    </row>
    <row r="128" spans="1:45" ht="15.75" thickBot="1" x14ac:dyDescent="0.3">
      <c r="A128" s="212" t="s">
        <v>1391</v>
      </c>
      <c r="B128" s="48" t="s">
        <v>1392</v>
      </c>
      <c r="C128" s="214" t="s">
        <v>798</v>
      </c>
      <c r="D128" s="218">
        <v>23</v>
      </c>
      <c r="E128" s="219">
        <v>11000</v>
      </c>
      <c r="F128" s="219">
        <v>16000</v>
      </c>
      <c r="G128" s="220" t="s">
        <v>850</v>
      </c>
      <c r="H128" s="220" t="s">
        <v>850</v>
      </c>
      <c r="I128" s="220" t="s">
        <v>850</v>
      </c>
      <c r="J128" s="220" t="s">
        <v>850</v>
      </c>
      <c r="K128" s="220" t="s">
        <v>850</v>
      </c>
      <c r="L128" s="220" t="s">
        <v>850</v>
      </c>
      <c r="M128" s="220" t="s">
        <v>850</v>
      </c>
      <c r="N128" s="220" t="s">
        <v>850</v>
      </c>
      <c r="O128" s="220" t="s">
        <v>850</v>
      </c>
      <c r="P128" s="220" t="s">
        <v>850</v>
      </c>
      <c r="Q128" s="220" t="s">
        <v>850</v>
      </c>
      <c r="R128" s="220" t="s">
        <v>850</v>
      </c>
      <c r="S128" s="221">
        <v>8</v>
      </c>
      <c r="T128" s="219">
        <v>1600</v>
      </c>
      <c r="U128" s="222">
        <v>8500</v>
      </c>
      <c r="V128" s="209" t="s">
        <v>1644</v>
      </c>
      <c r="W128" s="210" t="s">
        <v>1644</v>
      </c>
      <c r="X128" s="210" t="s">
        <v>1644</v>
      </c>
      <c r="Y128" s="210" t="s">
        <v>1644</v>
      </c>
      <c r="Z128" s="210" t="s">
        <v>1644</v>
      </c>
      <c r="AA128" s="210" t="s">
        <v>1644</v>
      </c>
      <c r="AB128" s="210" t="s">
        <v>1644</v>
      </c>
      <c r="AC128" s="210" t="s">
        <v>1644</v>
      </c>
      <c r="AD128" s="210" t="s">
        <v>1644</v>
      </c>
      <c r="AE128" s="210" t="s">
        <v>1644</v>
      </c>
      <c r="AF128" s="210" t="s">
        <v>1644</v>
      </c>
      <c r="AG128" s="211" t="s">
        <v>1644</v>
      </c>
      <c r="AH128" s="212" t="s">
        <v>1644</v>
      </c>
      <c r="AI128" s="213" t="s">
        <v>1644</v>
      </c>
      <c r="AJ128" s="213" t="s">
        <v>1644</v>
      </c>
      <c r="AK128" s="213" t="s">
        <v>1644</v>
      </c>
      <c r="AL128" s="213" t="s">
        <v>1644</v>
      </c>
      <c r="AM128" s="213" t="s">
        <v>1643</v>
      </c>
      <c r="AN128" s="213" t="s">
        <v>1644</v>
      </c>
      <c r="AO128" s="213" t="s">
        <v>1644</v>
      </c>
      <c r="AP128" s="213" t="s">
        <v>1644</v>
      </c>
      <c r="AQ128" s="213" t="s">
        <v>1644</v>
      </c>
      <c r="AR128" s="213" t="s">
        <v>1643</v>
      </c>
      <c r="AS128" s="214" t="s">
        <v>1644</v>
      </c>
    </row>
    <row r="129" spans="1:45" ht="15.75" thickBot="1" x14ac:dyDescent="0.3">
      <c r="A129" s="212" t="s">
        <v>1393</v>
      </c>
      <c r="B129" s="48" t="s">
        <v>1394</v>
      </c>
      <c r="C129" s="214" t="s">
        <v>798</v>
      </c>
      <c r="D129" s="218">
        <v>40</v>
      </c>
      <c r="E129" s="219">
        <v>20000</v>
      </c>
      <c r="F129" s="219">
        <v>28000</v>
      </c>
      <c r="G129" s="227"/>
      <c r="H129" s="226"/>
      <c r="I129" s="226"/>
      <c r="J129" s="227"/>
      <c r="K129" s="226"/>
      <c r="L129" s="226"/>
      <c r="M129" s="227"/>
      <c r="N129" s="226"/>
      <c r="O129" s="226"/>
      <c r="P129" s="227"/>
      <c r="Q129" s="226"/>
      <c r="R129" s="226"/>
      <c r="S129" s="221">
        <v>30</v>
      </c>
      <c r="T129" s="219">
        <v>9800</v>
      </c>
      <c r="U129" s="222">
        <v>15000</v>
      </c>
      <c r="V129" s="212" t="s">
        <v>1643</v>
      </c>
      <c r="W129" s="213" t="s">
        <v>1643</v>
      </c>
      <c r="X129" s="213" t="s">
        <v>1644</v>
      </c>
      <c r="Y129" s="213" t="s">
        <v>1644</v>
      </c>
      <c r="Z129" s="213" t="s">
        <v>1643</v>
      </c>
      <c r="AA129" s="213" t="s">
        <v>1644</v>
      </c>
      <c r="AB129" s="213" t="s">
        <v>1643</v>
      </c>
      <c r="AC129" s="213" t="s">
        <v>1643</v>
      </c>
      <c r="AD129" s="213" t="s">
        <v>1644</v>
      </c>
      <c r="AE129" s="213" t="s">
        <v>1644</v>
      </c>
      <c r="AF129" s="213" t="s">
        <v>1643</v>
      </c>
      <c r="AG129" s="214" t="s">
        <v>1644</v>
      </c>
      <c r="AH129" s="212" t="s">
        <v>1644</v>
      </c>
      <c r="AI129" s="213" t="s">
        <v>1644</v>
      </c>
      <c r="AJ129" s="213" t="s">
        <v>1644</v>
      </c>
      <c r="AK129" s="213" t="s">
        <v>1644</v>
      </c>
      <c r="AL129" s="213" t="s">
        <v>1644</v>
      </c>
      <c r="AM129" s="213" t="s">
        <v>1644</v>
      </c>
      <c r="AN129" s="213" t="s">
        <v>1644</v>
      </c>
      <c r="AO129" s="213" t="s">
        <v>1644</v>
      </c>
      <c r="AP129" s="213" t="s">
        <v>1644</v>
      </c>
      <c r="AQ129" s="213" t="s">
        <v>1644</v>
      </c>
      <c r="AR129" s="213" t="s">
        <v>1644</v>
      </c>
      <c r="AS129" s="214" t="s">
        <v>1644</v>
      </c>
    </row>
    <row r="130" spans="1:45" ht="15.75" thickBot="1" x14ac:dyDescent="0.3">
      <c r="A130" s="212" t="s">
        <v>1399</v>
      </c>
      <c r="B130" s="48" t="s">
        <v>1400</v>
      </c>
      <c r="C130" s="214" t="s">
        <v>798</v>
      </c>
      <c r="D130" s="225"/>
      <c r="E130" s="220"/>
      <c r="F130" s="220"/>
      <c r="G130" s="220" t="s">
        <v>850</v>
      </c>
      <c r="H130" s="220" t="s">
        <v>850</v>
      </c>
      <c r="I130" s="220" t="s">
        <v>850</v>
      </c>
      <c r="J130" s="220" t="s">
        <v>850</v>
      </c>
      <c r="K130" s="220" t="s">
        <v>850</v>
      </c>
      <c r="L130" s="220" t="s">
        <v>850</v>
      </c>
      <c r="M130" s="220" t="s">
        <v>850</v>
      </c>
      <c r="N130" s="220" t="s">
        <v>850</v>
      </c>
      <c r="O130" s="220" t="s">
        <v>850</v>
      </c>
      <c r="P130" s="220" t="s">
        <v>850</v>
      </c>
      <c r="Q130" s="220" t="s">
        <v>850</v>
      </c>
      <c r="R130" s="220" t="s">
        <v>850</v>
      </c>
      <c r="S130" s="221">
        <v>24</v>
      </c>
      <c r="T130" s="219">
        <v>12480</v>
      </c>
      <c r="U130" s="222">
        <v>14102</v>
      </c>
      <c r="V130" s="212" t="s">
        <v>1644</v>
      </c>
      <c r="W130" s="213" t="s">
        <v>1644</v>
      </c>
      <c r="X130" s="213" t="s">
        <v>1644</v>
      </c>
      <c r="Y130" s="213" t="s">
        <v>1644</v>
      </c>
      <c r="Z130" s="213" t="s">
        <v>1644</v>
      </c>
      <c r="AA130" s="213" t="s">
        <v>1643</v>
      </c>
      <c r="AB130" s="213" t="s">
        <v>1643</v>
      </c>
      <c r="AC130" s="213" t="s">
        <v>1643</v>
      </c>
      <c r="AD130" s="213" t="s">
        <v>1644</v>
      </c>
      <c r="AE130" s="213" t="s">
        <v>1644</v>
      </c>
      <c r="AF130" s="213" t="s">
        <v>1643</v>
      </c>
      <c r="AG130" s="214" t="s">
        <v>1644</v>
      </c>
      <c r="AH130" s="212" t="s">
        <v>1644</v>
      </c>
      <c r="AI130" s="213" t="s">
        <v>1644</v>
      </c>
      <c r="AJ130" s="213" t="s">
        <v>1644</v>
      </c>
      <c r="AK130" s="213" t="s">
        <v>1644</v>
      </c>
      <c r="AL130" s="213" t="s">
        <v>1644</v>
      </c>
      <c r="AM130" s="213" t="s">
        <v>1644</v>
      </c>
      <c r="AN130" s="213" t="s">
        <v>1644</v>
      </c>
      <c r="AO130" s="213" t="s">
        <v>1644</v>
      </c>
      <c r="AP130" s="213" t="s">
        <v>1644</v>
      </c>
      <c r="AQ130" s="213" t="s">
        <v>1644</v>
      </c>
      <c r="AR130" s="213" t="s">
        <v>1644</v>
      </c>
      <c r="AS130" s="214" t="s">
        <v>1644</v>
      </c>
    </row>
    <row r="131" spans="1:45" ht="15.75" thickBot="1" x14ac:dyDescent="0.3">
      <c r="A131" s="212" t="s">
        <v>1405</v>
      </c>
      <c r="B131" s="48" t="s">
        <v>1406</v>
      </c>
      <c r="C131" s="214" t="s">
        <v>798</v>
      </c>
      <c r="D131" s="223" t="s">
        <v>850</v>
      </c>
      <c r="E131" s="220" t="s">
        <v>850</v>
      </c>
      <c r="F131" s="220" t="s">
        <v>850</v>
      </c>
      <c r="G131" s="220" t="s">
        <v>850</v>
      </c>
      <c r="H131" s="220" t="s">
        <v>850</v>
      </c>
      <c r="I131" s="220" t="s">
        <v>850</v>
      </c>
      <c r="J131" s="221">
        <v>25</v>
      </c>
      <c r="K131" s="219">
        <v>10000</v>
      </c>
      <c r="L131" s="219">
        <v>18000</v>
      </c>
      <c r="M131" s="221">
        <v>10</v>
      </c>
      <c r="N131" s="219">
        <v>5500</v>
      </c>
      <c r="O131" s="219">
        <v>12000</v>
      </c>
      <c r="P131" s="220" t="s">
        <v>850</v>
      </c>
      <c r="Q131" s="220" t="s">
        <v>850</v>
      </c>
      <c r="R131" s="220" t="s">
        <v>850</v>
      </c>
      <c r="S131" s="221">
        <v>25</v>
      </c>
      <c r="T131" s="219">
        <v>10000</v>
      </c>
      <c r="U131" s="222">
        <v>18000</v>
      </c>
      <c r="V131" s="212" t="s">
        <v>1644</v>
      </c>
      <c r="W131" s="213" t="s">
        <v>1644</v>
      </c>
      <c r="X131" s="213" t="s">
        <v>1644</v>
      </c>
      <c r="Y131" s="213" t="s">
        <v>1644</v>
      </c>
      <c r="Z131" s="213" t="s">
        <v>1644</v>
      </c>
      <c r="AA131" s="213" t="s">
        <v>1644</v>
      </c>
      <c r="AB131" s="213" t="s">
        <v>1643</v>
      </c>
      <c r="AC131" s="213" t="s">
        <v>1643</v>
      </c>
      <c r="AD131" s="213" t="s">
        <v>1644</v>
      </c>
      <c r="AE131" s="213" t="s">
        <v>1644</v>
      </c>
      <c r="AF131" s="213" t="s">
        <v>1644</v>
      </c>
      <c r="AG131" s="214" t="s">
        <v>1644</v>
      </c>
      <c r="AH131" s="212" t="s">
        <v>1644</v>
      </c>
      <c r="AI131" s="213" t="s">
        <v>1644</v>
      </c>
      <c r="AJ131" s="213" t="s">
        <v>1644</v>
      </c>
      <c r="AK131" s="213" t="s">
        <v>1644</v>
      </c>
      <c r="AL131" s="213" t="s">
        <v>1644</v>
      </c>
      <c r="AM131" s="213" t="s">
        <v>1644</v>
      </c>
      <c r="AN131" s="213" t="s">
        <v>1643</v>
      </c>
      <c r="AO131" s="213" t="s">
        <v>1643</v>
      </c>
      <c r="AP131" s="213" t="s">
        <v>1644</v>
      </c>
      <c r="AQ131" s="213" t="s">
        <v>1644</v>
      </c>
      <c r="AR131" s="213" t="s">
        <v>1644</v>
      </c>
      <c r="AS131" s="214" t="s">
        <v>1644</v>
      </c>
    </row>
    <row r="132" spans="1:45" ht="15.75" thickBot="1" x14ac:dyDescent="0.3">
      <c r="A132" s="212" t="s">
        <v>1417</v>
      </c>
      <c r="B132" s="48" t="s">
        <v>1418</v>
      </c>
      <c r="C132" s="214" t="s">
        <v>798</v>
      </c>
      <c r="D132" s="223" t="s">
        <v>850</v>
      </c>
      <c r="E132" s="220" t="s">
        <v>850</v>
      </c>
      <c r="F132" s="220" t="s">
        <v>850</v>
      </c>
      <c r="G132" s="220" t="s">
        <v>850</v>
      </c>
      <c r="H132" s="220" t="s">
        <v>850</v>
      </c>
      <c r="I132" s="220" t="s">
        <v>850</v>
      </c>
      <c r="J132" s="220" t="s">
        <v>850</v>
      </c>
      <c r="K132" s="220" t="s">
        <v>850</v>
      </c>
      <c r="L132" s="220" t="s">
        <v>850</v>
      </c>
      <c r="M132" s="220" t="s">
        <v>850</v>
      </c>
      <c r="N132" s="220" t="s">
        <v>850</v>
      </c>
      <c r="O132" s="220" t="s">
        <v>850</v>
      </c>
      <c r="P132" s="220" t="s">
        <v>850</v>
      </c>
      <c r="Q132" s="220" t="s">
        <v>850</v>
      </c>
      <c r="R132" s="220" t="s">
        <v>850</v>
      </c>
      <c r="S132" s="221">
        <v>20</v>
      </c>
      <c r="T132" s="219">
        <v>9880</v>
      </c>
      <c r="U132" s="222">
        <v>13520</v>
      </c>
      <c r="V132" s="212" t="s">
        <v>1644</v>
      </c>
      <c r="W132" s="213" t="s">
        <v>1644</v>
      </c>
      <c r="X132" s="213" t="s">
        <v>1643</v>
      </c>
      <c r="Y132" s="213" t="s">
        <v>1643</v>
      </c>
      <c r="Z132" s="213" t="s">
        <v>1644</v>
      </c>
      <c r="AA132" s="213" t="s">
        <v>1643</v>
      </c>
      <c r="AB132" s="213" t="s">
        <v>1643</v>
      </c>
      <c r="AC132" s="213" t="s">
        <v>1643</v>
      </c>
      <c r="AD132" s="213" t="s">
        <v>1644</v>
      </c>
      <c r="AE132" s="213" t="s">
        <v>1644</v>
      </c>
      <c r="AF132" s="213" t="s">
        <v>1643</v>
      </c>
      <c r="AG132" s="214" t="s">
        <v>1644</v>
      </c>
      <c r="AH132" s="212" t="s">
        <v>1644</v>
      </c>
      <c r="AI132" s="213" t="s">
        <v>1644</v>
      </c>
      <c r="AJ132" s="213" t="s">
        <v>1644</v>
      </c>
      <c r="AK132" s="213" t="s">
        <v>1644</v>
      </c>
      <c r="AL132" s="213" t="s">
        <v>1644</v>
      </c>
      <c r="AM132" s="213" t="s">
        <v>1643</v>
      </c>
      <c r="AN132" s="213" t="s">
        <v>1644</v>
      </c>
      <c r="AO132" s="213" t="s">
        <v>1643</v>
      </c>
      <c r="AP132" s="213" t="s">
        <v>1644</v>
      </c>
      <c r="AQ132" s="213" t="s">
        <v>1644</v>
      </c>
      <c r="AR132" s="213" t="s">
        <v>1643</v>
      </c>
      <c r="AS132" s="214" t="s">
        <v>1644</v>
      </c>
    </row>
    <row r="133" spans="1:45" ht="15.75" thickBot="1" x14ac:dyDescent="0.3">
      <c r="A133" s="212" t="s">
        <v>1429</v>
      </c>
      <c r="B133" s="48" t="s">
        <v>1430</v>
      </c>
      <c r="C133" s="214" t="s">
        <v>798</v>
      </c>
      <c r="D133" s="223" t="s">
        <v>850</v>
      </c>
      <c r="E133" s="220" t="s">
        <v>850</v>
      </c>
      <c r="F133" s="220" t="s">
        <v>850</v>
      </c>
      <c r="G133" s="221">
        <v>28</v>
      </c>
      <c r="H133" s="219">
        <v>15000</v>
      </c>
      <c r="I133" s="219">
        <v>18000</v>
      </c>
      <c r="J133" s="220" t="s">
        <v>850</v>
      </c>
      <c r="K133" s="220" t="s">
        <v>850</v>
      </c>
      <c r="L133" s="220" t="s">
        <v>850</v>
      </c>
      <c r="M133" s="220" t="s">
        <v>850</v>
      </c>
      <c r="N133" s="220" t="s">
        <v>850</v>
      </c>
      <c r="O133" s="220" t="s">
        <v>850</v>
      </c>
      <c r="P133" s="220" t="s">
        <v>850</v>
      </c>
      <c r="Q133" s="220" t="s">
        <v>850</v>
      </c>
      <c r="R133" s="220" t="s">
        <v>850</v>
      </c>
      <c r="S133" s="221">
        <v>35</v>
      </c>
      <c r="T133" s="219">
        <v>16000</v>
      </c>
      <c r="U133" s="222">
        <v>23000</v>
      </c>
      <c r="V133" s="212" t="s">
        <v>1644</v>
      </c>
      <c r="W133" s="213" t="s">
        <v>1644</v>
      </c>
      <c r="X133" s="213" t="s">
        <v>1644</v>
      </c>
      <c r="Y133" s="213" t="s">
        <v>1644</v>
      </c>
      <c r="Z133" s="213" t="s">
        <v>1644</v>
      </c>
      <c r="AA133" s="213" t="s">
        <v>1644</v>
      </c>
      <c r="AB133" s="213" t="s">
        <v>1643</v>
      </c>
      <c r="AC133" s="213" t="s">
        <v>1643</v>
      </c>
      <c r="AD133" s="213" t="s">
        <v>1644</v>
      </c>
      <c r="AE133" s="213" t="s">
        <v>1644</v>
      </c>
      <c r="AF133" s="213" t="s">
        <v>1643</v>
      </c>
      <c r="AG133" s="214" t="s">
        <v>1644</v>
      </c>
      <c r="AH133" s="212" t="s">
        <v>1644</v>
      </c>
      <c r="AI133" s="213" t="s">
        <v>1644</v>
      </c>
      <c r="AJ133" s="213" t="s">
        <v>1644</v>
      </c>
      <c r="AK133" s="213" t="s">
        <v>1644</v>
      </c>
      <c r="AL133" s="213" t="s">
        <v>1644</v>
      </c>
      <c r="AM133" s="213" t="s">
        <v>1644</v>
      </c>
      <c r="AN133" s="213" t="s">
        <v>1644</v>
      </c>
      <c r="AO133" s="213" t="s">
        <v>1644</v>
      </c>
      <c r="AP133" s="213" t="s">
        <v>1644</v>
      </c>
      <c r="AQ133" s="213" t="s">
        <v>1644</v>
      </c>
      <c r="AR133" s="213" t="s">
        <v>1644</v>
      </c>
      <c r="AS133" s="214" t="s">
        <v>1644</v>
      </c>
    </row>
    <row r="134" spans="1:45" ht="15.75" thickBot="1" x14ac:dyDescent="0.3">
      <c r="A134" s="212" t="s">
        <v>1443</v>
      </c>
      <c r="B134" s="48" t="s">
        <v>1444</v>
      </c>
      <c r="C134" s="214" t="s">
        <v>798</v>
      </c>
      <c r="D134" s="218">
        <v>24</v>
      </c>
      <c r="E134" s="219">
        <v>9400</v>
      </c>
      <c r="F134" s="219">
        <v>18144</v>
      </c>
      <c r="G134" s="220" t="s">
        <v>850</v>
      </c>
      <c r="H134" s="220" t="s">
        <v>850</v>
      </c>
      <c r="I134" s="220" t="s">
        <v>850</v>
      </c>
      <c r="J134" s="220" t="s">
        <v>850</v>
      </c>
      <c r="K134" s="220" t="s">
        <v>850</v>
      </c>
      <c r="L134" s="220" t="s">
        <v>850</v>
      </c>
      <c r="M134" s="220" t="s">
        <v>850</v>
      </c>
      <c r="N134" s="220" t="s">
        <v>850</v>
      </c>
      <c r="O134" s="220" t="s">
        <v>850</v>
      </c>
      <c r="P134" s="220" t="s">
        <v>850</v>
      </c>
      <c r="Q134" s="220" t="s">
        <v>850</v>
      </c>
      <c r="R134" s="220" t="s">
        <v>850</v>
      </c>
      <c r="S134" s="220" t="s">
        <v>850</v>
      </c>
      <c r="T134" s="220" t="s">
        <v>850</v>
      </c>
      <c r="U134" s="224" t="s">
        <v>850</v>
      </c>
      <c r="V134" s="212" t="s">
        <v>1644</v>
      </c>
      <c r="W134" s="213" t="s">
        <v>1644</v>
      </c>
      <c r="X134" s="213" t="s">
        <v>1644</v>
      </c>
      <c r="Y134" s="213" t="s">
        <v>1644</v>
      </c>
      <c r="Z134" s="213" t="s">
        <v>1644</v>
      </c>
      <c r="AA134" s="213" t="s">
        <v>1644</v>
      </c>
      <c r="AB134" s="213" t="s">
        <v>1644</v>
      </c>
      <c r="AC134" s="213" t="s">
        <v>1644</v>
      </c>
      <c r="AD134" s="213" t="s">
        <v>1644</v>
      </c>
      <c r="AE134" s="213" t="s">
        <v>1643</v>
      </c>
      <c r="AF134" s="213" t="s">
        <v>1644</v>
      </c>
      <c r="AG134" s="214" t="s">
        <v>1644</v>
      </c>
      <c r="AH134" s="209" t="s">
        <v>1644</v>
      </c>
      <c r="AI134" s="210" t="s">
        <v>1644</v>
      </c>
      <c r="AJ134" s="210" t="s">
        <v>1644</v>
      </c>
      <c r="AK134" s="210" t="s">
        <v>1644</v>
      </c>
      <c r="AL134" s="210" t="s">
        <v>1644</v>
      </c>
      <c r="AM134" s="210" t="s">
        <v>1644</v>
      </c>
      <c r="AN134" s="213" t="s">
        <v>1643</v>
      </c>
      <c r="AO134" s="213" t="s">
        <v>1643</v>
      </c>
      <c r="AP134" s="210" t="s">
        <v>1644</v>
      </c>
      <c r="AQ134" s="210" t="s">
        <v>1644</v>
      </c>
      <c r="AR134" s="210" t="s">
        <v>1644</v>
      </c>
      <c r="AS134" s="211" t="s">
        <v>1644</v>
      </c>
    </row>
    <row r="135" spans="1:45" ht="15.75" thickBot="1" x14ac:dyDescent="0.3">
      <c r="A135" s="212" t="s">
        <v>1453</v>
      </c>
      <c r="B135" s="48" t="s">
        <v>1454</v>
      </c>
      <c r="C135" s="214" t="s">
        <v>798</v>
      </c>
      <c r="D135" s="225"/>
      <c r="E135" s="226"/>
      <c r="F135" s="226"/>
      <c r="G135" s="221">
        <v>33</v>
      </c>
      <c r="H135" s="219">
        <v>19000</v>
      </c>
      <c r="I135" s="219">
        <v>24000</v>
      </c>
      <c r="J135" s="227"/>
      <c r="K135" s="226"/>
      <c r="L135" s="226"/>
      <c r="M135" s="221">
        <v>15</v>
      </c>
      <c r="N135" s="219">
        <v>7800</v>
      </c>
      <c r="O135" s="219">
        <v>9000</v>
      </c>
      <c r="P135" s="227"/>
      <c r="Q135" s="226"/>
      <c r="R135" s="226"/>
      <c r="S135" s="221">
        <v>15</v>
      </c>
      <c r="T135" s="219">
        <v>7000</v>
      </c>
      <c r="U135" s="222">
        <v>7800</v>
      </c>
      <c r="V135" s="212" t="s">
        <v>1644</v>
      </c>
      <c r="W135" s="213" t="s">
        <v>1644</v>
      </c>
      <c r="X135" s="213" t="s">
        <v>1644</v>
      </c>
      <c r="Y135" s="213" t="s">
        <v>1644</v>
      </c>
      <c r="Z135" s="213" t="s">
        <v>1644</v>
      </c>
      <c r="AA135" s="213" t="s">
        <v>1643</v>
      </c>
      <c r="AB135" s="213" t="s">
        <v>1643</v>
      </c>
      <c r="AC135" s="213" t="s">
        <v>1643</v>
      </c>
      <c r="AD135" s="213" t="s">
        <v>1644</v>
      </c>
      <c r="AE135" s="213" t="s">
        <v>1644</v>
      </c>
      <c r="AF135" s="213" t="s">
        <v>1644</v>
      </c>
      <c r="AG135" s="214" t="s">
        <v>1643</v>
      </c>
      <c r="AH135" s="212" t="s">
        <v>1644</v>
      </c>
      <c r="AI135" s="213" t="s">
        <v>1644</v>
      </c>
      <c r="AJ135" s="213" t="s">
        <v>1644</v>
      </c>
      <c r="AK135" s="213" t="s">
        <v>1644</v>
      </c>
      <c r="AL135" s="213" t="s">
        <v>1644</v>
      </c>
      <c r="AM135" s="213" t="s">
        <v>1643</v>
      </c>
      <c r="AN135" s="213" t="s">
        <v>1643</v>
      </c>
      <c r="AO135" s="213" t="s">
        <v>1643</v>
      </c>
      <c r="AP135" s="213" t="s">
        <v>1644</v>
      </c>
      <c r="AQ135" s="213" t="s">
        <v>1644</v>
      </c>
      <c r="AR135" s="213" t="s">
        <v>1644</v>
      </c>
      <c r="AS135" s="214" t="s">
        <v>1643</v>
      </c>
    </row>
    <row r="136" spans="1:45" ht="15.75" thickBot="1" x14ac:dyDescent="0.3">
      <c r="A136" s="212" t="s">
        <v>1457</v>
      </c>
      <c r="B136" s="48" t="s">
        <v>1458</v>
      </c>
      <c r="C136" s="214" t="s">
        <v>798</v>
      </c>
      <c r="D136" s="218">
        <v>36</v>
      </c>
      <c r="E136" s="219">
        <v>24823</v>
      </c>
      <c r="F136" s="219">
        <v>25328</v>
      </c>
      <c r="G136" s="220" t="s">
        <v>850</v>
      </c>
      <c r="H136" s="220" t="s">
        <v>850</v>
      </c>
      <c r="I136" s="220" t="s">
        <v>850</v>
      </c>
      <c r="J136" s="220" t="s">
        <v>850</v>
      </c>
      <c r="K136" s="220" t="s">
        <v>850</v>
      </c>
      <c r="L136" s="220" t="s">
        <v>850</v>
      </c>
      <c r="M136" s="220" t="s">
        <v>850</v>
      </c>
      <c r="N136" s="220" t="s">
        <v>850</v>
      </c>
      <c r="O136" s="220" t="s">
        <v>850</v>
      </c>
      <c r="P136" s="220" t="s">
        <v>850</v>
      </c>
      <c r="Q136" s="220" t="s">
        <v>850</v>
      </c>
      <c r="R136" s="220" t="s">
        <v>850</v>
      </c>
      <c r="S136" s="221">
        <v>15</v>
      </c>
      <c r="T136" s="219">
        <v>4524</v>
      </c>
      <c r="U136" s="222">
        <v>15395</v>
      </c>
      <c r="V136" s="212" t="s">
        <v>1643</v>
      </c>
      <c r="W136" s="213" t="s">
        <v>1644</v>
      </c>
      <c r="X136" s="213" t="s">
        <v>1644</v>
      </c>
      <c r="Y136" s="213" t="s">
        <v>1644</v>
      </c>
      <c r="Z136" s="213" t="s">
        <v>1644</v>
      </c>
      <c r="AA136" s="213" t="s">
        <v>1643</v>
      </c>
      <c r="AB136" s="213" t="s">
        <v>1643</v>
      </c>
      <c r="AC136" s="213" t="s">
        <v>1643</v>
      </c>
      <c r="AD136" s="213" t="s">
        <v>1644</v>
      </c>
      <c r="AE136" s="213" t="s">
        <v>1643</v>
      </c>
      <c r="AF136" s="213" t="s">
        <v>1643</v>
      </c>
      <c r="AG136" s="214" t="s">
        <v>1644</v>
      </c>
      <c r="AH136" s="212" t="s">
        <v>1644</v>
      </c>
      <c r="AI136" s="213" t="s">
        <v>1644</v>
      </c>
      <c r="AJ136" s="213" t="s">
        <v>1644</v>
      </c>
      <c r="AK136" s="213" t="s">
        <v>1644</v>
      </c>
      <c r="AL136" s="213" t="s">
        <v>1644</v>
      </c>
      <c r="AM136" s="213" t="s">
        <v>1643</v>
      </c>
      <c r="AN136" s="213" t="s">
        <v>1643</v>
      </c>
      <c r="AO136" s="213" t="s">
        <v>1644</v>
      </c>
      <c r="AP136" s="213" t="s">
        <v>1644</v>
      </c>
      <c r="AQ136" s="213" t="s">
        <v>1643</v>
      </c>
      <c r="AR136" s="213" t="s">
        <v>1643</v>
      </c>
      <c r="AS136" s="214" t="s">
        <v>1644</v>
      </c>
    </row>
    <row r="137" spans="1:45" ht="15.75" thickBot="1" x14ac:dyDescent="0.3">
      <c r="A137" s="212" t="s">
        <v>1463</v>
      </c>
      <c r="B137" s="48" t="s">
        <v>1464</v>
      </c>
      <c r="C137" s="214" t="s">
        <v>798</v>
      </c>
      <c r="D137" s="218">
        <v>29</v>
      </c>
      <c r="E137" s="219">
        <v>11000</v>
      </c>
      <c r="F137" s="219">
        <v>18000</v>
      </c>
      <c r="G137" s="227"/>
      <c r="H137" s="226"/>
      <c r="I137" s="226"/>
      <c r="J137" s="227"/>
      <c r="K137" s="226"/>
      <c r="L137" s="226"/>
      <c r="M137" s="227"/>
      <c r="N137" s="226"/>
      <c r="O137" s="226"/>
      <c r="P137" s="227"/>
      <c r="Q137" s="226"/>
      <c r="R137" s="226"/>
      <c r="S137" s="221">
        <v>9</v>
      </c>
      <c r="T137" s="219">
        <v>3000</v>
      </c>
      <c r="U137" s="222">
        <v>7000</v>
      </c>
      <c r="V137" s="212" t="s">
        <v>1644</v>
      </c>
      <c r="W137" s="213" t="s">
        <v>1644</v>
      </c>
      <c r="X137" s="213" t="s">
        <v>1644</v>
      </c>
      <c r="Y137" s="213" t="s">
        <v>1643</v>
      </c>
      <c r="Z137" s="213" t="s">
        <v>1644</v>
      </c>
      <c r="AA137" s="213" t="s">
        <v>1644</v>
      </c>
      <c r="AB137" s="213" t="s">
        <v>1643</v>
      </c>
      <c r="AC137" s="213" t="s">
        <v>1643</v>
      </c>
      <c r="AD137" s="213" t="s">
        <v>1644</v>
      </c>
      <c r="AE137" s="213" t="s">
        <v>1644</v>
      </c>
      <c r="AF137" s="213" t="s">
        <v>1644</v>
      </c>
      <c r="AG137" s="214" t="s">
        <v>1644</v>
      </c>
      <c r="AH137" s="212" t="s">
        <v>1644</v>
      </c>
      <c r="AI137" s="213" t="s">
        <v>1644</v>
      </c>
      <c r="AJ137" s="213" t="s">
        <v>1644</v>
      </c>
      <c r="AK137" s="213" t="s">
        <v>1644</v>
      </c>
      <c r="AL137" s="213" t="s">
        <v>1644</v>
      </c>
      <c r="AM137" s="213" t="s">
        <v>1644</v>
      </c>
      <c r="AN137" s="213" t="s">
        <v>1644</v>
      </c>
      <c r="AO137" s="213" t="s">
        <v>1644</v>
      </c>
      <c r="AP137" s="213" t="s">
        <v>1644</v>
      </c>
      <c r="AQ137" s="213" t="s">
        <v>1644</v>
      </c>
      <c r="AR137" s="213" t="s">
        <v>1644</v>
      </c>
      <c r="AS137" s="214" t="s">
        <v>1644</v>
      </c>
    </row>
    <row r="138" spans="1:45" ht="15.75" thickBot="1" x14ac:dyDescent="0.3">
      <c r="A138" s="212" t="s">
        <v>1472</v>
      </c>
      <c r="B138" s="48" t="s">
        <v>1473</v>
      </c>
      <c r="C138" s="214" t="s">
        <v>798</v>
      </c>
      <c r="D138" s="223" t="s">
        <v>850</v>
      </c>
      <c r="E138" s="220" t="s">
        <v>850</v>
      </c>
      <c r="F138" s="220" t="s">
        <v>850</v>
      </c>
      <c r="G138" s="220" t="s">
        <v>850</v>
      </c>
      <c r="H138" s="220" t="s">
        <v>850</v>
      </c>
      <c r="I138" s="220" t="s">
        <v>850</v>
      </c>
      <c r="J138" s="220" t="s">
        <v>850</v>
      </c>
      <c r="K138" s="220" t="s">
        <v>850</v>
      </c>
      <c r="L138" s="220" t="s">
        <v>850</v>
      </c>
      <c r="M138" s="220" t="s">
        <v>850</v>
      </c>
      <c r="N138" s="220" t="s">
        <v>850</v>
      </c>
      <c r="O138" s="220" t="s">
        <v>850</v>
      </c>
      <c r="P138" s="220" t="s">
        <v>850</v>
      </c>
      <c r="Q138" s="220" t="s">
        <v>850</v>
      </c>
      <c r="R138" s="220" t="s">
        <v>850</v>
      </c>
      <c r="S138" s="221">
        <v>38</v>
      </c>
      <c r="T138" s="219">
        <v>19319</v>
      </c>
      <c r="U138" s="222">
        <v>21421</v>
      </c>
      <c r="V138" s="209" t="s">
        <v>1644</v>
      </c>
      <c r="W138" s="210" t="s">
        <v>1644</v>
      </c>
      <c r="X138" s="210" t="s">
        <v>1644</v>
      </c>
      <c r="Y138" s="210" t="s">
        <v>1644</v>
      </c>
      <c r="Z138" s="210" t="s">
        <v>1644</v>
      </c>
      <c r="AA138" s="210" t="s">
        <v>1644</v>
      </c>
      <c r="AB138" s="210" t="s">
        <v>1644</v>
      </c>
      <c r="AC138" s="210" t="s">
        <v>1644</v>
      </c>
      <c r="AD138" s="210" t="s">
        <v>1644</v>
      </c>
      <c r="AE138" s="210" t="s">
        <v>1644</v>
      </c>
      <c r="AF138" s="210" t="s">
        <v>1644</v>
      </c>
      <c r="AG138" s="211" t="s">
        <v>1644</v>
      </c>
      <c r="AH138" s="212" t="s">
        <v>1644</v>
      </c>
      <c r="AI138" s="213" t="s">
        <v>1644</v>
      </c>
      <c r="AJ138" s="213" t="s">
        <v>1644</v>
      </c>
      <c r="AK138" s="213" t="s">
        <v>1644</v>
      </c>
      <c r="AL138" s="213" t="s">
        <v>1644</v>
      </c>
      <c r="AM138" s="213" t="s">
        <v>1644</v>
      </c>
      <c r="AN138" s="213" t="s">
        <v>1644</v>
      </c>
      <c r="AO138" s="213" t="s">
        <v>1644</v>
      </c>
      <c r="AP138" s="213" t="s">
        <v>1644</v>
      </c>
      <c r="AQ138" s="213" t="s">
        <v>1644</v>
      </c>
      <c r="AR138" s="213" t="s">
        <v>1644</v>
      </c>
      <c r="AS138" s="214" t="s">
        <v>1644</v>
      </c>
    </row>
    <row r="139" spans="1:45" ht="15.75" thickBot="1" x14ac:dyDescent="0.3">
      <c r="A139" s="212" t="s">
        <v>1494</v>
      </c>
      <c r="B139" s="48" t="s">
        <v>1495</v>
      </c>
      <c r="C139" s="214" t="s">
        <v>798</v>
      </c>
      <c r="D139" s="218">
        <v>25</v>
      </c>
      <c r="E139" s="219">
        <v>20085</v>
      </c>
      <c r="F139" s="219">
        <v>22495</v>
      </c>
      <c r="G139" s="220" t="s">
        <v>850</v>
      </c>
      <c r="H139" s="220" t="s">
        <v>850</v>
      </c>
      <c r="I139" s="220" t="s">
        <v>850</v>
      </c>
      <c r="J139" s="221">
        <v>9</v>
      </c>
      <c r="K139" s="219">
        <v>6370</v>
      </c>
      <c r="L139" s="219">
        <v>10192</v>
      </c>
      <c r="M139" s="220" t="s">
        <v>850</v>
      </c>
      <c r="N139" s="220" t="s">
        <v>850</v>
      </c>
      <c r="O139" s="220" t="s">
        <v>850</v>
      </c>
      <c r="P139" s="220" t="s">
        <v>850</v>
      </c>
      <c r="Q139" s="220" t="s">
        <v>850</v>
      </c>
      <c r="R139" s="220" t="s">
        <v>850</v>
      </c>
      <c r="S139" s="221">
        <v>12</v>
      </c>
      <c r="T139" s="219">
        <v>5720</v>
      </c>
      <c r="U139" s="222">
        <v>9152</v>
      </c>
      <c r="V139" s="209" t="s">
        <v>1644</v>
      </c>
      <c r="W139" s="210" t="s">
        <v>1644</v>
      </c>
      <c r="X139" s="210" t="s">
        <v>1644</v>
      </c>
      <c r="Y139" s="210" t="s">
        <v>1644</v>
      </c>
      <c r="Z139" s="210" t="s">
        <v>1644</v>
      </c>
      <c r="AA139" s="210" t="s">
        <v>1644</v>
      </c>
      <c r="AB139" s="210" t="s">
        <v>1644</v>
      </c>
      <c r="AC139" s="210" t="s">
        <v>1644</v>
      </c>
      <c r="AD139" s="210" t="s">
        <v>1644</v>
      </c>
      <c r="AE139" s="210" t="s">
        <v>1644</v>
      </c>
      <c r="AF139" s="210" t="s">
        <v>1644</v>
      </c>
      <c r="AG139" s="211" t="s">
        <v>1644</v>
      </c>
      <c r="AH139" s="212" t="s">
        <v>1644</v>
      </c>
      <c r="AI139" s="213" t="s">
        <v>1644</v>
      </c>
      <c r="AJ139" s="213" t="s">
        <v>1644</v>
      </c>
      <c r="AK139" s="213" t="s">
        <v>1644</v>
      </c>
      <c r="AL139" s="213" t="s">
        <v>1644</v>
      </c>
      <c r="AM139" s="213" t="s">
        <v>1644</v>
      </c>
      <c r="AN139" s="213" t="s">
        <v>1644</v>
      </c>
      <c r="AO139" s="213" t="s">
        <v>1644</v>
      </c>
      <c r="AP139" s="213" t="s">
        <v>1644</v>
      </c>
      <c r="AQ139" s="213" t="s">
        <v>1644</v>
      </c>
      <c r="AR139" s="213" t="s">
        <v>1644</v>
      </c>
      <c r="AS139" s="214" t="s">
        <v>1644</v>
      </c>
    </row>
    <row r="140" spans="1:45" ht="15.75" thickBot="1" x14ac:dyDescent="0.3">
      <c r="A140" s="212" t="s">
        <v>1506</v>
      </c>
      <c r="B140" s="48" t="s">
        <v>1507</v>
      </c>
      <c r="C140" s="214" t="s">
        <v>798</v>
      </c>
      <c r="D140" s="218">
        <v>30</v>
      </c>
      <c r="E140" s="219">
        <v>25740</v>
      </c>
      <c r="F140" s="219">
        <v>26520</v>
      </c>
      <c r="G140" s="220" t="s">
        <v>850</v>
      </c>
      <c r="H140" s="220" t="s">
        <v>850</v>
      </c>
      <c r="I140" s="220" t="s">
        <v>850</v>
      </c>
      <c r="J140" s="221">
        <v>20</v>
      </c>
      <c r="K140" s="219">
        <v>19448</v>
      </c>
      <c r="L140" s="219">
        <v>19760</v>
      </c>
      <c r="M140" s="221">
        <v>10</v>
      </c>
      <c r="N140" s="219">
        <v>5564</v>
      </c>
      <c r="O140" s="219">
        <v>7020</v>
      </c>
      <c r="P140" s="220" t="s">
        <v>850</v>
      </c>
      <c r="Q140" s="220" t="s">
        <v>850</v>
      </c>
      <c r="R140" s="220" t="s">
        <v>850</v>
      </c>
      <c r="S140" s="221">
        <v>2</v>
      </c>
      <c r="T140" s="219">
        <v>936</v>
      </c>
      <c r="U140" s="222">
        <v>988</v>
      </c>
      <c r="V140" s="209" t="s">
        <v>1644</v>
      </c>
      <c r="W140" s="210" t="s">
        <v>1644</v>
      </c>
      <c r="X140" s="210" t="s">
        <v>1644</v>
      </c>
      <c r="Y140" s="210" t="s">
        <v>1644</v>
      </c>
      <c r="Z140" s="210" t="s">
        <v>1644</v>
      </c>
      <c r="AA140" s="210" t="s">
        <v>1644</v>
      </c>
      <c r="AB140" s="210" t="s">
        <v>1644</v>
      </c>
      <c r="AC140" s="210" t="s">
        <v>1644</v>
      </c>
      <c r="AD140" s="210" t="s">
        <v>1644</v>
      </c>
      <c r="AE140" s="210" t="s">
        <v>1644</v>
      </c>
      <c r="AF140" s="210" t="s">
        <v>1644</v>
      </c>
      <c r="AG140" s="211" t="s">
        <v>1644</v>
      </c>
      <c r="AH140" s="209" t="s">
        <v>1644</v>
      </c>
      <c r="AI140" s="210" t="s">
        <v>1644</v>
      </c>
      <c r="AJ140" s="210" t="s">
        <v>1644</v>
      </c>
      <c r="AK140" s="210" t="s">
        <v>1644</v>
      </c>
      <c r="AL140" s="210" t="s">
        <v>1644</v>
      </c>
      <c r="AM140" s="210" t="s">
        <v>1644</v>
      </c>
      <c r="AN140" s="210" t="s">
        <v>1644</v>
      </c>
      <c r="AO140" s="210" t="s">
        <v>1644</v>
      </c>
      <c r="AP140" s="210" t="s">
        <v>1644</v>
      </c>
      <c r="AQ140" s="210" t="s">
        <v>1644</v>
      </c>
      <c r="AR140" s="210" t="s">
        <v>1644</v>
      </c>
      <c r="AS140" s="211" t="s">
        <v>1644</v>
      </c>
    </row>
    <row r="141" spans="1:45" ht="15.75" thickBot="1" x14ac:dyDescent="0.3">
      <c r="A141" s="212" t="s">
        <v>1514</v>
      </c>
      <c r="B141" s="48" t="s">
        <v>1515</v>
      </c>
      <c r="C141" s="214" t="s">
        <v>798</v>
      </c>
      <c r="D141" s="218">
        <v>22</v>
      </c>
      <c r="E141" s="219">
        <v>14500</v>
      </c>
      <c r="F141" s="219">
        <v>15000</v>
      </c>
      <c r="G141" s="220" t="s">
        <v>850</v>
      </c>
      <c r="H141" s="220" t="s">
        <v>850</v>
      </c>
      <c r="I141" s="220" t="s">
        <v>850</v>
      </c>
      <c r="J141" s="220" t="s">
        <v>850</v>
      </c>
      <c r="K141" s="220" t="s">
        <v>850</v>
      </c>
      <c r="L141" s="220" t="s">
        <v>850</v>
      </c>
      <c r="M141" s="220" t="s">
        <v>850</v>
      </c>
      <c r="N141" s="220" t="s">
        <v>850</v>
      </c>
      <c r="O141" s="220" t="s">
        <v>850</v>
      </c>
      <c r="P141" s="220" t="s">
        <v>850</v>
      </c>
      <c r="Q141" s="220" t="s">
        <v>850</v>
      </c>
      <c r="R141" s="220" t="s">
        <v>850</v>
      </c>
      <c r="S141" s="220" t="s">
        <v>850</v>
      </c>
      <c r="T141" s="220" t="s">
        <v>850</v>
      </c>
      <c r="U141" s="224" t="s">
        <v>850</v>
      </c>
      <c r="V141" s="212" t="s">
        <v>1643</v>
      </c>
      <c r="W141" s="213" t="s">
        <v>1644</v>
      </c>
      <c r="X141" s="213" t="s">
        <v>1644</v>
      </c>
      <c r="Y141" s="213" t="s">
        <v>1644</v>
      </c>
      <c r="Z141" s="213" t="s">
        <v>1644</v>
      </c>
      <c r="AA141" s="213" t="s">
        <v>1643</v>
      </c>
      <c r="AB141" s="213" t="s">
        <v>1643</v>
      </c>
      <c r="AC141" s="213" t="s">
        <v>1643</v>
      </c>
      <c r="AD141" s="213" t="s">
        <v>1643</v>
      </c>
      <c r="AE141" s="213" t="s">
        <v>1644</v>
      </c>
      <c r="AF141" s="213" t="s">
        <v>1643</v>
      </c>
      <c r="AG141" s="214" t="s">
        <v>1644</v>
      </c>
      <c r="AH141" s="212" t="s">
        <v>1644</v>
      </c>
      <c r="AI141" s="213" t="s">
        <v>1644</v>
      </c>
      <c r="AJ141" s="213" t="s">
        <v>1644</v>
      </c>
      <c r="AK141" s="213" t="s">
        <v>1644</v>
      </c>
      <c r="AL141" s="213" t="s">
        <v>1644</v>
      </c>
      <c r="AM141" s="213" t="s">
        <v>1644</v>
      </c>
      <c r="AN141" s="213" t="s">
        <v>1643</v>
      </c>
      <c r="AO141" s="213" t="s">
        <v>1643</v>
      </c>
      <c r="AP141" s="213" t="s">
        <v>1644</v>
      </c>
      <c r="AQ141" s="213" t="s">
        <v>1644</v>
      </c>
      <c r="AR141" s="213" t="s">
        <v>1643</v>
      </c>
      <c r="AS141" s="214" t="s">
        <v>1644</v>
      </c>
    </row>
    <row r="142" spans="1:45" ht="15.75" thickBot="1" x14ac:dyDescent="0.3">
      <c r="A142" s="212" t="s">
        <v>1522</v>
      </c>
      <c r="B142" s="48" t="s">
        <v>1523</v>
      </c>
      <c r="C142" s="214" t="s">
        <v>798</v>
      </c>
      <c r="D142" s="223" t="s">
        <v>850</v>
      </c>
      <c r="E142" s="220" t="s">
        <v>850</v>
      </c>
      <c r="F142" s="220" t="s">
        <v>850</v>
      </c>
      <c r="G142" s="220" t="s">
        <v>850</v>
      </c>
      <c r="H142" s="220" t="s">
        <v>850</v>
      </c>
      <c r="I142" s="220" t="s">
        <v>850</v>
      </c>
      <c r="J142" s="221">
        <v>21</v>
      </c>
      <c r="K142" s="219">
        <v>12012</v>
      </c>
      <c r="L142" s="219">
        <v>12452</v>
      </c>
      <c r="M142" s="221">
        <v>21</v>
      </c>
      <c r="N142" s="219">
        <v>10920</v>
      </c>
      <c r="O142" s="219">
        <v>11356</v>
      </c>
      <c r="P142" s="220" t="s">
        <v>850</v>
      </c>
      <c r="Q142" s="220" t="s">
        <v>850</v>
      </c>
      <c r="R142" s="220" t="s">
        <v>850</v>
      </c>
      <c r="S142" s="220" t="s">
        <v>850</v>
      </c>
      <c r="T142" s="220" t="s">
        <v>850</v>
      </c>
      <c r="U142" s="224" t="s">
        <v>850</v>
      </c>
      <c r="V142" s="212" t="s">
        <v>1643</v>
      </c>
      <c r="W142" s="213" t="s">
        <v>1643</v>
      </c>
      <c r="X142" s="213" t="s">
        <v>1644</v>
      </c>
      <c r="Y142" s="213" t="s">
        <v>1644</v>
      </c>
      <c r="Z142" s="213" t="s">
        <v>1643</v>
      </c>
      <c r="AA142" s="213" t="s">
        <v>1643</v>
      </c>
      <c r="AB142" s="213" t="s">
        <v>1643</v>
      </c>
      <c r="AC142" s="213" t="s">
        <v>1643</v>
      </c>
      <c r="AD142" s="213" t="s">
        <v>1643</v>
      </c>
      <c r="AE142" s="213" t="s">
        <v>1644</v>
      </c>
      <c r="AF142" s="213" t="s">
        <v>1643</v>
      </c>
      <c r="AG142" s="214" t="s">
        <v>1644</v>
      </c>
      <c r="AH142" s="212" t="s">
        <v>1644</v>
      </c>
      <c r="AI142" s="213" t="s">
        <v>1644</v>
      </c>
      <c r="AJ142" s="213" t="s">
        <v>1644</v>
      </c>
      <c r="AK142" s="213" t="s">
        <v>1644</v>
      </c>
      <c r="AL142" s="213" t="s">
        <v>1644</v>
      </c>
      <c r="AM142" s="213" t="s">
        <v>1644</v>
      </c>
      <c r="AN142" s="213" t="s">
        <v>1644</v>
      </c>
      <c r="AO142" s="213" t="s">
        <v>1644</v>
      </c>
      <c r="AP142" s="213" t="s">
        <v>1643</v>
      </c>
      <c r="AQ142" s="213" t="s">
        <v>1644</v>
      </c>
      <c r="AR142" s="213" t="s">
        <v>1644</v>
      </c>
      <c r="AS142" s="214" t="s">
        <v>1644</v>
      </c>
    </row>
    <row r="143" spans="1:45" ht="15.75" thickBot="1" x14ac:dyDescent="0.3">
      <c r="A143" s="212" t="s">
        <v>1530</v>
      </c>
      <c r="B143" s="48" t="s">
        <v>1531</v>
      </c>
      <c r="C143" s="214" t="s">
        <v>798</v>
      </c>
      <c r="D143" s="223" t="s">
        <v>850</v>
      </c>
      <c r="E143" s="220" t="s">
        <v>850</v>
      </c>
      <c r="F143" s="220" t="s">
        <v>850</v>
      </c>
      <c r="G143" s="220" t="s">
        <v>850</v>
      </c>
      <c r="H143" s="220" t="s">
        <v>850</v>
      </c>
      <c r="I143" s="220" t="s">
        <v>850</v>
      </c>
      <c r="J143" s="220" t="s">
        <v>850</v>
      </c>
      <c r="K143" s="220" t="s">
        <v>850</v>
      </c>
      <c r="L143" s="220" t="s">
        <v>850</v>
      </c>
      <c r="M143" s="220" t="s">
        <v>850</v>
      </c>
      <c r="N143" s="220" t="s">
        <v>850</v>
      </c>
      <c r="O143" s="220" t="s">
        <v>850</v>
      </c>
      <c r="P143" s="220" t="s">
        <v>850</v>
      </c>
      <c r="Q143" s="220" t="s">
        <v>850</v>
      </c>
      <c r="R143" s="220" t="s">
        <v>850</v>
      </c>
      <c r="S143" s="221">
        <v>21</v>
      </c>
      <c r="T143" s="219">
        <v>3000</v>
      </c>
      <c r="U143" s="222">
        <v>11111</v>
      </c>
      <c r="V143" s="209" t="s">
        <v>1644</v>
      </c>
      <c r="W143" s="210" t="s">
        <v>1644</v>
      </c>
      <c r="X143" s="210" t="s">
        <v>1644</v>
      </c>
      <c r="Y143" s="210" t="s">
        <v>1644</v>
      </c>
      <c r="Z143" s="210" t="s">
        <v>1644</v>
      </c>
      <c r="AA143" s="210" t="s">
        <v>1644</v>
      </c>
      <c r="AB143" s="210" t="s">
        <v>1644</v>
      </c>
      <c r="AC143" s="210" t="s">
        <v>1644</v>
      </c>
      <c r="AD143" s="210" t="s">
        <v>1644</v>
      </c>
      <c r="AE143" s="210" t="s">
        <v>1644</v>
      </c>
      <c r="AF143" s="210" t="s">
        <v>1644</v>
      </c>
      <c r="AG143" s="211" t="s">
        <v>1644</v>
      </c>
      <c r="AH143" s="212" t="s">
        <v>1644</v>
      </c>
      <c r="AI143" s="213" t="s">
        <v>1644</v>
      </c>
      <c r="AJ143" s="213" t="s">
        <v>1644</v>
      </c>
      <c r="AK143" s="213" t="s">
        <v>1644</v>
      </c>
      <c r="AL143" s="213" t="s">
        <v>1644</v>
      </c>
      <c r="AM143" s="213" t="s">
        <v>1644</v>
      </c>
      <c r="AN143" s="213" t="s">
        <v>1644</v>
      </c>
      <c r="AO143" s="213" t="s">
        <v>1644</v>
      </c>
      <c r="AP143" s="213" t="s">
        <v>1644</v>
      </c>
      <c r="AQ143" s="213" t="s">
        <v>1644</v>
      </c>
      <c r="AR143" s="213" t="s">
        <v>1644</v>
      </c>
      <c r="AS143" s="214" t="s">
        <v>1644</v>
      </c>
    </row>
    <row r="144" spans="1:45" ht="15.75" thickBot="1" x14ac:dyDescent="0.3">
      <c r="A144" s="212" t="s">
        <v>1544</v>
      </c>
      <c r="B144" s="48" t="s">
        <v>1545</v>
      </c>
      <c r="C144" s="214" t="s">
        <v>798</v>
      </c>
      <c r="D144" s="218">
        <v>20</v>
      </c>
      <c r="E144" s="219">
        <v>16640</v>
      </c>
      <c r="F144" s="219">
        <v>20155</v>
      </c>
      <c r="G144" s="220" t="s">
        <v>850</v>
      </c>
      <c r="H144" s="220" t="s">
        <v>850</v>
      </c>
      <c r="I144" s="220" t="s">
        <v>850</v>
      </c>
      <c r="J144" s="220" t="s">
        <v>850</v>
      </c>
      <c r="K144" s="220" t="s">
        <v>850</v>
      </c>
      <c r="L144" s="220" t="s">
        <v>850</v>
      </c>
      <c r="M144" s="221">
        <v>20</v>
      </c>
      <c r="N144" s="219">
        <v>12376</v>
      </c>
      <c r="O144" s="219">
        <v>14576</v>
      </c>
      <c r="P144" s="220" t="s">
        <v>850</v>
      </c>
      <c r="Q144" s="220" t="s">
        <v>850</v>
      </c>
      <c r="R144" s="220" t="s">
        <v>850</v>
      </c>
      <c r="S144" s="221">
        <v>15</v>
      </c>
      <c r="T144" s="219">
        <v>6240</v>
      </c>
      <c r="U144" s="222">
        <v>9984</v>
      </c>
      <c r="V144" s="212" t="s">
        <v>1643</v>
      </c>
      <c r="W144" s="213" t="s">
        <v>1643</v>
      </c>
      <c r="X144" s="213" t="s">
        <v>1643</v>
      </c>
      <c r="Y144" s="213" t="s">
        <v>1643</v>
      </c>
      <c r="Z144" s="213" t="s">
        <v>1643</v>
      </c>
      <c r="AA144" s="213" t="s">
        <v>1643</v>
      </c>
      <c r="AB144" s="213" t="s">
        <v>1643</v>
      </c>
      <c r="AC144" s="213" t="s">
        <v>1643</v>
      </c>
      <c r="AD144" s="213" t="s">
        <v>1644</v>
      </c>
      <c r="AE144" s="213" t="s">
        <v>1643</v>
      </c>
      <c r="AF144" s="213" t="s">
        <v>1643</v>
      </c>
      <c r="AG144" s="214" t="s">
        <v>1643</v>
      </c>
      <c r="AH144" s="212" t="s">
        <v>1644</v>
      </c>
      <c r="AI144" s="213" t="s">
        <v>1644</v>
      </c>
      <c r="AJ144" s="213" t="s">
        <v>1644</v>
      </c>
      <c r="AK144" s="213" t="s">
        <v>1644</v>
      </c>
      <c r="AL144" s="213" t="s">
        <v>1644</v>
      </c>
      <c r="AM144" s="213" t="s">
        <v>1644</v>
      </c>
      <c r="AN144" s="213" t="s">
        <v>1644</v>
      </c>
      <c r="AO144" s="213" t="s">
        <v>1644</v>
      </c>
      <c r="AP144" s="213" t="s">
        <v>1644</v>
      </c>
      <c r="AQ144" s="213" t="s">
        <v>1644</v>
      </c>
      <c r="AR144" s="213" t="s">
        <v>1644</v>
      </c>
      <c r="AS144" s="214" t="s">
        <v>1644</v>
      </c>
    </row>
    <row r="145" spans="1:45" ht="15.75" thickBot="1" x14ac:dyDescent="0.3">
      <c r="A145" s="212" t="s">
        <v>1550</v>
      </c>
      <c r="B145" s="48" t="s">
        <v>1551</v>
      </c>
      <c r="C145" s="214" t="s">
        <v>798</v>
      </c>
      <c r="D145" s="218">
        <v>15</v>
      </c>
      <c r="E145" s="219">
        <v>5850</v>
      </c>
      <c r="F145" s="219">
        <v>16000</v>
      </c>
      <c r="G145" s="220" t="s">
        <v>850</v>
      </c>
      <c r="H145" s="220" t="s">
        <v>850</v>
      </c>
      <c r="I145" s="220" t="s">
        <v>850</v>
      </c>
      <c r="J145" s="220" t="s">
        <v>850</v>
      </c>
      <c r="K145" s="220" t="s">
        <v>850</v>
      </c>
      <c r="L145" s="220" t="s">
        <v>850</v>
      </c>
      <c r="M145" s="220" t="s">
        <v>850</v>
      </c>
      <c r="N145" s="220" t="s">
        <v>850</v>
      </c>
      <c r="O145" s="220" t="s">
        <v>850</v>
      </c>
      <c r="P145" s="220" t="s">
        <v>850</v>
      </c>
      <c r="Q145" s="220" t="s">
        <v>850</v>
      </c>
      <c r="R145" s="220" t="s">
        <v>850</v>
      </c>
      <c r="S145" s="221">
        <v>16</v>
      </c>
      <c r="T145" s="219">
        <v>4000</v>
      </c>
      <c r="U145" s="222">
        <v>10000</v>
      </c>
      <c r="V145" s="209" t="s">
        <v>1644</v>
      </c>
      <c r="W145" s="210" t="s">
        <v>1644</v>
      </c>
      <c r="X145" s="210" t="s">
        <v>1644</v>
      </c>
      <c r="Y145" s="210" t="s">
        <v>1644</v>
      </c>
      <c r="Z145" s="210" t="s">
        <v>1644</v>
      </c>
      <c r="AA145" s="213" t="s">
        <v>1643</v>
      </c>
      <c r="AB145" s="213" t="s">
        <v>1643</v>
      </c>
      <c r="AC145" s="213" t="s">
        <v>1643</v>
      </c>
      <c r="AD145" s="210" t="s">
        <v>1644</v>
      </c>
      <c r="AE145" s="210" t="s">
        <v>1644</v>
      </c>
      <c r="AF145" s="210" t="s">
        <v>1644</v>
      </c>
      <c r="AG145" s="211" t="s">
        <v>1644</v>
      </c>
      <c r="AH145" s="209" t="s">
        <v>1644</v>
      </c>
      <c r="AI145" s="210" t="s">
        <v>1644</v>
      </c>
      <c r="AJ145" s="210" t="s">
        <v>1644</v>
      </c>
      <c r="AK145" s="210" t="s">
        <v>1644</v>
      </c>
      <c r="AL145" s="210" t="s">
        <v>1644</v>
      </c>
      <c r="AM145" s="213" t="s">
        <v>1643</v>
      </c>
      <c r="AN145" s="213" t="s">
        <v>1643</v>
      </c>
      <c r="AO145" s="213" t="s">
        <v>1643</v>
      </c>
      <c r="AP145" s="210" t="s">
        <v>1644</v>
      </c>
      <c r="AQ145" s="210" t="s">
        <v>1644</v>
      </c>
      <c r="AR145" s="210" t="s">
        <v>1644</v>
      </c>
      <c r="AS145" s="211" t="s">
        <v>1644</v>
      </c>
    </row>
    <row r="146" spans="1:45" ht="15.75" thickBot="1" x14ac:dyDescent="0.3">
      <c r="A146" s="212" t="s">
        <v>1560</v>
      </c>
      <c r="B146" s="48" t="s">
        <v>1561</v>
      </c>
      <c r="C146" s="214" t="s">
        <v>798</v>
      </c>
      <c r="D146" s="218">
        <v>40</v>
      </c>
      <c r="E146" s="219">
        <v>40000</v>
      </c>
      <c r="F146" s="219">
        <v>40000</v>
      </c>
      <c r="G146" s="220" t="s">
        <v>850</v>
      </c>
      <c r="H146" s="220" t="s">
        <v>850</v>
      </c>
      <c r="I146" s="220" t="s">
        <v>850</v>
      </c>
      <c r="J146" s="221">
        <v>15</v>
      </c>
      <c r="K146" s="219">
        <v>7700</v>
      </c>
      <c r="L146" s="219">
        <v>7700</v>
      </c>
      <c r="M146" s="221">
        <v>6</v>
      </c>
      <c r="N146" s="219">
        <v>5500</v>
      </c>
      <c r="O146" s="219">
        <v>5500</v>
      </c>
      <c r="P146" s="220" t="s">
        <v>850</v>
      </c>
      <c r="Q146" s="220" t="s">
        <v>850</v>
      </c>
      <c r="R146" s="220" t="s">
        <v>850</v>
      </c>
      <c r="S146" s="221">
        <v>14</v>
      </c>
      <c r="T146" s="219">
        <v>2500</v>
      </c>
      <c r="U146" s="222">
        <v>15500</v>
      </c>
      <c r="V146" s="212" t="s">
        <v>1643</v>
      </c>
      <c r="W146" s="213" t="s">
        <v>1643</v>
      </c>
      <c r="X146" s="213" t="s">
        <v>1643</v>
      </c>
      <c r="Y146" s="213" t="s">
        <v>1643</v>
      </c>
      <c r="Z146" s="213" t="s">
        <v>1643</v>
      </c>
      <c r="AA146" s="213" t="s">
        <v>1643</v>
      </c>
      <c r="AB146" s="213" t="s">
        <v>1643</v>
      </c>
      <c r="AC146" s="213" t="s">
        <v>1643</v>
      </c>
      <c r="AD146" s="213" t="s">
        <v>1644</v>
      </c>
      <c r="AE146" s="213" t="s">
        <v>1643</v>
      </c>
      <c r="AF146" s="213" t="s">
        <v>1644</v>
      </c>
      <c r="AG146" s="214" t="s">
        <v>1644</v>
      </c>
      <c r="AH146" s="212" t="s">
        <v>1644</v>
      </c>
      <c r="AI146" s="213" t="s">
        <v>1644</v>
      </c>
      <c r="AJ146" s="213" t="s">
        <v>1644</v>
      </c>
      <c r="AK146" s="213" t="s">
        <v>1644</v>
      </c>
      <c r="AL146" s="213" t="s">
        <v>1644</v>
      </c>
      <c r="AM146" s="213" t="s">
        <v>1644</v>
      </c>
      <c r="AN146" s="213" t="s">
        <v>1643</v>
      </c>
      <c r="AO146" s="213" t="s">
        <v>1644</v>
      </c>
      <c r="AP146" s="213" t="s">
        <v>1644</v>
      </c>
      <c r="AQ146" s="213" t="s">
        <v>1644</v>
      </c>
      <c r="AR146" s="213" t="s">
        <v>1644</v>
      </c>
      <c r="AS146" s="214" t="s">
        <v>1644</v>
      </c>
    </row>
    <row r="147" spans="1:45" ht="15.75" thickBot="1" x14ac:dyDescent="0.3">
      <c r="A147" s="212" t="s">
        <v>1570</v>
      </c>
      <c r="B147" s="48" t="s">
        <v>1571</v>
      </c>
      <c r="C147" s="214" t="s">
        <v>798</v>
      </c>
      <c r="D147" s="218">
        <v>37</v>
      </c>
      <c r="E147" s="219">
        <v>21000</v>
      </c>
      <c r="F147" s="219">
        <v>28000</v>
      </c>
      <c r="G147" s="221">
        <v>31</v>
      </c>
      <c r="H147" s="219">
        <v>15</v>
      </c>
      <c r="I147" s="219">
        <v>20</v>
      </c>
      <c r="J147" s="220" t="s">
        <v>850</v>
      </c>
      <c r="K147" s="220" t="s">
        <v>850</v>
      </c>
      <c r="L147" s="220" t="s">
        <v>850</v>
      </c>
      <c r="M147" s="220" t="s">
        <v>850</v>
      </c>
      <c r="N147" s="219">
        <v>9000</v>
      </c>
      <c r="O147" s="219">
        <v>14000</v>
      </c>
      <c r="P147" s="220" t="s">
        <v>850</v>
      </c>
      <c r="Q147" s="220" t="s">
        <v>850</v>
      </c>
      <c r="R147" s="220" t="s">
        <v>850</v>
      </c>
      <c r="S147" s="220" t="s">
        <v>850</v>
      </c>
      <c r="T147" s="219">
        <v>7000</v>
      </c>
      <c r="U147" s="222">
        <v>13000</v>
      </c>
      <c r="V147" s="212" t="s">
        <v>1644</v>
      </c>
      <c r="W147" s="213" t="s">
        <v>1644</v>
      </c>
      <c r="X147" s="213" t="s">
        <v>1644</v>
      </c>
      <c r="Y147" s="213" t="s">
        <v>1644</v>
      </c>
      <c r="Z147" s="213" t="s">
        <v>1644</v>
      </c>
      <c r="AA147" s="213" t="s">
        <v>1643</v>
      </c>
      <c r="AB147" s="213" t="s">
        <v>1643</v>
      </c>
      <c r="AC147" s="213" t="s">
        <v>1643</v>
      </c>
      <c r="AD147" s="213" t="s">
        <v>1644</v>
      </c>
      <c r="AE147" s="213" t="s">
        <v>1644</v>
      </c>
      <c r="AF147" s="213" t="s">
        <v>1643</v>
      </c>
      <c r="AG147" s="214" t="s">
        <v>1644</v>
      </c>
      <c r="AH147" s="212" t="s">
        <v>1644</v>
      </c>
      <c r="AI147" s="213" t="s">
        <v>1644</v>
      </c>
      <c r="AJ147" s="213" t="s">
        <v>1644</v>
      </c>
      <c r="AK147" s="213" t="s">
        <v>1644</v>
      </c>
      <c r="AL147" s="213" t="s">
        <v>1644</v>
      </c>
      <c r="AM147" s="213" t="s">
        <v>1644</v>
      </c>
      <c r="AN147" s="213" t="s">
        <v>1644</v>
      </c>
      <c r="AO147" s="213" t="s">
        <v>1644</v>
      </c>
      <c r="AP147" s="213" t="s">
        <v>1644</v>
      </c>
      <c r="AQ147" s="213" t="s">
        <v>1644</v>
      </c>
      <c r="AR147" s="213" t="s">
        <v>1644</v>
      </c>
      <c r="AS147" s="214" t="s">
        <v>1644</v>
      </c>
    </row>
    <row r="148" spans="1:45" ht="15.75" thickBot="1" x14ac:dyDescent="0.3">
      <c r="A148" s="212" t="s">
        <v>1588</v>
      </c>
      <c r="B148" s="48" t="s">
        <v>1589</v>
      </c>
      <c r="C148" s="214" t="s">
        <v>798</v>
      </c>
      <c r="D148" s="218">
        <v>22</v>
      </c>
      <c r="E148" s="219">
        <v>18000</v>
      </c>
      <c r="F148" s="219">
        <v>25000</v>
      </c>
      <c r="G148" s="220" t="s">
        <v>850</v>
      </c>
      <c r="H148" s="220" t="s">
        <v>850</v>
      </c>
      <c r="I148" s="220" t="s">
        <v>850</v>
      </c>
      <c r="J148" s="220" t="s">
        <v>850</v>
      </c>
      <c r="K148" s="220" t="s">
        <v>850</v>
      </c>
      <c r="L148" s="220" t="s">
        <v>850</v>
      </c>
      <c r="M148" s="221">
        <v>4</v>
      </c>
      <c r="N148" s="219">
        <v>1900</v>
      </c>
      <c r="O148" s="219">
        <v>3000</v>
      </c>
      <c r="P148" s="220" t="s">
        <v>850</v>
      </c>
      <c r="Q148" s="220" t="s">
        <v>850</v>
      </c>
      <c r="R148" s="220" t="s">
        <v>850</v>
      </c>
      <c r="S148" s="221">
        <v>14</v>
      </c>
      <c r="T148" s="219">
        <v>4000</v>
      </c>
      <c r="U148" s="222">
        <v>17000</v>
      </c>
      <c r="V148" s="209" t="s">
        <v>1644</v>
      </c>
      <c r="W148" s="210" t="s">
        <v>1644</v>
      </c>
      <c r="X148" s="210" t="s">
        <v>1644</v>
      </c>
      <c r="Y148" s="210" t="s">
        <v>1644</v>
      </c>
      <c r="Z148" s="210" t="s">
        <v>1644</v>
      </c>
      <c r="AA148" s="210" t="s">
        <v>1644</v>
      </c>
      <c r="AB148" s="210" t="s">
        <v>1644</v>
      </c>
      <c r="AC148" s="210" t="s">
        <v>1644</v>
      </c>
      <c r="AD148" s="210" t="s">
        <v>1644</v>
      </c>
      <c r="AE148" s="210" t="s">
        <v>1644</v>
      </c>
      <c r="AF148" s="210" t="s">
        <v>1644</v>
      </c>
      <c r="AG148" s="211" t="s">
        <v>1644</v>
      </c>
      <c r="AH148" s="212" t="s">
        <v>1644</v>
      </c>
      <c r="AI148" s="213" t="s">
        <v>1644</v>
      </c>
      <c r="AJ148" s="213" t="s">
        <v>1644</v>
      </c>
      <c r="AK148" s="213" t="s">
        <v>1644</v>
      </c>
      <c r="AL148" s="213" t="s">
        <v>1644</v>
      </c>
      <c r="AM148" s="213" t="s">
        <v>1643</v>
      </c>
      <c r="AN148" s="213" t="s">
        <v>1643</v>
      </c>
      <c r="AO148" s="213" t="s">
        <v>1643</v>
      </c>
      <c r="AP148" s="213" t="s">
        <v>1643</v>
      </c>
      <c r="AQ148" s="213" t="s">
        <v>1644</v>
      </c>
      <c r="AR148" s="213" t="s">
        <v>1643</v>
      </c>
      <c r="AS148" s="214" t="s">
        <v>1644</v>
      </c>
    </row>
    <row r="149" spans="1:45" ht="15.75" thickBot="1" x14ac:dyDescent="0.3">
      <c r="A149" s="212" t="s">
        <v>806</v>
      </c>
      <c r="B149" s="48" t="s">
        <v>807</v>
      </c>
      <c r="C149" s="214" t="s">
        <v>808</v>
      </c>
      <c r="D149" s="225"/>
      <c r="E149" s="226"/>
      <c r="F149" s="226"/>
      <c r="G149" s="227"/>
      <c r="H149" s="226"/>
      <c r="I149" s="226"/>
      <c r="J149" s="221">
        <v>29</v>
      </c>
      <c r="K149" s="219">
        <v>17010</v>
      </c>
      <c r="L149" s="219">
        <v>21112</v>
      </c>
      <c r="M149" s="221">
        <v>14</v>
      </c>
      <c r="N149" s="219">
        <v>7462</v>
      </c>
      <c r="O149" s="219">
        <v>8998</v>
      </c>
      <c r="P149" s="220" t="s">
        <v>850</v>
      </c>
      <c r="Q149" s="220" t="s">
        <v>850</v>
      </c>
      <c r="R149" s="220" t="s">
        <v>850</v>
      </c>
      <c r="S149" s="220" t="s">
        <v>850</v>
      </c>
      <c r="T149" s="219">
        <v>5896</v>
      </c>
      <c r="U149" s="222">
        <v>6520</v>
      </c>
      <c r="V149" s="209" t="s">
        <v>1644</v>
      </c>
      <c r="W149" s="210" t="s">
        <v>1644</v>
      </c>
      <c r="X149" s="210" t="s">
        <v>1644</v>
      </c>
      <c r="Y149" s="210" t="s">
        <v>1644</v>
      </c>
      <c r="Z149" s="210" t="s">
        <v>1644</v>
      </c>
      <c r="AA149" s="210" t="s">
        <v>1644</v>
      </c>
      <c r="AB149" s="210" t="s">
        <v>1644</v>
      </c>
      <c r="AC149" s="210" t="s">
        <v>1644</v>
      </c>
      <c r="AD149" s="210" t="s">
        <v>1644</v>
      </c>
      <c r="AE149" s="210" t="s">
        <v>1644</v>
      </c>
      <c r="AF149" s="210" t="s">
        <v>1644</v>
      </c>
      <c r="AG149" s="211" t="s">
        <v>1644</v>
      </c>
      <c r="AH149" s="212" t="s">
        <v>1644</v>
      </c>
      <c r="AI149" s="213" t="s">
        <v>1644</v>
      </c>
      <c r="AJ149" s="213" t="s">
        <v>1644</v>
      </c>
      <c r="AK149" s="213" t="s">
        <v>1644</v>
      </c>
      <c r="AL149" s="213" t="s">
        <v>1644</v>
      </c>
      <c r="AM149" s="213" t="s">
        <v>1644</v>
      </c>
      <c r="AN149" s="213" t="s">
        <v>1644</v>
      </c>
      <c r="AO149" s="213" t="s">
        <v>1644</v>
      </c>
      <c r="AP149" s="213" t="s">
        <v>1644</v>
      </c>
      <c r="AQ149" s="213" t="s">
        <v>1644</v>
      </c>
      <c r="AR149" s="213" t="s">
        <v>1644</v>
      </c>
      <c r="AS149" s="214" t="s">
        <v>1644</v>
      </c>
    </row>
    <row r="150" spans="1:45" ht="15.75" thickBot="1" x14ac:dyDescent="0.3">
      <c r="A150" s="212" t="s">
        <v>809</v>
      </c>
      <c r="B150" s="48" t="s">
        <v>810</v>
      </c>
      <c r="C150" s="214" t="s">
        <v>808</v>
      </c>
      <c r="D150" s="225"/>
      <c r="E150" s="226"/>
      <c r="F150" s="226"/>
      <c r="G150" s="227"/>
      <c r="H150" s="226"/>
      <c r="I150" s="226"/>
      <c r="J150" s="227"/>
      <c r="K150" s="226"/>
      <c r="L150" s="226"/>
      <c r="M150" s="227"/>
      <c r="N150" s="226"/>
      <c r="O150" s="226"/>
      <c r="P150" s="227"/>
      <c r="Q150" s="226"/>
      <c r="R150" s="226"/>
      <c r="S150" s="221">
        <v>20</v>
      </c>
      <c r="T150" s="219">
        <v>10400</v>
      </c>
      <c r="U150" s="222">
        <v>12480</v>
      </c>
      <c r="V150" s="212" t="s">
        <v>1644</v>
      </c>
      <c r="W150" s="213" t="s">
        <v>1644</v>
      </c>
      <c r="X150" s="213" t="s">
        <v>1644</v>
      </c>
      <c r="Y150" s="213" t="s">
        <v>1644</v>
      </c>
      <c r="Z150" s="213" t="s">
        <v>1644</v>
      </c>
      <c r="AA150" s="213" t="s">
        <v>1644</v>
      </c>
      <c r="AB150" s="213" t="s">
        <v>1644</v>
      </c>
      <c r="AC150" s="213" t="s">
        <v>1644</v>
      </c>
      <c r="AD150" s="213" t="s">
        <v>1644</v>
      </c>
      <c r="AE150" s="213" t="s">
        <v>1644</v>
      </c>
      <c r="AF150" s="213" t="s">
        <v>1644</v>
      </c>
      <c r="AG150" s="214" t="s">
        <v>1644</v>
      </c>
      <c r="AH150" s="212" t="s">
        <v>1644</v>
      </c>
      <c r="AI150" s="213" t="s">
        <v>1644</v>
      </c>
      <c r="AJ150" s="213" t="s">
        <v>1644</v>
      </c>
      <c r="AK150" s="213" t="s">
        <v>1644</v>
      </c>
      <c r="AL150" s="213" t="s">
        <v>1644</v>
      </c>
      <c r="AM150" s="213" t="s">
        <v>1644</v>
      </c>
      <c r="AN150" s="213" t="s">
        <v>1643</v>
      </c>
      <c r="AO150" s="213" t="s">
        <v>1644</v>
      </c>
      <c r="AP150" s="213" t="s">
        <v>1644</v>
      </c>
      <c r="AQ150" s="213" t="s">
        <v>1644</v>
      </c>
      <c r="AR150" s="213" t="s">
        <v>1644</v>
      </c>
      <c r="AS150" s="214" t="s">
        <v>1644</v>
      </c>
    </row>
    <row r="151" spans="1:45" ht="15.75" thickBot="1" x14ac:dyDescent="0.3">
      <c r="A151" s="212" t="s">
        <v>811</v>
      </c>
      <c r="B151" s="48" t="s">
        <v>812</v>
      </c>
      <c r="C151" s="214" t="s">
        <v>808</v>
      </c>
      <c r="D151" s="225"/>
      <c r="E151" s="226"/>
      <c r="F151" s="226"/>
      <c r="G151" s="221">
        <v>35</v>
      </c>
      <c r="H151" s="219">
        <v>33000</v>
      </c>
      <c r="I151" s="219">
        <v>45000</v>
      </c>
      <c r="J151" s="220" t="s">
        <v>850</v>
      </c>
      <c r="K151" s="220" t="s">
        <v>850</v>
      </c>
      <c r="L151" s="220" t="s">
        <v>850</v>
      </c>
      <c r="M151" s="221">
        <v>35</v>
      </c>
      <c r="N151" s="219">
        <v>25000</v>
      </c>
      <c r="O151" s="219">
        <v>33000</v>
      </c>
      <c r="P151" s="221">
        <v>35</v>
      </c>
      <c r="Q151" s="219">
        <v>25000</v>
      </c>
      <c r="R151" s="219">
        <v>30000</v>
      </c>
      <c r="S151" s="221">
        <v>35</v>
      </c>
      <c r="T151" s="219">
        <v>20000</v>
      </c>
      <c r="U151" s="222">
        <v>30000</v>
      </c>
      <c r="V151" s="212" t="s">
        <v>1643</v>
      </c>
      <c r="W151" s="213" t="s">
        <v>1643</v>
      </c>
      <c r="X151" s="213" t="s">
        <v>1643</v>
      </c>
      <c r="Y151" s="213" t="s">
        <v>1643</v>
      </c>
      <c r="Z151" s="213" t="s">
        <v>1643</v>
      </c>
      <c r="AA151" s="213" t="s">
        <v>1643</v>
      </c>
      <c r="AB151" s="213" t="s">
        <v>1643</v>
      </c>
      <c r="AC151" s="213" t="s">
        <v>1643</v>
      </c>
      <c r="AD151" s="213" t="s">
        <v>1643</v>
      </c>
      <c r="AE151" s="213" t="s">
        <v>1643</v>
      </c>
      <c r="AF151" s="213" t="s">
        <v>1643</v>
      </c>
      <c r="AG151" s="214" t="s">
        <v>1643</v>
      </c>
      <c r="AH151" s="212" t="s">
        <v>1644</v>
      </c>
      <c r="AI151" s="213" t="s">
        <v>1644</v>
      </c>
      <c r="AJ151" s="213" t="s">
        <v>1644</v>
      </c>
      <c r="AK151" s="213" t="s">
        <v>1644</v>
      </c>
      <c r="AL151" s="213" t="s">
        <v>1644</v>
      </c>
      <c r="AM151" s="213" t="s">
        <v>1643</v>
      </c>
      <c r="AN151" s="213" t="s">
        <v>1643</v>
      </c>
      <c r="AO151" s="213" t="s">
        <v>1643</v>
      </c>
      <c r="AP151" s="213" t="s">
        <v>1644</v>
      </c>
      <c r="AQ151" s="213" t="s">
        <v>1644</v>
      </c>
      <c r="AR151" s="213" t="s">
        <v>1643</v>
      </c>
      <c r="AS151" s="214" t="s">
        <v>1643</v>
      </c>
    </row>
    <row r="152" spans="1:45" ht="15.75" thickBot="1" x14ac:dyDescent="0.3">
      <c r="A152" s="212" t="s">
        <v>813</v>
      </c>
      <c r="B152" s="48" t="s">
        <v>814</v>
      </c>
      <c r="C152" s="214" t="s">
        <v>808</v>
      </c>
      <c r="D152" s="218">
        <v>35</v>
      </c>
      <c r="E152" s="219">
        <v>24000</v>
      </c>
      <c r="F152" s="219">
        <v>36000</v>
      </c>
      <c r="G152" s="221">
        <v>18</v>
      </c>
      <c r="H152" s="219">
        <v>10000</v>
      </c>
      <c r="I152" s="219">
        <v>16000</v>
      </c>
      <c r="J152" s="220" t="s">
        <v>850</v>
      </c>
      <c r="K152" s="220" t="s">
        <v>850</v>
      </c>
      <c r="L152" s="220" t="s">
        <v>850</v>
      </c>
      <c r="M152" s="221">
        <v>35</v>
      </c>
      <c r="N152" s="219">
        <v>23000</v>
      </c>
      <c r="O152" s="219">
        <v>35000</v>
      </c>
      <c r="P152" s="221">
        <v>25</v>
      </c>
      <c r="Q152" s="219">
        <v>16000</v>
      </c>
      <c r="R152" s="219">
        <v>28000</v>
      </c>
      <c r="S152" s="221">
        <v>18</v>
      </c>
      <c r="T152" s="219">
        <v>8000</v>
      </c>
      <c r="U152" s="222">
        <v>14000</v>
      </c>
      <c r="V152" s="212" t="s">
        <v>1643</v>
      </c>
      <c r="W152" s="213" t="s">
        <v>1643</v>
      </c>
      <c r="X152" s="213" t="s">
        <v>1643</v>
      </c>
      <c r="Y152" s="213" t="s">
        <v>1643</v>
      </c>
      <c r="Z152" s="213" t="s">
        <v>1643</v>
      </c>
      <c r="AA152" s="213" t="s">
        <v>1643</v>
      </c>
      <c r="AB152" s="213" t="s">
        <v>1643</v>
      </c>
      <c r="AC152" s="213" t="s">
        <v>1643</v>
      </c>
      <c r="AD152" s="213" t="s">
        <v>1643</v>
      </c>
      <c r="AE152" s="213" t="s">
        <v>1644</v>
      </c>
      <c r="AF152" s="213" t="s">
        <v>1644</v>
      </c>
      <c r="AG152" s="214" t="s">
        <v>1643</v>
      </c>
      <c r="AH152" s="212" t="s">
        <v>1644</v>
      </c>
      <c r="AI152" s="213" t="s">
        <v>1644</v>
      </c>
      <c r="AJ152" s="213" t="s">
        <v>1644</v>
      </c>
      <c r="AK152" s="213" t="s">
        <v>1644</v>
      </c>
      <c r="AL152" s="213" t="s">
        <v>1644</v>
      </c>
      <c r="AM152" s="213" t="s">
        <v>1644</v>
      </c>
      <c r="AN152" s="213" t="s">
        <v>1644</v>
      </c>
      <c r="AO152" s="213" t="s">
        <v>1644</v>
      </c>
      <c r="AP152" s="213" t="s">
        <v>1643</v>
      </c>
      <c r="AQ152" s="213" t="s">
        <v>1644</v>
      </c>
      <c r="AR152" s="213" t="s">
        <v>1643</v>
      </c>
      <c r="AS152" s="214" t="s">
        <v>1644</v>
      </c>
    </row>
    <row r="153" spans="1:45" ht="15.75" thickBot="1" x14ac:dyDescent="0.3">
      <c r="A153" s="212" t="s">
        <v>825</v>
      </c>
      <c r="B153" s="48" t="s">
        <v>826</v>
      </c>
      <c r="C153" s="214" t="s">
        <v>808</v>
      </c>
      <c r="D153" s="225"/>
      <c r="E153" s="226"/>
      <c r="F153" s="226"/>
      <c r="G153" s="227"/>
      <c r="H153" s="226"/>
      <c r="I153" s="220"/>
      <c r="J153" s="221">
        <v>40</v>
      </c>
      <c r="K153" s="219">
        <v>37621</v>
      </c>
      <c r="L153" s="219">
        <v>48929</v>
      </c>
      <c r="M153" s="220" t="s">
        <v>850</v>
      </c>
      <c r="N153" s="220" t="s">
        <v>850</v>
      </c>
      <c r="O153" s="220" t="s">
        <v>850</v>
      </c>
      <c r="P153" s="220" t="s">
        <v>850</v>
      </c>
      <c r="Q153" s="220" t="s">
        <v>850</v>
      </c>
      <c r="R153" s="220" t="s">
        <v>850</v>
      </c>
      <c r="S153" s="221">
        <v>15</v>
      </c>
      <c r="T153" s="219">
        <v>7543</v>
      </c>
      <c r="U153" s="222">
        <v>8494</v>
      </c>
      <c r="V153" s="212" t="s">
        <v>1643</v>
      </c>
      <c r="W153" s="213" t="s">
        <v>1643</v>
      </c>
      <c r="X153" s="213" t="s">
        <v>1643</v>
      </c>
      <c r="Y153" s="213" t="s">
        <v>1643</v>
      </c>
      <c r="Z153" s="213" t="s">
        <v>1644</v>
      </c>
      <c r="AA153" s="213" t="s">
        <v>1643</v>
      </c>
      <c r="AB153" s="213" t="s">
        <v>1643</v>
      </c>
      <c r="AC153" s="213" t="s">
        <v>1643</v>
      </c>
      <c r="AD153" s="213" t="s">
        <v>1644</v>
      </c>
      <c r="AE153" s="213" t="s">
        <v>1644</v>
      </c>
      <c r="AF153" s="213" t="s">
        <v>1643</v>
      </c>
      <c r="AG153" s="214" t="s">
        <v>1644</v>
      </c>
      <c r="AH153" s="212" t="s">
        <v>1644</v>
      </c>
      <c r="AI153" s="213" t="s">
        <v>1644</v>
      </c>
      <c r="AJ153" s="213" t="s">
        <v>1644</v>
      </c>
      <c r="AK153" s="213" t="s">
        <v>1644</v>
      </c>
      <c r="AL153" s="213" t="s">
        <v>1644</v>
      </c>
      <c r="AM153" s="213" t="s">
        <v>1643</v>
      </c>
      <c r="AN153" s="213" t="s">
        <v>1643</v>
      </c>
      <c r="AO153" s="213" t="s">
        <v>1643</v>
      </c>
      <c r="AP153" s="213" t="s">
        <v>1644</v>
      </c>
      <c r="AQ153" s="213" t="s">
        <v>1644</v>
      </c>
      <c r="AR153" s="213" t="s">
        <v>1644</v>
      </c>
      <c r="AS153" s="214" t="s">
        <v>1644</v>
      </c>
    </row>
    <row r="154" spans="1:45" ht="15.75" thickBot="1" x14ac:dyDescent="0.3">
      <c r="A154" s="212" t="s">
        <v>833</v>
      </c>
      <c r="B154" s="48" t="s">
        <v>834</v>
      </c>
      <c r="C154" s="214" t="s">
        <v>808</v>
      </c>
      <c r="D154" s="225"/>
      <c r="E154" s="226"/>
      <c r="F154" s="226"/>
      <c r="G154" s="227"/>
      <c r="H154" s="226"/>
      <c r="I154" s="226"/>
      <c r="J154" s="227"/>
      <c r="K154" s="219">
        <v>23000</v>
      </c>
      <c r="L154" s="219">
        <v>30000</v>
      </c>
      <c r="M154" s="221">
        <v>25</v>
      </c>
      <c r="N154" s="219">
        <v>11000</v>
      </c>
      <c r="O154" s="219">
        <v>13000</v>
      </c>
      <c r="P154" s="227"/>
      <c r="Q154" s="226"/>
      <c r="R154" s="226"/>
      <c r="S154" s="221">
        <v>25</v>
      </c>
      <c r="T154" s="219">
        <v>10000</v>
      </c>
      <c r="U154" s="222">
        <v>26000</v>
      </c>
      <c r="V154" s="212" t="s">
        <v>1643</v>
      </c>
      <c r="W154" s="213" t="s">
        <v>1643</v>
      </c>
      <c r="X154" s="213" t="s">
        <v>1643</v>
      </c>
      <c r="Y154" s="213" t="s">
        <v>1643</v>
      </c>
      <c r="Z154" s="213" t="s">
        <v>1643</v>
      </c>
      <c r="AA154" s="213" t="s">
        <v>1643</v>
      </c>
      <c r="AB154" s="213" t="s">
        <v>1643</v>
      </c>
      <c r="AC154" s="213" t="s">
        <v>1643</v>
      </c>
      <c r="AD154" s="213" t="s">
        <v>1644</v>
      </c>
      <c r="AE154" s="213" t="s">
        <v>1643</v>
      </c>
      <c r="AF154" s="213" t="s">
        <v>1643</v>
      </c>
      <c r="AG154" s="214" t="s">
        <v>1643</v>
      </c>
      <c r="AH154" s="212" t="s">
        <v>1644</v>
      </c>
      <c r="AI154" s="213" t="s">
        <v>1644</v>
      </c>
      <c r="AJ154" s="213" t="s">
        <v>1644</v>
      </c>
      <c r="AK154" s="213" t="s">
        <v>1644</v>
      </c>
      <c r="AL154" s="213" t="s">
        <v>1644</v>
      </c>
      <c r="AM154" s="213" t="s">
        <v>1644</v>
      </c>
      <c r="AN154" s="213" t="s">
        <v>1644</v>
      </c>
      <c r="AO154" s="213" t="s">
        <v>1643</v>
      </c>
      <c r="AP154" s="213" t="s">
        <v>1644</v>
      </c>
      <c r="AQ154" s="213" t="s">
        <v>1644</v>
      </c>
      <c r="AR154" s="213" t="s">
        <v>1643</v>
      </c>
      <c r="AS154" s="214" t="s">
        <v>1643</v>
      </c>
    </row>
    <row r="155" spans="1:45" ht="15.75" thickBot="1" x14ac:dyDescent="0.3">
      <c r="A155" s="212" t="s">
        <v>848</v>
      </c>
      <c r="B155" s="48" t="s">
        <v>849</v>
      </c>
      <c r="C155" s="214" t="s">
        <v>808</v>
      </c>
      <c r="D155" s="218">
        <v>44</v>
      </c>
      <c r="E155" s="219">
        <v>48000</v>
      </c>
      <c r="F155" s="219">
        <v>56000</v>
      </c>
      <c r="G155" s="220" t="s">
        <v>850</v>
      </c>
      <c r="H155" s="220" t="s">
        <v>850</v>
      </c>
      <c r="I155" s="220" t="s">
        <v>850</v>
      </c>
      <c r="J155" s="220" t="s">
        <v>850</v>
      </c>
      <c r="K155" s="220" t="s">
        <v>850</v>
      </c>
      <c r="L155" s="220" t="s">
        <v>850</v>
      </c>
      <c r="M155" s="220" t="s">
        <v>850</v>
      </c>
      <c r="N155" s="220" t="s">
        <v>850</v>
      </c>
      <c r="O155" s="220" t="s">
        <v>850</v>
      </c>
      <c r="P155" s="220" t="s">
        <v>850</v>
      </c>
      <c r="Q155" s="220" t="s">
        <v>850</v>
      </c>
      <c r="R155" s="220" t="s">
        <v>850</v>
      </c>
      <c r="S155" s="221">
        <v>20</v>
      </c>
      <c r="T155" s="219">
        <v>8000</v>
      </c>
      <c r="U155" s="222">
        <v>14000</v>
      </c>
      <c r="V155" s="212" t="s">
        <v>1643</v>
      </c>
      <c r="W155" s="213" t="s">
        <v>1644</v>
      </c>
      <c r="X155" s="213" t="s">
        <v>1644</v>
      </c>
      <c r="Y155" s="213" t="s">
        <v>1644</v>
      </c>
      <c r="Z155" s="213" t="s">
        <v>1644</v>
      </c>
      <c r="AA155" s="213" t="s">
        <v>1643</v>
      </c>
      <c r="AB155" s="213" t="s">
        <v>1643</v>
      </c>
      <c r="AC155" s="213" t="s">
        <v>1643</v>
      </c>
      <c r="AD155" s="213" t="s">
        <v>1644</v>
      </c>
      <c r="AE155" s="213" t="s">
        <v>1644</v>
      </c>
      <c r="AF155" s="213" t="s">
        <v>1643</v>
      </c>
      <c r="AG155" s="214" t="s">
        <v>1644</v>
      </c>
      <c r="AH155" s="212" t="s">
        <v>1644</v>
      </c>
      <c r="AI155" s="213" t="s">
        <v>1644</v>
      </c>
      <c r="AJ155" s="213" t="s">
        <v>1644</v>
      </c>
      <c r="AK155" s="213" t="s">
        <v>1644</v>
      </c>
      <c r="AL155" s="213" t="s">
        <v>1644</v>
      </c>
      <c r="AM155" s="213" t="s">
        <v>1644</v>
      </c>
      <c r="AN155" s="213" t="s">
        <v>1643</v>
      </c>
      <c r="AO155" s="213" t="s">
        <v>1643</v>
      </c>
      <c r="AP155" s="213" t="s">
        <v>1644</v>
      </c>
      <c r="AQ155" s="213" t="s">
        <v>1644</v>
      </c>
      <c r="AR155" s="213" t="s">
        <v>1643</v>
      </c>
      <c r="AS155" s="214" t="s">
        <v>1644</v>
      </c>
    </row>
    <row r="156" spans="1:45" ht="15.75" thickBot="1" x14ac:dyDescent="0.3">
      <c r="A156" s="212" t="s">
        <v>859</v>
      </c>
      <c r="B156" s="48" t="s">
        <v>860</v>
      </c>
      <c r="C156" s="214" t="s">
        <v>808</v>
      </c>
      <c r="D156" s="225"/>
      <c r="E156" s="226"/>
      <c r="F156" s="226"/>
      <c r="G156" s="221">
        <v>35</v>
      </c>
      <c r="H156" s="219">
        <v>33000</v>
      </c>
      <c r="I156" s="219">
        <v>33000</v>
      </c>
      <c r="J156" s="221">
        <v>30</v>
      </c>
      <c r="K156" s="219">
        <v>25000</v>
      </c>
      <c r="L156" s="219">
        <v>25000</v>
      </c>
      <c r="M156" s="221">
        <v>20</v>
      </c>
      <c r="N156" s="219">
        <v>10400</v>
      </c>
      <c r="O156" s="219">
        <v>10400</v>
      </c>
      <c r="P156" s="227"/>
      <c r="Q156" s="226"/>
      <c r="R156" s="226"/>
      <c r="S156" s="221">
        <v>11</v>
      </c>
      <c r="T156" s="219">
        <v>5720</v>
      </c>
      <c r="U156" s="222">
        <v>5720</v>
      </c>
      <c r="V156" s="212" t="s">
        <v>1644</v>
      </c>
      <c r="W156" s="213" t="s">
        <v>1644</v>
      </c>
      <c r="X156" s="213" t="s">
        <v>1644</v>
      </c>
      <c r="Y156" s="213" t="s">
        <v>1644</v>
      </c>
      <c r="Z156" s="213" t="s">
        <v>1644</v>
      </c>
      <c r="AA156" s="213" t="s">
        <v>1644</v>
      </c>
      <c r="AB156" s="213" t="s">
        <v>1644</v>
      </c>
      <c r="AC156" s="213" t="s">
        <v>1643</v>
      </c>
      <c r="AD156" s="213" t="s">
        <v>1644</v>
      </c>
      <c r="AE156" s="213" t="s">
        <v>1644</v>
      </c>
      <c r="AF156" s="213" t="s">
        <v>1644</v>
      </c>
      <c r="AG156" s="214" t="s">
        <v>1644</v>
      </c>
      <c r="AH156" s="212" t="s">
        <v>1644</v>
      </c>
      <c r="AI156" s="213" t="s">
        <v>1644</v>
      </c>
      <c r="AJ156" s="213" t="s">
        <v>1644</v>
      </c>
      <c r="AK156" s="213" t="s">
        <v>1644</v>
      </c>
      <c r="AL156" s="213" t="s">
        <v>1644</v>
      </c>
      <c r="AM156" s="213" t="s">
        <v>1644</v>
      </c>
      <c r="AN156" s="213" t="s">
        <v>1644</v>
      </c>
      <c r="AO156" s="213" t="s">
        <v>1643</v>
      </c>
      <c r="AP156" s="213" t="s">
        <v>1644</v>
      </c>
      <c r="AQ156" s="213" t="s">
        <v>1644</v>
      </c>
      <c r="AR156" s="213" t="s">
        <v>1644</v>
      </c>
      <c r="AS156" s="214" t="s">
        <v>1644</v>
      </c>
    </row>
    <row r="157" spans="1:45" ht="15.75" thickBot="1" x14ac:dyDescent="0.3">
      <c r="A157" s="212" t="s">
        <v>879</v>
      </c>
      <c r="B157" s="48" t="s">
        <v>880</v>
      </c>
      <c r="C157" s="214" t="s">
        <v>808</v>
      </c>
      <c r="D157" s="218">
        <v>28</v>
      </c>
      <c r="E157" s="219">
        <v>15000</v>
      </c>
      <c r="F157" s="219">
        <v>20000</v>
      </c>
      <c r="G157" s="221">
        <v>40</v>
      </c>
      <c r="H157" s="219">
        <v>25000</v>
      </c>
      <c r="I157" s="219">
        <v>30000</v>
      </c>
      <c r="J157" s="220" t="s">
        <v>850</v>
      </c>
      <c r="K157" s="220" t="s">
        <v>850</v>
      </c>
      <c r="L157" s="220" t="s">
        <v>850</v>
      </c>
      <c r="M157" s="220" t="s">
        <v>850</v>
      </c>
      <c r="N157" s="220" t="s">
        <v>850</v>
      </c>
      <c r="O157" s="220" t="s">
        <v>850</v>
      </c>
      <c r="P157" s="220" t="s">
        <v>850</v>
      </c>
      <c r="Q157" s="220" t="s">
        <v>850</v>
      </c>
      <c r="R157" s="220" t="s">
        <v>850</v>
      </c>
      <c r="S157" s="221">
        <v>26</v>
      </c>
      <c r="T157" s="219">
        <v>11000</v>
      </c>
      <c r="U157" s="222">
        <v>18000</v>
      </c>
      <c r="V157" s="212" t="s">
        <v>1643</v>
      </c>
      <c r="W157" s="213" t="s">
        <v>1644</v>
      </c>
      <c r="X157" s="213" t="s">
        <v>1644</v>
      </c>
      <c r="Y157" s="213" t="s">
        <v>1644</v>
      </c>
      <c r="Z157" s="213" t="s">
        <v>1644</v>
      </c>
      <c r="AA157" s="213" t="s">
        <v>1643</v>
      </c>
      <c r="AB157" s="213" t="s">
        <v>1643</v>
      </c>
      <c r="AC157" s="213" t="s">
        <v>1643</v>
      </c>
      <c r="AD157" s="213" t="s">
        <v>1644</v>
      </c>
      <c r="AE157" s="213" t="s">
        <v>1644</v>
      </c>
      <c r="AF157" s="213" t="s">
        <v>1643</v>
      </c>
      <c r="AG157" s="214" t="s">
        <v>1643</v>
      </c>
      <c r="AH157" s="212" t="s">
        <v>1643</v>
      </c>
      <c r="AI157" s="213" t="s">
        <v>1644</v>
      </c>
      <c r="AJ157" s="213" t="s">
        <v>1644</v>
      </c>
      <c r="AK157" s="213" t="s">
        <v>1644</v>
      </c>
      <c r="AL157" s="213" t="s">
        <v>1644</v>
      </c>
      <c r="AM157" s="213" t="s">
        <v>1643</v>
      </c>
      <c r="AN157" s="213" t="s">
        <v>1643</v>
      </c>
      <c r="AO157" s="213" t="s">
        <v>1643</v>
      </c>
      <c r="AP157" s="213" t="s">
        <v>1644</v>
      </c>
      <c r="AQ157" s="213" t="s">
        <v>1644</v>
      </c>
      <c r="AR157" s="213" t="s">
        <v>1643</v>
      </c>
      <c r="AS157" s="214" t="s">
        <v>1643</v>
      </c>
    </row>
    <row r="158" spans="1:45" ht="15.75" thickBot="1" x14ac:dyDescent="0.3">
      <c r="A158" s="212" t="s">
        <v>889</v>
      </c>
      <c r="B158" s="48" t="s">
        <v>890</v>
      </c>
      <c r="C158" s="214" t="s">
        <v>808</v>
      </c>
      <c r="D158" s="218">
        <v>36</v>
      </c>
      <c r="E158" s="219">
        <v>37625</v>
      </c>
      <c r="F158" s="219">
        <v>52859</v>
      </c>
      <c r="G158" s="227"/>
      <c r="H158" s="226"/>
      <c r="I158" s="226"/>
      <c r="J158" s="227"/>
      <c r="K158" s="226"/>
      <c r="L158" s="226"/>
      <c r="M158" s="227"/>
      <c r="N158" s="226"/>
      <c r="O158" s="226"/>
      <c r="P158" s="227"/>
      <c r="Q158" s="226"/>
      <c r="R158" s="226"/>
      <c r="S158" s="221">
        <v>20</v>
      </c>
      <c r="T158" s="219">
        <v>11684</v>
      </c>
      <c r="U158" s="222">
        <v>17057</v>
      </c>
      <c r="V158" s="212" t="s">
        <v>1643</v>
      </c>
      <c r="W158" s="213" t="s">
        <v>1643</v>
      </c>
      <c r="X158" s="213" t="s">
        <v>1643</v>
      </c>
      <c r="Y158" s="213" t="s">
        <v>1644</v>
      </c>
      <c r="Z158" s="213" t="s">
        <v>1643</v>
      </c>
      <c r="AA158" s="213" t="s">
        <v>1643</v>
      </c>
      <c r="AB158" s="213" t="s">
        <v>1643</v>
      </c>
      <c r="AC158" s="213" t="s">
        <v>1643</v>
      </c>
      <c r="AD158" s="213" t="s">
        <v>1643</v>
      </c>
      <c r="AE158" s="213" t="s">
        <v>1643</v>
      </c>
      <c r="AF158" s="213" t="s">
        <v>1643</v>
      </c>
      <c r="AG158" s="214" t="s">
        <v>1644</v>
      </c>
      <c r="AH158" s="212" t="s">
        <v>1644</v>
      </c>
      <c r="AI158" s="213" t="s">
        <v>1644</v>
      </c>
      <c r="AJ158" s="213" t="s">
        <v>1644</v>
      </c>
      <c r="AK158" s="213" t="s">
        <v>1644</v>
      </c>
      <c r="AL158" s="213" t="s">
        <v>1644</v>
      </c>
      <c r="AM158" s="213" t="s">
        <v>1644</v>
      </c>
      <c r="AN158" s="213" t="s">
        <v>1644</v>
      </c>
      <c r="AO158" s="213" t="s">
        <v>1644</v>
      </c>
      <c r="AP158" s="213" t="s">
        <v>1644</v>
      </c>
      <c r="AQ158" s="213" t="s">
        <v>1644</v>
      </c>
      <c r="AR158" s="213" t="s">
        <v>1644</v>
      </c>
      <c r="AS158" s="214" t="s">
        <v>1644</v>
      </c>
    </row>
    <row r="159" spans="1:45" ht="15.75" thickBot="1" x14ac:dyDescent="0.3">
      <c r="A159" s="212" t="s">
        <v>893</v>
      </c>
      <c r="B159" s="48" t="s">
        <v>894</v>
      </c>
      <c r="C159" s="214" t="s">
        <v>808</v>
      </c>
      <c r="D159" s="218">
        <v>38</v>
      </c>
      <c r="E159" s="219">
        <v>35000</v>
      </c>
      <c r="F159" s="219">
        <v>45000</v>
      </c>
      <c r="G159" s="221">
        <v>36</v>
      </c>
      <c r="H159" s="219">
        <v>28000</v>
      </c>
      <c r="I159" s="219">
        <v>32000</v>
      </c>
      <c r="J159" s="220" t="s">
        <v>850</v>
      </c>
      <c r="K159" s="220" t="s">
        <v>850</v>
      </c>
      <c r="L159" s="220" t="s">
        <v>850</v>
      </c>
      <c r="M159" s="220" t="s">
        <v>850</v>
      </c>
      <c r="N159" s="220" t="s">
        <v>850</v>
      </c>
      <c r="O159" s="220" t="s">
        <v>850</v>
      </c>
      <c r="P159" s="220" t="s">
        <v>850</v>
      </c>
      <c r="Q159" s="220" t="s">
        <v>850</v>
      </c>
      <c r="R159" s="220" t="s">
        <v>850</v>
      </c>
      <c r="S159" s="221">
        <v>25</v>
      </c>
      <c r="T159" s="219">
        <v>15600</v>
      </c>
      <c r="U159" s="222">
        <v>2000</v>
      </c>
      <c r="V159" s="212" t="s">
        <v>1643</v>
      </c>
      <c r="W159" s="213" t="s">
        <v>1643</v>
      </c>
      <c r="X159" s="213" t="s">
        <v>1644</v>
      </c>
      <c r="Y159" s="213" t="s">
        <v>1644</v>
      </c>
      <c r="Z159" s="213" t="s">
        <v>1643</v>
      </c>
      <c r="AA159" s="213" t="s">
        <v>1643</v>
      </c>
      <c r="AB159" s="213" t="s">
        <v>1643</v>
      </c>
      <c r="AC159" s="213" t="s">
        <v>1643</v>
      </c>
      <c r="AD159" s="213" t="s">
        <v>1644</v>
      </c>
      <c r="AE159" s="213" t="s">
        <v>1644</v>
      </c>
      <c r="AF159" s="213" t="s">
        <v>1643</v>
      </c>
      <c r="AG159" s="214" t="s">
        <v>1644</v>
      </c>
      <c r="AH159" s="212" t="s">
        <v>1644</v>
      </c>
      <c r="AI159" s="213" t="s">
        <v>1644</v>
      </c>
      <c r="AJ159" s="213" t="s">
        <v>1644</v>
      </c>
      <c r="AK159" s="213" t="s">
        <v>1644</v>
      </c>
      <c r="AL159" s="213" t="s">
        <v>1644</v>
      </c>
      <c r="AM159" s="213" t="s">
        <v>1643</v>
      </c>
      <c r="AN159" s="213" t="s">
        <v>1643</v>
      </c>
      <c r="AO159" s="213" t="s">
        <v>1643</v>
      </c>
      <c r="AP159" s="213" t="s">
        <v>1644</v>
      </c>
      <c r="AQ159" s="213" t="s">
        <v>1644</v>
      </c>
      <c r="AR159" s="213" t="s">
        <v>1643</v>
      </c>
      <c r="AS159" s="214" t="s">
        <v>1644</v>
      </c>
    </row>
    <row r="160" spans="1:45" ht="15.75" thickBot="1" x14ac:dyDescent="0.3">
      <c r="A160" s="212" t="s">
        <v>911</v>
      </c>
      <c r="B160" s="48" t="s">
        <v>912</v>
      </c>
      <c r="C160" s="214" t="s">
        <v>808</v>
      </c>
      <c r="D160" s="218">
        <v>40</v>
      </c>
      <c r="E160" s="219">
        <v>28000</v>
      </c>
      <c r="F160" s="219">
        <v>42000</v>
      </c>
      <c r="G160" s="221">
        <v>40</v>
      </c>
      <c r="H160" s="219">
        <v>25000</v>
      </c>
      <c r="I160" s="219">
        <v>36000</v>
      </c>
      <c r="J160" s="221">
        <v>40</v>
      </c>
      <c r="K160" s="219">
        <v>22000</v>
      </c>
      <c r="L160" s="219">
        <v>28000</v>
      </c>
      <c r="M160" s="220" t="s">
        <v>850</v>
      </c>
      <c r="N160" s="220" t="s">
        <v>850</v>
      </c>
      <c r="O160" s="220" t="s">
        <v>850</v>
      </c>
      <c r="P160" s="220" t="s">
        <v>850</v>
      </c>
      <c r="Q160" s="220" t="s">
        <v>850</v>
      </c>
      <c r="R160" s="220" t="s">
        <v>850</v>
      </c>
      <c r="S160" s="221">
        <v>25</v>
      </c>
      <c r="T160" s="219">
        <v>12025</v>
      </c>
      <c r="U160" s="222">
        <v>13500</v>
      </c>
      <c r="V160" s="212" t="s">
        <v>1643</v>
      </c>
      <c r="W160" s="213" t="s">
        <v>1643</v>
      </c>
      <c r="X160" s="213" t="s">
        <v>1643</v>
      </c>
      <c r="Y160" s="213" t="s">
        <v>1643</v>
      </c>
      <c r="Z160" s="213" t="s">
        <v>1643</v>
      </c>
      <c r="AA160" s="213" t="s">
        <v>1643</v>
      </c>
      <c r="AB160" s="213" t="s">
        <v>1643</v>
      </c>
      <c r="AC160" s="213" t="s">
        <v>1643</v>
      </c>
      <c r="AD160" s="213" t="s">
        <v>1643</v>
      </c>
      <c r="AE160" s="213" t="s">
        <v>1643</v>
      </c>
      <c r="AF160" s="213" t="s">
        <v>1643</v>
      </c>
      <c r="AG160" s="214" t="s">
        <v>1644</v>
      </c>
      <c r="AH160" s="212" t="s">
        <v>1644</v>
      </c>
      <c r="AI160" s="213" t="s">
        <v>1644</v>
      </c>
      <c r="AJ160" s="213" t="s">
        <v>1644</v>
      </c>
      <c r="AK160" s="213" t="s">
        <v>1644</v>
      </c>
      <c r="AL160" s="213" t="s">
        <v>1644</v>
      </c>
      <c r="AM160" s="213" t="s">
        <v>1644</v>
      </c>
      <c r="AN160" s="213" t="s">
        <v>1644</v>
      </c>
      <c r="AO160" s="213" t="s">
        <v>1644</v>
      </c>
      <c r="AP160" s="213" t="s">
        <v>1644</v>
      </c>
      <c r="AQ160" s="213" t="s">
        <v>1644</v>
      </c>
      <c r="AR160" s="213" t="s">
        <v>1643</v>
      </c>
      <c r="AS160" s="214" t="s">
        <v>1644</v>
      </c>
    </row>
    <row r="161" spans="1:45" ht="15.75" thickBot="1" x14ac:dyDescent="0.3">
      <c r="A161" s="212" t="s">
        <v>913</v>
      </c>
      <c r="B161" s="48" t="s">
        <v>914</v>
      </c>
      <c r="C161" s="214" t="s">
        <v>808</v>
      </c>
      <c r="D161" s="218">
        <v>32</v>
      </c>
      <c r="E161" s="219">
        <v>15000</v>
      </c>
      <c r="F161" s="219">
        <v>40000</v>
      </c>
      <c r="G161" s="221">
        <v>26</v>
      </c>
      <c r="H161" s="219">
        <v>10000</v>
      </c>
      <c r="I161" s="219">
        <v>35000</v>
      </c>
      <c r="J161" s="227"/>
      <c r="K161" s="226"/>
      <c r="L161" s="226"/>
      <c r="M161" s="227"/>
      <c r="N161" s="226"/>
      <c r="O161" s="226"/>
      <c r="P161" s="227"/>
      <c r="Q161" s="226"/>
      <c r="R161" s="226"/>
      <c r="S161" s="221">
        <v>21</v>
      </c>
      <c r="T161" s="219">
        <v>6000</v>
      </c>
      <c r="U161" s="222">
        <v>25000</v>
      </c>
      <c r="V161" s="209" t="s">
        <v>1644</v>
      </c>
      <c r="W161" s="210" t="s">
        <v>1644</v>
      </c>
      <c r="X161" s="210" t="s">
        <v>1644</v>
      </c>
      <c r="Y161" s="210" t="s">
        <v>1644</v>
      </c>
      <c r="Z161" s="210" t="s">
        <v>1644</v>
      </c>
      <c r="AA161" s="210" t="s">
        <v>1644</v>
      </c>
      <c r="AB161" s="210" t="s">
        <v>1644</v>
      </c>
      <c r="AC161" s="210" t="s">
        <v>1644</v>
      </c>
      <c r="AD161" s="210" t="s">
        <v>1644</v>
      </c>
      <c r="AE161" s="210" t="s">
        <v>1644</v>
      </c>
      <c r="AF161" s="210" t="s">
        <v>1644</v>
      </c>
      <c r="AG161" s="211" t="s">
        <v>1644</v>
      </c>
      <c r="AH161" s="212" t="s">
        <v>1644</v>
      </c>
      <c r="AI161" s="213" t="s">
        <v>1644</v>
      </c>
      <c r="AJ161" s="213" t="s">
        <v>1644</v>
      </c>
      <c r="AK161" s="213" t="s">
        <v>1644</v>
      </c>
      <c r="AL161" s="213" t="s">
        <v>1644</v>
      </c>
      <c r="AM161" s="213" t="s">
        <v>1644</v>
      </c>
      <c r="AN161" s="213" t="s">
        <v>1643</v>
      </c>
      <c r="AO161" s="213" t="s">
        <v>1644</v>
      </c>
      <c r="AP161" s="213" t="s">
        <v>1644</v>
      </c>
      <c r="AQ161" s="213" t="s">
        <v>1644</v>
      </c>
      <c r="AR161" s="213" t="s">
        <v>1644</v>
      </c>
      <c r="AS161" s="214" t="s">
        <v>1644</v>
      </c>
    </row>
    <row r="162" spans="1:45" ht="15.75" thickBot="1" x14ac:dyDescent="0.3">
      <c r="A162" s="212" t="s">
        <v>919</v>
      </c>
      <c r="B162" s="48" t="s">
        <v>920</v>
      </c>
      <c r="C162" s="214" t="s">
        <v>808</v>
      </c>
      <c r="D162" s="218">
        <v>47</v>
      </c>
      <c r="E162" s="219">
        <v>27574</v>
      </c>
      <c r="F162" s="219">
        <v>30742</v>
      </c>
      <c r="G162" s="220" t="s">
        <v>850</v>
      </c>
      <c r="H162" s="220" t="s">
        <v>850</v>
      </c>
      <c r="I162" s="220" t="s">
        <v>850</v>
      </c>
      <c r="J162" s="220" t="s">
        <v>850</v>
      </c>
      <c r="K162" s="220" t="s">
        <v>850</v>
      </c>
      <c r="L162" s="220" t="s">
        <v>850</v>
      </c>
      <c r="M162" s="220" t="s">
        <v>850</v>
      </c>
      <c r="N162" s="220" t="s">
        <v>850</v>
      </c>
      <c r="O162" s="220" t="s">
        <v>850</v>
      </c>
      <c r="P162" s="220" t="s">
        <v>850</v>
      </c>
      <c r="Q162" s="220" t="s">
        <v>850</v>
      </c>
      <c r="R162" s="220" t="s">
        <v>850</v>
      </c>
      <c r="S162" s="220" t="s">
        <v>850</v>
      </c>
      <c r="T162" s="220" t="s">
        <v>850</v>
      </c>
      <c r="U162" s="224" t="s">
        <v>850</v>
      </c>
      <c r="V162" s="212" t="s">
        <v>1643</v>
      </c>
      <c r="W162" s="213" t="s">
        <v>1643</v>
      </c>
      <c r="X162" s="213" t="s">
        <v>1643</v>
      </c>
      <c r="Y162" s="213" t="s">
        <v>1643</v>
      </c>
      <c r="Z162" s="213" t="s">
        <v>1643</v>
      </c>
      <c r="AA162" s="213" t="s">
        <v>1643</v>
      </c>
      <c r="AB162" s="213" t="s">
        <v>1643</v>
      </c>
      <c r="AC162" s="213" t="s">
        <v>1643</v>
      </c>
      <c r="AD162" s="213" t="s">
        <v>1644</v>
      </c>
      <c r="AE162" s="213" t="s">
        <v>1644</v>
      </c>
      <c r="AF162" s="213" t="s">
        <v>1643</v>
      </c>
      <c r="AG162" s="214" t="s">
        <v>1643</v>
      </c>
      <c r="AH162" s="209" t="s">
        <v>1644</v>
      </c>
      <c r="AI162" s="210" t="s">
        <v>1644</v>
      </c>
      <c r="AJ162" s="210" t="s">
        <v>1644</v>
      </c>
      <c r="AK162" s="210" t="s">
        <v>1644</v>
      </c>
      <c r="AL162" s="210" t="s">
        <v>1644</v>
      </c>
      <c r="AM162" s="210" t="s">
        <v>1644</v>
      </c>
      <c r="AN162" s="210" t="s">
        <v>1644</v>
      </c>
      <c r="AO162" s="210" t="s">
        <v>1644</v>
      </c>
      <c r="AP162" s="210" t="s">
        <v>1644</v>
      </c>
      <c r="AQ162" s="210" t="s">
        <v>1644</v>
      </c>
      <c r="AR162" s="210" t="s">
        <v>1644</v>
      </c>
      <c r="AS162" s="211" t="s">
        <v>1644</v>
      </c>
    </row>
    <row r="163" spans="1:45" ht="15.75" thickBot="1" x14ac:dyDescent="0.3">
      <c r="A163" s="212" t="s">
        <v>927</v>
      </c>
      <c r="B163" s="48" t="s">
        <v>928</v>
      </c>
      <c r="C163" s="214" t="s">
        <v>808</v>
      </c>
      <c r="D163" s="218">
        <v>40</v>
      </c>
      <c r="E163" s="219">
        <v>31858</v>
      </c>
      <c r="F163" s="219">
        <v>37368</v>
      </c>
      <c r="G163" s="220" t="s">
        <v>850</v>
      </c>
      <c r="H163" s="220" t="s">
        <v>850</v>
      </c>
      <c r="I163" s="220" t="s">
        <v>850</v>
      </c>
      <c r="J163" s="220" t="s">
        <v>850</v>
      </c>
      <c r="K163" s="220" t="s">
        <v>850</v>
      </c>
      <c r="L163" s="220" t="s">
        <v>850</v>
      </c>
      <c r="M163" s="221">
        <v>40</v>
      </c>
      <c r="N163" s="219">
        <v>30887</v>
      </c>
      <c r="O163" s="219">
        <v>33209</v>
      </c>
      <c r="P163" s="220" t="s">
        <v>850</v>
      </c>
      <c r="Q163" s="220" t="s">
        <v>850</v>
      </c>
      <c r="R163" s="220" t="s">
        <v>850</v>
      </c>
      <c r="S163" s="221">
        <v>33</v>
      </c>
      <c r="T163" s="219">
        <v>21311</v>
      </c>
      <c r="U163" s="222">
        <v>28607</v>
      </c>
      <c r="V163" s="212" t="s">
        <v>1643</v>
      </c>
      <c r="W163" s="213" t="s">
        <v>1644</v>
      </c>
      <c r="X163" s="213" t="s">
        <v>1644</v>
      </c>
      <c r="Y163" s="213" t="s">
        <v>1644</v>
      </c>
      <c r="Z163" s="213" t="s">
        <v>1644</v>
      </c>
      <c r="AA163" s="213" t="s">
        <v>1643</v>
      </c>
      <c r="AB163" s="213" t="s">
        <v>1643</v>
      </c>
      <c r="AC163" s="213" t="s">
        <v>1643</v>
      </c>
      <c r="AD163" s="213" t="s">
        <v>1643</v>
      </c>
      <c r="AE163" s="213" t="s">
        <v>1644</v>
      </c>
      <c r="AF163" s="213" t="s">
        <v>1643</v>
      </c>
      <c r="AG163" s="214" t="s">
        <v>1644</v>
      </c>
      <c r="AH163" s="212" t="s">
        <v>1644</v>
      </c>
      <c r="AI163" s="213" t="s">
        <v>1644</v>
      </c>
      <c r="AJ163" s="213" t="s">
        <v>1644</v>
      </c>
      <c r="AK163" s="213" t="s">
        <v>1644</v>
      </c>
      <c r="AL163" s="213" t="s">
        <v>1644</v>
      </c>
      <c r="AM163" s="213" t="s">
        <v>1643</v>
      </c>
      <c r="AN163" s="213" t="s">
        <v>1643</v>
      </c>
      <c r="AO163" s="213" t="s">
        <v>1643</v>
      </c>
      <c r="AP163" s="213" t="s">
        <v>1643</v>
      </c>
      <c r="AQ163" s="213" t="s">
        <v>1644</v>
      </c>
      <c r="AR163" s="213" t="s">
        <v>1644</v>
      </c>
      <c r="AS163" s="214" t="s">
        <v>1644</v>
      </c>
    </row>
    <row r="164" spans="1:45" ht="15.75" thickBot="1" x14ac:dyDescent="0.3">
      <c r="A164" s="212" t="s">
        <v>931</v>
      </c>
      <c r="B164" s="48" t="s">
        <v>932</v>
      </c>
      <c r="C164" s="214" t="s">
        <v>808</v>
      </c>
      <c r="D164" s="218">
        <v>37</v>
      </c>
      <c r="E164" s="219">
        <v>28822</v>
      </c>
      <c r="F164" s="219">
        <v>28822</v>
      </c>
      <c r="G164" s="221">
        <v>32</v>
      </c>
      <c r="H164" s="219">
        <v>20201</v>
      </c>
      <c r="I164" s="219">
        <v>20201</v>
      </c>
      <c r="J164" s="220" t="s">
        <v>850</v>
      </c>
      <c r="K164" s="220" t="s">
        <v>850</v>
      </c>
      <c r="L164" s="220" t="s">
        <v>850</v>
      </c>
      <c r="M164" s="221">
        <v>25</v>
      </c>
      <c r="N164" s="219">
        <v>14027</v>
      </c>
      <c r="O164" s="219">
        <v>14027</v>
      </c>
      <c r="P164" s="220" t="s">
        <v>850</v>
      </c>
      <c r="Q164" s="220" t="s">
        <v>850</v>
      </c>
      <c r="R164" s="220" t="s">
        <v>850</v>
      </c>
      <c r="S164" s="221">
        <v>37</v>
      </c>
      <c r="T164" s="219">
        <v>18374</v>
      </c>
      <c r="U164" s="222">
        <v>18374</v>
      </c>
      <c r="V164" s="212" t="s">
        <v>1644</v>
      </c>
      <c r="W164" s="213" t="s">
        <v>1644</v>
      </c>
      <c r="X164" s="213" t="s">
        <v>1644</v>
      </c>
      <c r="Y164" s="213" t="s">
        <v>1644</v>
      </c>
      <c r="Z164" s="213" t="s">
        <v>1644</v>
      </c>
      <c r="AA164" s="213" t="s">
        <v>1643</v>
      </c>
      <c r="AB164" s="213" t="s">
        <v>1643</v>
      </c>
      <c r="AC164" s="213" t="s">
        <v>1643</v>
      </c>
      <c r="AD164" s="213" t="s">
        <v>1644</v>
      </c>
      <c r="AE164" s="213" t="s">
        <v>1644</v>
      </c>
      <c r="AF164" s="213" t="s">
        <v>1643</v>
      </c>
      <c r="AG164" s="214" t="s">
        <v>1644</v>
      </c>
      <c r="AH164" s="209" t="s">
        <v>1644</v>
      </c>
      <c r="AI164" s="210" t="s">
        <v>1644</v>
      </c>
      <c r="AJ164" s="210" t="s">
        <v>1644</v>
      </c>
      <c r="AK164" s="210" t="s">
        <v>1644</v>
      </c>
      <c r="AL164" s="210" t="s">
        <v>1644</v>
      </c>
      <c r="AM164" s="210" t="s">
        <v>1644</v>
      </c>
      <c r="AN164" s="210" t="s">
        <v>1644</v>
      </c>
      <c r="AO164" s="210" t="s">
        <v>1644</v>
      </c>
      <c r="AP164" s="210" t="s">
        <v>1644</v>
      </c>
      <c r="AQ164" s="210" t="s">
        <v>1644</v>
      </c>
      <c r="AR164" s="210" t="s">
        <v>1644</v>
      </c>
      <c r="AS164" s="211" t="s">
        <v>1644</v>
      </c>
    </row>
    <row r="165" spans="1:45" ht="15.75" thickBot="1" x14ac:dyDescent="0.3">
      <c r="A165" s="212" t="s">
        <v>935</v>
      </c>
      <c r="B165" s="48" t="s">
        <v>936</v>
      </c>
      <c r="C165" s="214" t="s">
        <v>808</v>
      </c>
      <c r="D165" s="218">
        <v>11</v>
      </c>
      <c r="E165" s="219">
        <v>0</v>
      </c>
      <c r="F165" s="219">
        <v>0</v>
      </c>
      <c r="G165" s="227"/>
      <c r="H165" s="226"/>
      <c r="I165" s="226"/>
      <c r="J165" s="227"/>
      <c r="K165" s="226"/>
      <c r="L165" s="226"/>
      <c r="M165" s="227"/>
      <c r="N165" s="226"/>
      <c r="O165" s="226"/>
      <c r="P165" s="227"/>
      <c r="Q165" s="226"/>
      <c r="R165" s="226"/>
      <c r="S165" s="221">
        <v>12</v>
      </c>
      <c r="T165" s="219">
        <v>6877</v>
      </c>
      <c r="U165" s="222">
        <v>18914</v>
      </c>
      <c r="V165" s="212" t="s">
        <v>1644</v>
      </c>
      <c r="W165" s="213" t="s">
        <v>1644</v>
      </c>
      <c r="X165" s="213" t="s">
        <v>1644</v>
      </c>
      <c r="Y165" s="213" t="s">
        <v>1644</v>
      </c>
      <c r="Z165" s="213" t="s">
        <v>1644</v>
      </c>
      <c r="AA165" s="213" t="s">
        <v>1644</v>
      </c>
      <c r="AB165" s="213" t="s">
        <v>1644</v>
      </c>
      <c r="AC165" s="213" t="s">
        <v>1644</v>
      </c>
      <c r="AD165" s="213" t="s">
        <v>1644</v>
      </c>
      <c r="AE165" s="213" t="s">
        <v>1644</v>
      </c>
      <c r="AF165" s="213" t="s">
        <v>1644</v>
      </c>
      <c r="AG165" s="214" t="s">
        <v>1644</v>
      </c>
      <c r="AH165" s="212" t="s">
        <v>1644</v>
      </c>
      <c r="AI165" s="213" t="s">
        <v>1644</v>
      </c>
      <c r="AJ165" s="213" t="s">
        <v>1644</v>
      </c>
      <c r="AK165" s="213" t="s">
        <v>1644</v>
      </c>
      <c r="AL165" s="213" t="s">
        <v>1644</v>
      </c>
      <c r="AM165" s="213" t="s">
        <v>1643</v>
      </c>
      <c r="AN165" s="213" t="s">
        <v>1643</v>
      </c>
      <c r="AO165" s="213" t="s">
        <v>1643</v>
      </c>
      <c r="AP165" s="213" t="s">
        <v>1644</v>
      </c>
      <c r="AQ165" s="213" t="s">
        <v>1644</v>
      </c>
      <c r="AR165" s="213" t="s">
        <v>1643</v>
      </c>
      <c r="AS165" s="214" t="s">
        <v>1644</v>
      </c>
    </row>
    <row r="166" spans="1:45" ht="15.75" thickBot="1" x14ac:dyDescent="0.3">
      <c r="A166" s="212" t="s">
        <v>937</v>
      </c>
      <c r="B166" s="48" t="s">
        <v>938</v>
      </c>
      <c r="C166" s="214" t="s">
        <v>808</v>
      </c>
      <c r="D166" s="225"/>
      <c r="E166" s="226"/>
      <c r="F166" s="226"/>
      <c r="G166" s="227"/>
      <c r="H166" s="226"/>
      <c r="I166" s="226"/>
      <c r="J166" s="227"/>
      <c r="K166" s="226"/>
      <c r="L166" s="226"/>
      <c r="M166" s="221">
        <v>40</v>
      </c>
      <c r="N166" s="219">
        <v>31200</v>
      </c>
      <c r="O166" s="219">
        <v>31200</v>
      </c>
      <c r="P166" s="227"/>
      <c r="Q166" s="226"/>
      <c r="R166" s="226"/>
      <c r="S166" s="221" t="s">
        <v>3453</v>
      </c>
      <c r="T166" s="219">
        <v>9828</v>
      </c>
      <c r="U166" s="222">
        <v>13759</v>
      </c>
      <c r="V166" s="212" t="s">
        <v>1643</v>
      </c>
      <c r="W166" s="213" t="s">
        <v>1643</v>
      </c>
      <c r="X166" s="213" t="s">
        <v>1643</v>
      </c>
      <c r="Y166" s="213" t="s">
        <v>1644</v>
      </c>
      <c r="Z166" s="213" t="s">
        <v>1643</v>
      </c>
      <c r="AA166" s="213" t="s">
        <v>1643</v>
      </c>
      <c r="AB166" s="213" t="s">
        <v>1643</v>
      </c>
      <c r="AC166" s="213" t="s">
        <v>1643</v>
      </c>
      <c r="AD166" s="213" t="s">
        <v>1643</v>
      </c>
      <c r="AE166" s="213" t="s">
        <v>1643</v>
      </c>
      <c r="AF166" s="213" t="s">
        <v>1644</v>
      </c>
      <c r="AG166" s="214" t="s">
        <v>1644</v>
      </c>
      <c r="AH166" s="212" t="s">
        <v>1644</v>
      </c>
      <c r="AI166" s="213" t="s">
        <v>1644</v>
      </c>
      <c r="AJ166" s="213" t="s">
        <v>1644</v>
      </c>
      <c r="AK166" s="213" t="s">
        <v>1644</v>
      </c>
      <c r="AL166" s="213" t="s">
        <v>1644</v>
      </c>
      <c r="AM166" s="213" t="s">
        <v>1644</v>
      </c>
      <c r="AN166" s="213" t="s">
        <v>1644</v>
      </c>
      <c r="AO166" s="213" t="s">
        <v>1644</v>
      </c>
      <c r="AP166" s="213" t="s">
        <v>1644</v>
      </c>
      <c r="AQ166" s="213" t="s">
        <v>1644</v>
      </c>
      <c r="AR166" s="213" t="s">
        <v>1644</v>
      </c>
      <c r="AS166" s="214" t="s">
        <v>1644</v>
      </c>
    </row>
    <row r="167" spans="1:45" ht="15.75" thickBot="1" x14ac:dyDescent="0.3">
      <c r="A167" s="212" t="s">
        <v>943</v>
      </c>
      <c r="B167" s="48" t="s">
        <v>944</v>
      </c>
      <c r="C167" s="214" t="s">
        <v>808</v>
      </c>
      <c r="D167" s="225"/>
      <c r="E167" s="226"/>
      <c r="F167" s="226"/>
      <c r="G167" s="227"/>
      <c r="H167" s="226"/>
      <c r="I167" s="226"/>
      <c r="J167" s="221">
        <v>38</v>
      </c>
      <c r="K167" s="219">
        <v>35000</v>
      </c>
      <c r="L167" s="219">
        <v>42000</v>
      </c>
      <c r="M167" s="221">
        <v>38</v>
      </c>
      <c r="N167" s="219">
        <v>35000</v>
      </c>
      <c r="O167" s="219">
        <v>40000</v>
      </c>
      <c r="P167" s="221">
        <v>15</v>
      </c>
      <c r="Q167" s="219">
        <v>19800</v>
      </c>
      <c r="R167" s="219">
        <v>19800</v>
      </c>
      <c r="S167" s="221">
        <v>25</v>
      </c>
      <c r="T167" s="219">
        <v>17550</v>
      </c>
      <c r="U167" s="222">
        <v>26000</v>
      </c>
      <c r="V167" s="212" t="s">
        <v>1643</v>
      </c>
      <c r="W167" s="213" t="s">
        <v>1643</v>
      </c>
      <c r="X167" s="213" t="s">
        <v>1643</v>
      </c>
      <c r="Y167" s="213" t="s">
        <v>1644</v>
      </c>
      <c r="Z167" s="213" t="s">
        <v>1643</v>
      </c>
      <c r="AA167" s="213" t="s">
        <v>1643</v>
      </c>
      <c r="AB167" s="213" t="s">
        <v>1643</v>
      </c>
      <c r="AC167" s="213" t="s">
        <v>1643</v>
      </c>
      <c r="AD167" s="213" t="s">
        <v>1643</v>
      </c>
      <c r="AE167" s="213" t="s">
        <v>1643</v>
      </c>
      <c r="AF167" s="213" t="s">
        <v>1643</v>
      </c>
      <c r="AG167" s="214" t="s">
        <v>1644</v>
      </c>
      <c r="AH167" s="212" t="s">
        <v>1644</v>
      </c>
      <c r="AI167" s="213" t="s">
        <v>1644</v>
      </c>
      <c r="AJ167" s="213" t="s">
        <v>1644</v>
      </c>
      <c r="AK167" s="213" t="s">
        <v>1644</v>
      </c>
      <c r="AL167" s="213" t="s">
        <v>1644</v>
      </c>
      <c r="AM167" s="213" t="s">
        <v>1643</v>
      </c>
      <c r="AN167" s="213" t="s">
        <v>1643</v>
      </c>
      <c r="AO167" s="213" t="s">
        <v>1643</v>
      </c>
      <c r="AP167" s="213" t="s">
        <v>1644</v>
      </c>
      <c r="AQ167" s="213" t="s">
        <v>1644</v>
      </c>
      <c r="AR167" s="213" t="s">
        <v>1643</v>
      </c>
      <c r="AS167" s="214" t="s">
        <v>1644</v>
      </c>
    </row>
    <row r="168" spans="1:45" ht="15.75" thickBot="1" x14ac:dyDescent="0.3">
      <c r="A168" s="212" t="s">
        <v>979</v>
      </c>
      <c r="B168" s="48" t="s">
        <v>980</v>
      </c>
      <c r="C168" s="214" t="s">
        <v>808</v>
      </c>
      <c r="D168" s="223" t="s">
        <v>850</v>
      </c>
      <c r="E168" s="220" t="s">
        <v>850</v>
      </c>
      <c r="F168" s="220" t="s">
        <v>850</v>
      </c>
      <c r="G168" s="220" t="s">
        <v>850</v>
      </c>
      <c r="H168" s="220" t="s">
        <v>850</v>
      </c>
      <c r="I168" s="220" t="s">
        <v>850</v>
      </c>
      <c r="J168" s="221">
        <v>36</v>
      </c>
      <c r="K168" s="219">
        <v>30000</v>
      </c>
      <c r="L168" s="219">
        <v>35000</v>
      </c>
      <c r="M168" s="221">
        <v>36</v>
      </c>
      <c r="N168" s="219">
        <v>20000</v>
      </c>
      <c r="O168" s="219">
        <v>32000</v>
      </c>
      <c r="P168" s="220" t="s">
        <v>850</v>
      </c>
      <c r="Q168" s="220" t="s">
        <v>850</v>
      </c>
      <c r="R168" s="220" t="s">
        <v>850</v>
      </c>
      <c r="S168" s="221">
        <v>20</v>
      </c>
      <c r="T168" s="219">
        <v>13500</v>
      </c>
      <c r="U168" s="222">
        <v>18000</v>
      </c>
      <c r="V168" s="212" t="s">
        <v>1643</v>
      </c>
      <c r="W168" s="213" t="s">
        <v>1644</v>
      </c>
      <c r="X168" s="213" t="s">
        <v>1644</v>
      </c>
      <c r="Y168" s="213" t="s">
        <v>1644</v>
      </c>
      <c r="Z168" s="213" t="s">
        <v>1644</v>
      </c>
      <c r="AA168" s="213" t="s">
        <v>1643</v>
      </c>
      <c r="AB168" s="213" t="s">
        <v>1643</v>
      </c>
      <c r="AC168" s="213" t="s">
        <v>1643</v>
      </c>
      <c r="AD168" s="213" t="s">
        <v>1644</v>
      </c>
      <c r="AE168" s="213" t="s">
        <v>1644</v>
      </c>
      <c r="AF168" s="213" t="s">
        <v>1643</v>
      </c>
      <c r="AG168" s="214" t="s">
        <v>1644</v>
      </c>
      <c r="AH168" s="212" t="s">
        <v>1644</v>
      </c>
      <c r="AI168" s="213" t="s">
        <v>1644</v>
      </c>
      <c r="AJ168" s="213" t="s">
        <v>1644</v>
      </c>
      <c r="AK168" s="213" t="s">
        <v>1644</v>
      </c>
      <c r="AL168" s="213" t="s">
        <v>1644</v>
      </c>
      <c r="AM168" s="213" t="s">
        <v>1644</v>
      </c>
      <c r="AN168" s="213" t="s">
        <v>1643</v>
      </c>
      <c r="AO168" s="213" t="s">
        <v>1643</v>
      </c>
      <c r="AP168" s="213" t="s">
        <v>1644</v>
      </c>
      <c r="AQ168" s="213" t="s">
        <v>1644</v>
      </c>
      <c r="AR168" s="213" t="s">
        <v>1643</v>
      </c>
      <c r="AS168" s="214" t="s">
        <v>1644</v>
      </c>
    </row>
    <row r="169" spans="1:45" ht="15.75" thickBot="1" x14ac:dyDescent="0.3">
      <c r="A169" s="212" t="s">
        <v>1003</v>
      </c>
      <c r="B169" s="48" t="s">
        <v>1004</v>
      </c>
      <c r="C169" s="214" t="s">
        <v>808</v>
      </c>
      <c r="D169" s="218">
        <v>28</v>
      </c>
      <c r="E169" s="219">
        <v>21000</v>
      </c>
      <c r="F169" s="219">
        <v>22000</v>
      </c>
      <c r="G169" s="220" t="s">
        <v>850</v>
      </c>
      <c r="H169" s="220" t="s">
        <v>850</v>
      </c>
      <c r="I169" s="220" t="s">
        <v>850</v>
      </c>
      <c r="J169" s="220" t="s">
        <v>850</v>
      </c>
      <c r="K169" s="220" t="s">
        <v>850</v>
      </c>
      <c r="L169" s="220" t="s">
        <v>850</v>
      </c>
      <c r="M169" s="220" t="s">
        <v>850</v>
      </c>
      <c r="N169" s="220" t="s">
        <v>850</v>
      </c>
      <c r="O169" s="220" t="s">
        <v>850</v>
      </c>
      <c r="P169" s="221">
        <v>5</v>
      </c>
      <c r="Q169" s="219">
        <v>4000</v>
      </c>
      <c r="R169" s="219">
        <v>6000</v>
      </c>
      <c r="S169" s="221">
        <v>20</v>
      </c>
      <c r="T169" s="219">
        <v>8000</v>
      </c>
      <c r="U169" s="222">
        <v>14560</v>
      </c>
      <c r="V169" s="212" t="s">
        <v>1644</v>
      </c>
      <c r="W169" s="213" t="s">
        <v>1644</v>
      </c>
      <c r="X169" s="213" t="s">
        <v>1644</v>
      </c>
      <c r="Y169" s="213" t="s">
        <v>1644</v>
      </c>
      <c r="Z169" s="213" t="s">
        <v>1644</v>
      </c>
      <c r="AA169" s="213" t="s">
        <v>1644</v>
      </c>
      <c r="AB169" s="213" t="s">
        <v>1643</v>
      </c>
      <c r="AC169" s="213" t="s">
        <v>1644</v>
      </c>
      <c r="AD169" s="213" t="s">
        <v>1644</v>
      </c>
      <c r="AE169" s="213" t="s">
        <v>1644</v>
      </c>
      <c r="AF169" s="213" t="s">
        <v>1644</v>
      </c>
      <c r="AG169" s="214" t="s">
        <v>1644</v>
      </c>
      <c r="AH169" s="212" t="s">
        <v>1644</v>
      </c>
      <c r="AI169" s="213" t="s">
        <v>1644</v>
      </c>
      <c r="AJ169" s="213" t="s">
        <v>1644</v>
      </c>
      <c r="AK169" s="213" t="s">
        <v>1644</v>
      </c>
      <c r="AL169" s="213" t="s">
        <v>1644</v>
      </c>
      <c r="AM169" s="213" t="s">
        <v>1644</v>
      </c>
      <c r="AN169" s="213" t="s">
        <v>1643</v>
      </c>
      <c r="AO169" s="213" t="s">
        <v>1644</v>
      </c>
      <c r="AP169" s="213" t="s">
        <v>1644</v>
      </c>
      <c r="AQ169" s="213" t="s">
        <v>1644</v>
      </c>
      <c r="AR169" s="213" t="s">
        <v>1644</v>
      </c>
      <c r="AS169" s="214" t="s">
        <v>1644</v>
      </c>
    </row>
    <row r="170" spans="1:45" ht="15.75" thickBot="1" x14ac:dyDescent="0.3">
      <c r="A170" s="212" t="s">
        <v>1015</v>
      </c>
      <c r="B170" s="48" t="s">
        <v>1016</v>
      </c>
      <c r="C170" s="214" t="s">
        <v>808</v>
      </c>
      <c r="D170" s="218">
        <v>16</v>
      </c>
      <c r="E170" s="219">
        <v>8000</v>
      </c>
      <c r="F170" s="219">
        <v>25000</v>
      </c>
      <c r="G170" s="227"/>
      <c r="H170" s="226"/>
      <c r="I170" s="226"/>
      <c r="J170" s="227"/>
      <c r="K170" s="226"/>
      <c r="L170" s="226"/>
      <c r="M170" s="227"/>
      <c r="N170" s="226"/>
      <c r="O170" s="226"/>
      <c r="P170" s="227"/>
      <c r="Q170" s="226"/>
      <c r="R170" s="226"/>
      <c r="S170" s="221">
        <v>20</v>
      </c>
      <c r="T170" s="219">
        <v>1500</v>
      </c>
      <c r="U170" s="222">
        <v>20000</v>
      </c>
      <c r="V170" s="209" t="s">
        <v>1644</v>
      </c>
      <c r="W170" s="210" t="s">
        <v>1644</v>
      </c>
      <c r="X170" s="210" t="s">
        <v>1644</v>
      </c>
      <c r="Y170" s="210" t="s">
        <v>1644</v>
      </c>
      <c r="Z170" s="210" t="s">
        <v>1644</v>
      </c>
      <c r="AA170" s="210" t="s">
        <v>1644</v>
      </c>
      <c r="AB170" s="210" t="s">
        <v>1644</v>
      </c>
      <c r="AC170" s="210" t="s">
        <v>1644</v>
      </c>
      <c r="AD170" s="210" t="s">
        <v>1644</v>
      </c>
      <c r="AE170" s="210" t="s">
        <v>1644</v>
      </c>
      <c r="AF170" s="210" t="s">
        <v>1644</v>
      </c>
      <c r="AG170" s="211" t="s">
        <v>1644</v>
      </c>
      <c r="AH170" s="209" t="s">
        <v>1644</v>
      </c>
      <c r="AI170" s="210" t="s">
        <v>1644</v>
      </c>
      <c r="AJ170" s="210" t="s">
        <v>1644</v>
      </c>
      <c r="AK170" s="210" t="s">
        <v>1644</v>
      </c>
      <c r="AL170" s="210" t="s">
        <v>1644</v>
      </c>
      <c r="AM170" s="210" t="s">
        <v>1644</v>
      </c>
      <c r="AN170" s="210" t="s">
        <v>1644</v>
      </c>
      <c r="AO170" s="210" t="s">
        <v>1644</v>
      </c>
      <c r="AP170" s="210" t="s">
        <v>1644</v>
      </c>
      <c r="AQ170" s="210" t="s">
        <v>1644</v>
      </c>
      <c r="AR170" s="210" t="s">
        <v>1644</v>
      </c>
      <c r="AS170" s="211" t="s">
        <v>1644</v>
      </c>
    </row>
    <row r="171" spans="1:45" ht="15.75" thickBot="1" x14ac:dyDescent="0.3">
      <c r="A171" s="212" t="s">
        <v>1029</v>
      </c>
      <c r="B171" s="48" t="s">
        <v>1030</v>
      </c>
      <c r="C171" s="214" t="s">
        <v>808</v>
      </c>
      <c r="D171" s="223" t="s">
        <v>850</v>
      </c>
      <c r="E171" s="220" t="s">
        <v>850</v>
      </c>
      <c r="F171" s="220" t="s">
        <v>850</v>
      </c>
      <c r="G171" s="220" t="s">
        <v>850</v>
      </c>
      <c r="H171" s="220" t="s">
        <v>850</v>
      </c>
      <c r="I171" s="220" t="s">
        <v>850</v>
      </c>
      <c r="J171" s="220" t="s">
        <v>850</v>
      </c>
      <c r="K171" s="220" t="s">
        <v>850</v>
      </c>
      <c r="L171" s="220" t="s">
        <v>850</v>
      </c>
      <c r="M171" s="220" t="s">
        <v>850</v>
      </c>
      <c r="N171" s="220" t="s">
        <v>850</v>
      </c>
      <c r="O171" s="220" t="s">
        <v>850</v>
      </c>
      <c r="P171" s="220" t="s">
        <v>850</v>
      </c>
      <c r="Q171" s="220" t="s">
        <v>850</v>
      </c>
      <c r="R171" s="220" t="s">
        <v>850</v>
      </c>
      <c r="S171" s="221">
        <v>40</v>
      </c>
      <c r="T171" s="219">
        <v>31000</v>
      </c>
      <c r="U171" s="222">
        <v>32000</v>
      </c>
      <c r="V171" s="212" t="s">
        <v>1643</v>
      </c>
      <c r="W171" s="213" t="s">
        <v>1643</v>
      </c>
      <c r="X171" s="213" t="s">
        <v>1643</v>
      </c>
      <c r="Y171" s="210" t="s">
        <v>1644</v>
      </c>
      <c r="Z171" s="213" t="s">
        <v>1643</v>
      </c>
      <c r="AA171" s="213" t="s">
        <v>1643</v>
      </c>
      <c r="AB171" s="213" t="s">
        <v>1643</v>
      </c>
      <c r="AC171" s="213" t="s">
        <v>1643</v>
      </c>
      <c r="AD171" s="213" t="s">
        <v>1644</v>
      </c>
      <c r="AE171" s="213" t="s">
        <v>1644</v>
      </c>
      <c r="AF171" s="213" t="s">
        <v>1644</v>
      </c>
      <c r="AG171" s="214" t="s">
        <v>1644</v>
      </c>
      <c r="AH171" s="209" t="s">
        <v>1644</v>
      </c>
      <c r="AI171" s="210" t="s">
        <v>1644</v>
      </c>
      <c r="AJ171" s="210" t="s">
        <v>1644</v>
      </c>
      <c r="AK171" s="210" t="s">
        <v>1644</v>
      </c>
      <c r="AL171" s="210" t="s">
        <v>1644</v>
      </c>
      <c r="AM171" s="210" t="s">
        <v>1644</v>
      </c>
      <c r="AN171" s="210" t="s">
        <v>1644</v>
      </c>
      <c r="AO171" s="210" t="s">
        <v>1644</v>
      </c>
      <c r="AP171" s="210" t="s">
        <v>1644</v>
      </c>
      <c r="AQ171" s="210" t="s">
        <v>1644</v>
      </c>
      <c r="AR171" s="210" t="s">
        <v>1644</v>
      </c>
      <c r="AS171" s="211" t="s">
        <v>1644</v>
      </c>
    </row>
    <row r="172" spans="1:45" ht="15.75" thickBot="1" x14ac:dyDescent="0.3">
      <c r="A172" s="212" t="s">
        <v>1033</v>
      </c>
      <c r="B172" s="48" t="s">
        <v>1034</v>
      </c>
      <c r="C172" s="214" t="s">
        <v>808</v>
      </c>
      <c r="D172" s="223" t="s">
        <v>850</v>
      </c>
      <c r="E172" s="220" t="s">
        <v>850</v>
      </c>
      <c r="F172" s="220" t="s">
        <v>850</v>
      </c>
      <c r="G172" s="220" t="s">
        <v>850</v>
      </c>
      <c r="H172" s="220" t="s">
        <v>850</v>
      </c>
      <c r="I172" s="220" t="s">
        <v>850</v>
      </c>
      <c r="J172" s="220" t="s">
        <v>850</v>
      </c>
      <c r="K172" s="220" t="s">
        <v>850</v>
      </c>
      <c r="L172" s="220" t="s">
        <v>850</v>
      </c>
      <c r="M172" s="220" t="s">
        <v>850</v>
      </c>
      <c r="N172" s="220" t="s">
        <v>850</v>
      </c>
      <c r="O172" s="220" t="s">
        <v>850</v>
      </c>
      <c r="P172" s="221">
        <v>32</v>
      </c>
      <c r="Q172" s="219">
        <v>32000</v>
      </c>
      <c r="R172" s="219">
        <v>33660</v>
      </c>
      <c r="S172" s="220" t="s">
        <v>850</v>
      </c>
      <c r="T172" s="220" t="s">
        <v>850</v>
      </c>
      <c r="U172" s="224" t="s">
        <v>850</v>
      </c>
      <c r="V172" s="212" t="s">
        <v>1643</v>
      </c>
      <c r="W172" s="213" t="s">
        <v>1643</v>
      </c>
      <c r="X172" s="213" t="s">
        <v>1643</v>
      </c>
      <c r="Y172" s="213" t="s">
        <v>1643</v>
      </c>
      <c r="Z172" s="213" t="s">
        <v>1644</v>
      </c>
      <c r="AA172" s="213" t="s">
        <v>1643</v>
      </c>
      <c r="AB172" s="213" t="s">
        <v>1643</v>
      </c>
      <c r="AC172" s="213" t="s">
        <v>1643</v>
      </c>
      <c r="AD172" s="213" t="s">
        <v>1644</v>
      </c>
      <c r="AE172" s="213" t="s">
        <v>1644</v>
      </c>
      <c r="AF172" s="213" t="s">
        <v>1643</v>
      </c>
      <c r="AG172" s="214" t="s">
        <v>1644</v>
      </c>
      <c r="AH172" s="212" t="s">
        <v>1644</v>
      </c>
      <c r="AI172" s="213" t="s">
        <v>1644</v>
      </c>
      <c r="AJ172" s="213" t="s">
        <v>1644</v>
      </c>
      <c r="AK172" s="213" t="s">
        <v>1644</v>
      </c>
      <c r="AL172" s="213" t="s">
        <v>1644</v>
      </c>
      <c r="AM172" s="213" t="s">
        <v>1644</v>
      </c>
      <c r="AN172" s="213" t="s">
        <v>1644</v>
      </c>
      <c r="AO172" s="213" t="s">
        <v>1644</v>
      </c>
      <c r="AP172" s="213" t="s">
        <v>1644</v>
      </c>
      <c r="AQ172" s="213" t="s">
        <v>1644</v>
      </c>
      <c r="AR172" s="213" t="s">
        <v>1644</v>
      </c>
      <c r="AS172" s="214" t="s">
        <v>1644</v>
      </c>
    </row>
    <row r="173" spans="1:45" ht="15.75" thickBot="1" x14ac:dyDescent="0.3">
      <c r="A173" s="212" t="s">
        <v>1045</v>
      </c>
      <c r="B173" s="48" t="s">
        <v>1046</v>
      </c>
      <c r="C173" s="214" t="s">
        <v>808</v>
      </c>
      <c r="D173" s="225"/>
      <c r="E173" s="226"/>
      <c r="F173" s="226"/>
      <c r="G173" s="227"/>
      <c r="H173" s="226"/>
      <c r="I173" s="226"/>
      <c r="J173" s="221">
        <v>8</v>
      </c>
      <c r="K173" s="219">
        <v>6500</v>
      </c>
      <c r="L173" s="219">
        <v>6500</v>
      </c>
      <c r="M173" s="227"/>
      <c r="N173" s="226"/>
      <c r="O173" s="226"/>
      <c r="P173" s="221">
        <v>15</v>
      </c>
      <c r="Q173" s="219">
        <v>7500</v>
      </c>
      <c r="R173" s="219">
        <v>8500</v>
      </c>
      <c r="S173" s="221">
        <v>15</v>
      </c>
      <c r="T173" s="219">
        <v>7500</v>
      </c>
      <c r="U173" s="222">
        <v>8500</v>
      </c>
      <c r="V173" s="209" t="s">
        <v>1644</v>
      </c>
      <c r="W173" s="210" t="s">
        <v>1644</v>
      </c>
      <c r="X173" s="210" t="s">
        <v>1644</v>
      </c>
      <c r="Y173" s="210" t="s">
        <v>1644</v>
      </c>
      <c r="Z173" s="210" t="s">
        <v>1644</v>
      </c>
      <c r="AA173" s="210" t="s">
        <v>1644</v>
      </c>
      <c r="AB173" s="210" t="s">
        <v>1644</v>
      </c>
      <c r="AC173" s="210" t="s">
        <v>1644</v>
      </c>
      <c r="AD173" s="210" t="s">
        <v>1644</v>
      </c>
      <c r="AE173" s="210" t="s">
        <v>1644</v>
      </c>
      <c r="AF173" s="210" t="s">
        <v>1644</v>
      </c>
      <c r="AG173" s="211" t="s">
        <v>1644</v>
      </c>
      <c r="AH173" s="209" t="s">
        <v>1644</v>
      </c>
      <c r="AI173" s="210" t="s">
        <v>1644</v>
      </c>
      <c r="AJ173" s="210" t="s">
        <v>1644</v>
      </c>
      <c r="AK173" s="210" t="s">
        <v>1644</v>
      </c>
      <c r="AL173" s="210" t="s">
        <v>1644</v>
      </c>
      <c r="AM173" s="210" t="s">
        <v>1644</v>
      </c>
      <c r="AN173" s="210" t="s">
        <v>1644</v>
      </c>
      <c r="AO173" s="210" t="s">
        <v>1644</v>
      </c>
      <c r="AP173" s="210" t="s">
        <v>1644</v>
      </c>
      <c r="AQ173" s="210" t="s">
        <v>1644</v>
      </c>
      <c r="AR173" s="210" t="s">
        <v>1644</v>
      </c>
      <c r="AS173" s="211" t="s">
        <v>1644</v>
      </c>
    </row>
    <row r="174" spans="1:45" ht="15.75" thickBot="1" x14ac:dyDescent="0.3">
      <c r="A174" s="212" t="s">
        <v>1069</v>
      </c>
      <c r="B174" s="48" t="s">
        <v>1070</v>
      </c>
      <c r="C174" s="214" t="s">
        <v>808</v>
      </c>
      <c r="D174" s="218">
        <v>30</v>
      </c>
      <c r="E174" s="219">
        <v>24000</v>
      </c>
      <c r="F174" s="219">
        <v>27000</v>
      </c>
      <c r="G174" s="221">
        <v>40</v>
      </c>
      <c r="H174" s="219">
        <v>36000</v>
      </c>
      <c r="I174" s="219">
        <v>39000</v>
      </c>
      <c r="J174" s="221">
        <v>28</v>
      </c>
      <c r="K174" s="219">
        <v>18300</v>
      </c>
      <c r="L174" s="219">
        <v>20300</v>
      </c>
      <c r="M174" s="221">
        <v>15</v>
      </c>
      <c r="N174" s="219">
        <v>8500</v>
      </c>
      <c r="O174" s="219">
        <v>12000</v>
      </c>
      <c r="P174" s="220" t="s">
        <v>850</v>
      </c>
      <c r="Q174" s="220" t="s">
        <v>850</v>
      </c>
      <c r="R174" s="220" t="s">
        <v>850</v>
      </c>
      <c r="S174" s="221">
        <v>15</v>
      </c>
      <c r="T174" s="219">
        <v>7100</v>
      </c>
      <c r="U174" s="222">
        <v>8000</v>
      </c>
      <c r="V174" s="212" t="s">
        <v>1644</v>
      </c>
      <c r="W174" s="213" t="s">
        <v>1644</v>
      </c>
      <c r="X174" s="213" t="s">
        <v>1644</v>
      </c>
      <c r="Y174" s="213" t="s">
        <v>1644</v>
      </c>
      <c r="Z174" s="213" t="s">
        <v>1644</v>
      </c>
      <c r="AA174" s="213" t="s">
        <v>1643</v>
      </c>
      <c r="AB174" s="213" t="s">
        <v>1643</v>
      </c>
      <c r="AC174" s="213" t="s">
        <v>1643</v>
      </c>
      <c r="AD174" s="213" t="s">
        <v>1643</v>
      </c>
      <c r="AE174" s="213" t="s">
        <v>1644</v>
      </c>
      <c r="AF174" s="213" t="s">
        <v>1643</v>
      </c>
      <c r="AG174" s="214" t="s">
        <v>1644</v>
      </c>
      <c r="AH174" s="212" t="s">
        <v>1644</v>
      </c>
      <c r="AI174" s="213" t="s">
        <v>1644</v>
      </c>
      <c r="AJ174" s="213" t="s">
        <v>1644</v>
      </c>
      <c r="AK174" s="213" t="s">
        <v>1644</v>
      </c>
      <c r="AL174" s="213" t="s">
        <v>1644</v>
      </c>
      <c r="AM174" s="213" t="s">
        <v>1644</v>
      </c>
      <c r="AN174" s="213" t="s">
        <v>1644</v>
      </c>
      <c r="AO174" s="213" t="s">
        <v>1644</v>
      </c>
      <c r="AP174" s="213" t="s">
        <v>1644</v>
      </c>
      <c r="AQ174" s="213" t="s">
        <v>1644</v>
      </c>
      <c r="AR174" s="213" t="s">
        <v>1644</v>
      </c>
      <c r="AS174" s="214" t="s">
        <v>1644</v>
      </c>
    </row>
    <row r="175" spans="1:45" ht="15.75" thickBot="1" x14ac:dyDescent="0.3">
      <c r="A175" s="212" t="s">
        <v>1081</v>
      </c>
      <c r="B175" s="48" t="s">
        <v>1082</v>
      </c>
      <c r="C175" s="214" t="s">
        <v>808</v>
      </c>
      <c r="D175" s="223" t="s">
        <v>850</v>
      </c>
      <c r="E175" s="220" t="s">
        <v>850</v>
      </c>
      <c r="F175" s="220" t="s">
        <v>850</v>
      </c>
      <c r="G175" s="220" t="s">
        <v>850</v>
      </c>
      <c r="H175" s="220" t="s">
        <v>850</v>
      </c>
      <c r="I175" s="220" t="s">
        <v>850</v>
      </c>
      <c r="J175" s="220" t="s">
        <v>850</v>
      </c>
      <c r="K175" s="220" t="s">
        <v>850</v>
      </c>
      <c r="L175" s="220" t="s">
        <v>850</v>
      </c>
      <c r="M175" s="220" t="s">
        <v>850</v>
      </c>
      <c r="N175" s="220" t="s">
        <v>850</v>
      </c>
      <c r="O175" s="220" t="s">
        <v>850</v>
      </c>
      <c r="P175" s="220" t="s">
        <v>850</v>
      </c>
      <c r="Q175" s="220" t="s">
        <v>850</v>
      </c>
      <c r="R175" s="220" t="s">
        <v>850</v>
      </c>
      <c r="S175" s="221">
        <v>18</v>
      </c>
      <c r="T175" s="220" t="s">
        <v>850</v>
      </c>
      <c r="U175" s="222">
        <v>21632</v>
      </c>
      <c r="V175" s="209" t="s">
        <v>1644</v>
      </c>
      <c r="W175" s="210" t="s">
        <v>1644</v>
      </c>
      <c r="X175" s="210" t="s">
        <v>1644</v>
      </c>
      <c r="Y175" s="210" t="s">
        <v>1644</v>
      </c>
      <c r="Z175" s="210" t="s">
        <v>1644</v>
      </c>
      <c r="AA175" s="210" t="s">
        <v>1644</v>
      </c>
      <c r="AB175" s="210" t="s">
        <v>1644</v>
      </c>
      <c r="AC175" s="210" t="s">
        <v>1644</v>
      </c>
      <c r="AD175" s="210" t="s">
        <v>1644</v>
      </c>
      <c r="AE175" s="210" t="s">
        <v>1644</v>
      </c>
      <c r="AF175" s="210" t="s">
        <v>1644</v>
      </c>
      <c r="AG175" s="211" t="s">
        <v>1644</v>
      </c>
      <c r="AH175" s="212" t="s">
        <v>1644</v>
      </c>
      <c r="AI175" s="213" t="s">
        <v>1644</v>
      </c>
      <c r="AJ175" s="213" t="s">
        <v>1644</v>
      </c>
      <c r="AK175" s="213" t="s">
        <v>1644</v>
      </c>
      <c r="AL175" s="213" t="s">
        <v>1644</v>
      </c>
      <c r="AM175" s="213" t="s">
        <v>1644</v>
      </c>
      <c r="AN175" s="213" t="s">
        <v>1643</v>
      </c>
      <c r="AO175" s="213" t="s">
        <v>1643</v>
      </c>
      <c r="AP175" s="213" t="s">
        <v>1644</v>
      </c>
      <c r="AQ175" s="213" t="s">
        <v>1644</v>
      </c>
      <c r="AR175" s="213" t="s">
        <v>1644</v>
      </c>
      <c r="AS175" s="214" t="s">
        <v>1644</v>
      </c>
    </row>
    <row r="176" spans="1:45" ht="15.75" thickBot="1" x14ac:dyDescent="0.3">
      <c r="A176" s="212" t="s">
        <v>1087</v>
      </c>
      <c r="B176" s="48" t="s">
        <v>1088</v>
      </c>
      <c r="C176" s="214" t="s">
        <v>808</v>
      </c>
      <c r="D176" s="223" t="s">
        <v>850</v>
      </c>
      <c r="E176" s="220" t="s">
        <v>850</v>
      </c>
      <c r="F176" s="220" t="s">
        <v>850</v>
      </c>
      <c r="G176" s="221">
        <v>28</v>
      </c>
      <c r="H176" s="219">
        <v>23180</v>
      </c>
      <c r="I176" s="219">
        <v>254509</v>
      </c>
      <c r="J176" s="220" t="s">
        <v>850</v>
      </c>
      <c r="K176" s="220" t="s">
        <v>850</v>
      </c>
      <c r="L176" s="220" t="s">
        <v>850</v>
      </c>
      <c r="M176" s="221">
        <v>18</v>
      </c>
      <c r="N176" s="219">
        <v>11709</v>
      </c>
      <c r="O176" s="219">
        <v>14377</v>
      </c>
      <c r="P176" s="220" t="s">
        <v>850</v>
      </c>
      <c r="Q176" s="220" t="s">
        <v>850</v>
      </c>
      <c r="R176" s="220" t="s">
        <v>850</v>
      </c>
      <c r="S176" s="221">
        <v>13</v>
      </c>
      <c r="T176" s="219">
        <v>9133</v>
      </c>
      <c r="U176" s="222">
        <v>10045</v>
      </c>
      <c r="V176" s="212" t="s">
        <v>1643</v>
      </c>
      <c r="W176" s="213" t="s">
        <v>1643</v>
      </c>
      <c r="X176" s="213" t="s">
        <v>1643</v>
      </c>
      <c r="Y176" s="213" t="s">
        <v>1643</v>
      </c>
      <c r="Z176" s="213" t="s">
        <v>1643</v>
      </c>
      <c r="AA176" s="213" t="s">
        <v>1643</v>
      </c>
      <c r="AB176" s="213" t="s">
        <v>1643</v>
      </c>
      <c r="AC176" s="213" t="s">
        <v>1643</v>
      </c>
      <c r="AD176" s="213" t="s">
        <v>1643</v>
      </c>
      <c r="AE176" s="213" t="s">
        <v>1643</v>
      </c>
      <c r="AF176" s="213" t="s">
        <v>1643</v>
      </c>
      <c r="AG176" s="214" t="s">
        <v>1644</v>
      </c>
      <c r="AH176" s="212" t="s">
        <v>1644</v>
      </c>
      <c r="AI176" s="213" t="s">
        <v>1644</v>
      </c>
      <c r="AJ176" s="213" t="s">
        <v>1644</v>
      </c>
      <c r="AK176" s="213" t="s">
        <v>1644</v>
      </c>
      <c r="AL176" s="213" t="s">
        <v>1644</v>
      </c>
      <c r="AM176" s="213" t="s">
        <v>1644</v>
      </c>
      <c r="AN176" s="213" t="s">
        <v>1644</v>
      </c>
      <c r="AO176" s="213" t="s">
        <v>1644</v>
      </c>
      <c r="AP176" s="213" t="s">
        <v>1644</v>
      </c>
      <c r="AQ176" s="213" t="s">
        <v>1644</v>
      </c>
      <c r="AR176" s="213" t="s">
        <v>1644</v>
      </c>
      <c r="AS176" s="214" t="s">
        <v>1644</v>
      </c>
    </row>
    <row r="177" spans="1:45" ht="15.75" thickBot="1" x14ac:dyDescent="0.3">
      <c r="A177" s="212" t="s">
        <v>1095</v>
      </c>
      <c r="B177" s="48" t="s">
        <v>1096</v>
      </c>
      <c r="C177" s="214" t="s">
        <v>808</v>
      </c>
      <c r="D177" s="223" t="s">
        <v>850</v>
      </c>
      <c r="E177" s="220" t="s">
        <v>850</v>
      </c>
      <c r="F177" s="220" t="s">
        <v>850</v>
      </c>
      <c r="G177" s="220" t="s">
        <v>850</v>
      </c>
      <c r="H177" s="220" t="s">
        <v>850</v>
      </c>
      <c r="I177" s="220" t="s">
        <v>850</v>
      </c>
      <c r="J177" s="220" t="s">
        <v>850</v>
      </c>
      <c r="K177" s="220" t="s">
        <v>850</v>
      </c>
      <c r="L177" s="220" t="s">
        <v>850</v>
      </c>
      <c r="M177" s="220" t="s">
        <v>850</v>
      </c>
      <c r="N177" s="220" t="s">
        <v>850</v>
      </c>
      <c r="O177" s="220" t="s">
        <v>850</v>
      </c>
      <c r="P177" s="220" t="s">
        <v>850</v>
      </c>
      <c r="Q177" s="220" t="s">
        <v>850</v>
      </c>
      <c r="R177" s="220" t="s">
        <v>850</v>
      </c>
      <c r="S177" s="221">
        <v>40</v>
      </c>
      <c r="T177" s="219">
        <v>30000</v>
      </c>
      <c r="U177" s="222">
        <v>45000</v>
      </c>
      <c r="V177" s="212" t="s">
        <v>1643</v>
      </c>
      <c r="W177" s="213" t="s">
        <v>1643</v>
      </c>
      <c r="X177" s="213" t="s">
        <v>1643</v>
      </c>
      <c r="Y177" s="213" t="s">
        <v>1643</v>
      </c>
      <c r="Z177" s="213" t="s">
        <v>1643</v>
      </c>
      <c r="AA177" s="213" t="s">
        <v>1643</v>
      </c>
      <c r="AB177" s="213" t="s">
        <v>1643</v>
      </c>
      <c r="AC177" s="213" t="s">
        <v>1643</v>
      </c>
      <c r="AD177" s="213" t="s">
        <v>1643</v>
      </c>
      <c r="AE177" s="213" t="s">
        <v>1643</v>
      </c>
      <c r="AF177" s="213" t="s">
        <v>1643</v>
      </c>
      <c r="AG177" s="214" t="s">
        <v>1643</v>
      </c>
      <c r="AH177" s="212" t="s">
        <v>1644</v>
      </c>
      <c r="AI177" s="213" t="s">
        <v>1644</v>
      </c>
      <c r="AJ177" s="213" t="s">
        <v>1644</v>
      </c>
      <c r="AK177" s="213" t="s">
        <v>1643</v>
      </c>
      <c r="AL177" s="213" t="s">
        <v>1644</v>
      </c>
      <c r="AM177" s="213" t="s">
        <v>1644</v>
      </c>
      <c r="AN177" s="213" t="s">
        <v>1644</v>
      </c>
      <c r="AO177" s="213" t="s">
        <v>1644</v>
      </c>
      <c r="AP177" s="213" t="s">
        <v>1644</v>
      </c>
      <c r="AQ177" s="213" t="s">
        <v>1644</v>
      </c>
      <c r="AR177" s="213" t="s">
        <v>1644</v>
      </c>
      <c r="AS177" s="214" t="s">
        <v>1644</v>
      </c>
    </row>
    <row r="178" spans="1:45" ht="15.75" thickBot="1" x14ac:dyDescent="0.3">
      <c r="A178" s="212" t="s">
        <v>1109</v>
      </c>
      <c r="B178" s="48" t="s">
        <v>1110</v>
      </c>
      <c r="C178" s="214" t="s">
        <v>808</v>
      </c>
      <c r="D178" s="218">
        <v>30</v>
      </c>
      <c r="E178" s="219">
        <v>15600</v>
      </c>
      <c r="F178" s="219">
        <v>27300</v>
      </c>
      <c r="G178" s="221">
        <v>34</v>
      </c>
      <c r="H178" s="219">
        <v>17680</v>
      </c>
      <c r="I178" s="219">
        <v>22984</v>
      </c>
      <c r="J178" s="220" t="s">
        <v>850</v>
      </c>
      <c r="K178" s="220" t="s">
        <v>850</v>
      </c>
      <c r="L178" s="220" t="s">
        <v>850</v>
      </c>
      <c r="M178" s="220" t="s">
        <v>850</v>
      </c>
      <c r="N178" s="220" t="s">
        <v>850</v>
      </c>
      <c r="O178" s="220" t="s">
        <v>850</v>
      </c>
      <c r="P178" s="220" t="s">
        <v>850</v>
      </c>
      <c r="Q178" s="220" t="s">
        <v>850</v>
      </c>
      <c r="R178" s="220" t="s">
        <v>850</v>
      </c>
      <c r="S178" s="221">
        <v>26</v>
      </c>
      <c r="T178" s="219">
        <v>13520</v>
      </c>
      <c r="U178" s="222">
        <v>21632</v>
      </c>
      <c r="V178" s="212" t="s">
        <v>1644</v>
      </c>
      <c r="W178" s="213" t="s">
        <v>1644</v>
      </c>
      <c r="X178" s="213" t="s">
        <v>1644</v>
      </c>
      <c r="Y178" s="213" t="s">
        <v>1644</v>
      </c>
      <c r="Z178" s="213" t="s">
        <v>1644</v>
      </c>
      <c r="AA178" s="213" t="s">
        <v>1643</v>
      </c>
      <c r="AB178" s="213" t="s">
        <v>1643</v>
      </c>
      <c r="AC178" s="213" t="s">
        <v>1643</v>
      </c>
      <c r="AD178" s="213" t="s">
        <v>1644</v>
      </c>
      <c r="AE178" s="213" t="s">
        <v>1644</v>
      </c>
      <c r="AF178" s="213" t="s">
        <v>1644</v>
      </c>
      <c r="AG178" s="214" t="s">
        <v>1644</v>
      </c>
      <c r="AH178" s="212" t="s">
        <v>1644</v>
      </c>
      <c r="AI178" s="213" t="s">
        <v>1644</v>
      </c>
      <c r="AJ178" s="213" t="s">
        <v>1644</v>
      </c>
      <c r="AK178" s="213" t="s">
        <v>1644</v>
      </c>
      <c r="AL178" s="213" t="s">
        <v>1644</v>
      </c>
      <c r="AM178" s="213" t="s">
        <v>1643</v>
      </c>
      <c r="AN178" s="213" t="s">
        <v>1643</v>
      </c>
      <c r="AO178" s="213" t="s">
        <v>1643</v>
      </c>
      <c r="AP178" s="213" t="s">
        <v>1644</v>
      </c>
      <c r="AQ178" s="213" t="s">
        <v>1644</v>
      </c>
      <c r="AR178" s="213" t="s">
        <v>1644</v>
      </c>
      <c r="AS178" s="214" t="s">
        <v>1644</v>
      </c>
    </row>
    <row r="179" spans="1:45" ht="15.75" thickBot="1" x14ac:dyDescent="0.3">
      <c r="A179" s="212" t="s">
        <v>1127</v>
      </c>
      <c r="B179" s="48" t="s">
        <v>1128</v>
      </c>
      <c r="C179" s="214" t="s">
        <v>808</v>
      </c>
      <c r="D179" s="218">
        <v>33</v>
      </c>
      <c r="E179" s="219">
        <v>22000</v>
      </c>
      <c r="F179" s="219">
        <v>28000</v>
      </c>
      <c r="G179" s="227"/>
      <c r="H179" s="220"/>
      <c r="I179" s="220"/>
      <c r="J179" s="221">
        <v>28</v>
      </c>
      <c r="K179" s="220" t="s">
        <v>850</v>
      </c>
      <c r="L179" s="219">
        <v>20000</v>
      </c>
      <c r="M179" s="221">
        <v>18</v>
      </c>
      <c r="N179" s="219">
        <v>9500</v>
      </c>
      <c r="O179" s="219">
        <v>12000</v>
      </c>
      <c r="P179" s="227"/>
      <c r="Q179" s="220"/>
      <c r="R179" s="220"/>
      <c r="S179" s="227"/>
      <c r="T179" s="220"/>
      <c r="U179" s="224"/>
      <c r="V179" s="212" t="s">
        <v>1644</v>
      </c>
      <c r="W179" s="213" t="s">
        <v>1644</v>
      </c>
      <c r="X179" s="213" t="s">
        <v>1644</v>
      </c>
      <c r="Y179" s="213" t="s">
        <v>1644</v>
      </c>
      <c r="Z179" s="213" t="s">
        <v>1644</v>
      </c>
      <c r="AA179" s="213" t="s">
        <v>1643</v>
      </c>
      <c r="AB179" s="213" t="s">
        <v>1643</v>
      </c>
      <c r="AC179" s="213" t="s">
        <v>1643</v>
      </c>
      <c r="AD179" s="213" t="s">
        <v>1643</v>
      </c>
      <c r="AE179" s="213" t="s">
        <v>1644</v>
      </c>
      <c r="AF179" s="213" t="s">
        <v>1643</v>
      </c>
      <c r="AG179" s="214" t="s">
        <v>1643</v>
      </c>
      <c r="AH179" s="212" t="s">
        <v>1644</v>
      </c>
      <c r="AI179" s="213" t="s">
        <v>1644</v>
      </c>
      <c r="AJ179" s="213" t="s">
        <v>1644</v>
      </c>
      <c r="AK179" s="213" t="s">
        <v>1644</v>
      </c>
      <c r="AL179" s="213" t="s">
        <v>1644</v>
      </c>
      <c r="AM179" s="213" t="s">
        <v>1643</v>
      </c>
      <c r="AN179" s="213" t="s">
        <v>1643</v>
      </c>
      <c r="AO179" s="213" t="s">
        <v>1643</v>
      </c>
      <c r="AP179" s="213" t="s">
        <v>1643</v>
      </c>
      <c r="AQ179" s="213" t="s">
        <v>1644</v>
      </c>
      <c r="AR179" s="213" t="s">
        <v>1643</v>
      </c>
      <c r="AS179" s="214" t="s">
        <v>1643</v>
      </c>
    </row>
    <row r="180" spans="1:45" ht="15.75" thickBot="1" x14ac:dyDescent="0.3">
      <c r="A180" s="212" t="s">
        <v>1135</v>
      </c>
      <c r="B180" s="48" t="s">
        <v>1136</v>
      </c>
      <c r="C180" s="214" t="s">
        <v>808</v>
      </c>
      <c r="D180" s="223" t="s">
        <v>850</v>
      </c>
      <c r="E180" s="220" t="s">
        <v>850</v>
      </c>
      <c r="F180" s="220" t="s">
        <v>850</v>
      </c>
      <c r="G180" s="221">
        <v>40</v>
      </c>
      <c r="H180" s="219">
        <v>35000</v>
      </c>
      <c r="I180" s="219">
        <v>40000</v>
      </c>
      <c r="J180" s="220" t="s">
        <v>850</v>
      </c>
      <c r="K180" s="220" t="s">
        <v>850</v>
      </c>
      <c r="L180" s="220" t="s">
        <v>850</v>
      </c>
      <c r="M180" s="220" t="s">
        <v>850</v>
      </c>
      <c r="N180" s="220" t="s">
        <v>850</v>
      </c>
      <c r="O180" s="220" t="s">
        <v>850</v>
      </c>
      <c r="P180" s="220" t="s">
        <v>850</v>
      </c>
      <c r="Q180" s="220" t="s">
        <v>850</v>
      </c>
      <c r="R180" s="220" t="s">
        <v>850</v>
      </c>
      <c r="S180" s="221">
        <v>28</v>
      </c>
      <c r="T180" s="219">
        <v>20384</v>
      </c>
      <c r="U180" s="222">
        <v>26624</v>
      </c>
      <c r="V180" s="212" t="s">
        <v>1643</v>
      </c>
      <c r="W180" s="213" t="s">
        <v>1643</v>
      </c>
      <c r="X180" s="213" t="s">
        <v>1643</v>
      </c>
      <c r="Y180" s="213" t="s">
        <v>1643</v>
      </c>
      <c r="Z180" s="213" t="s">
        <v>1643</v>
      </c>
      <c r="AA180" s="213" t="s">
        <v>1643</v>
      </c>
      <c r="AB180" s="213" t="s">
        <v>1643</v>
      </c>
      <c r="AC180" s="213" t="s">
        <v>1643</v>
      </c>
      <c r="AD180" s="213" t="s">
        <v>1644</v>
      </c>
      <c r="AE180" s="213" t="s">
        <v>1643</v>
      </c>
      <c r="AF180" s="213" t="s">
        <v>1643</v>
      </c>
      <c r="AG180" s="214" t="s">
        <v>1644</v>
      </c>
      <c r="AH180" s="212" t="s">
        <v>1644</v>
      </c>
      <c r="AI180" s="213" t="s">
        <v>1644</v>
      </c>
      <c r="AJ180" s="213" t="s">
        <v>1644</v>
      </c>
      <c r="AK180" s="213" t="s">
        <v>1644</v>
      </c>
      <c r="AL180" s="213" t="s">
        <v>1644</v>
      </c>
      <c r="AM180" s="213" t="s">
        <v>1643</v>
      </c>
      <c r="AN180" s="213" t="s">
        <v>1643</v>
      </c>
      <c r="AO180" s="213" t="s">
        <v>1643</v>
      </c>
      <c r="AP180" s="213" t="s">
        <v>1644</v>
      </c>
      <c r="AQ180" s="213" t="s">
        <v>1644</v>
      </c>
      <c r="AR180" s="213" t="s">
        <v>1643</v>
      </c>
      <c r="AS180" s="214" t="s">
        <v>1644</v>
      </c>
    </row>
    <row r="181" spans="1:45" ht="15.75" thickBot="1" x14ac:dyDescent="0.3">
      <c r="A181" s="212" t="s">
        <v>1143</v>
      </c>
      <c r="B181" s="48" t="s">
        <v>1144</v>
      </c>
      <c r="C181" s="214" t="s">
        <v>808</v>
      </c>
      <c r="D181" s="225"/>
      <c r="E181" s="226"/>
      <c r="F181" s="226"/>
      <c r="G181" s="221">
        <v>0</v>
      </c>
      <c r="H181" s="219">
        <v>22880</v>
      </c>
      <c r="I181" s="219">
        <v>31200</v>
      </c>
      <c r="J181" s="220" t="s">
        <v>850</v>
      </c>
      <c r="K181" s="220" t="s">
        <v>850</v>
      </c>
      <c r="L181" s="220" t="s">
        <v>850</v>
      </c>
      <c r="M181" s="220" t="s">
        <v>850</v>
      </c>
      <c r="N181" s="220" t="s">
        <v>850</v>
      </c>
      <c r="O181" s="220" t="s">
        <v>850</v>
      </c>
      <c r="P181" s="220" t="s">
        <v>850</v>
      </c>
      <c r="Q181" s="220" t="s">
        <v>850</v>
      </c>
      <c r="R181" s="220" t="s">
        <v>850</v>
      </c>
      <c r="S181" s="221">
        <v>29</v>
      </c>
      <c r="T181" s="219">
        <v>16588</v>
      </c>
      <c r="U181" s="222">
        <v>18096</v>
      </c>
      <c r="V181" s="212" t="s">
        <v>1643</v>
      </c>
      <c r="W181" s="213" t="s">
        <v>1643</v>
      </c>
      <c r="X181" s="213" t="s">
        <v>1643</v>
      </c>
      <c r="Y181" s="213" t="s">
        <v>1643</v>
      </c>
      <c r="Z181" s="213" t="s">
        <v>1643</v>
      </c>
      <c r="AA181" s="213" t="s">
        <v>1643</v>
      </c>
      <c r="AB181" s="213" t="s">
        <v>1643</v>
      </c>
      <c r="AC181" s="213" t="s">
        <v>1643</v>
      </c>
      <c r="AD181" s="213" t="s">
        <v>1644</v>
      </c>
      <c r="AE181" s="213" t="s">
        <v>1644</v>
      </c>
      <c r="AF181" s="213" t="s">
        <v>1643</v>
      </c>
      <c r="AG181" s="214" t="s">
        <v>1644</v>
      </c>
      <c r="AH181" s="212" t="s">
        <v>1644</v>
      </c>
      <c r="AI181" s="213" t="s">
        <v>1644</v>
      </c>
      <c r="AJ181" s="213" t="s">
        <v>1644</v>
      </c>
      <c r="AK181" s="213" t="s">
        <v>1644</v>
      </c>
      <c r="AL181" s="213" t="s">
        <v>1644</v>
      </c>
      <c r="AM181" s="213" t="s">
        <v>1643</v>
      </c>
      <c r="AN181" s="213" t="s">
        <v>1644</v>
      </c>
      <c r="AO181" s="213" t="s">
        <v>1644</v>
      </c>
      <c r="AP181" s="213" t="s">
        <v>1644</v>
      </c>
      <c r="AQ181" s="213" t="s">
        <v>1644</v>
      </c>
      <c r="AR181" s="213" t="s">
        <v>1644</v>
      </c>
      <c r="AS181" s="214" t="s">
        <v>1644</v>
      </c>
    </row>
    <row r="182" spans="1:45" ht="15.75" thickBot="1" x14ac:dyDescent="0.3">
      <c r="A182" s="212" t="s">
        <v>1163</v>
      </c>
      <c r="B182" s="48" t="s">
        <v>1164</v>
      </c>
      <c r="C182" s="214" t="s">
        <v>808</v>
      </c>
      <c r="D182" s="223" t="s">
        <v>850</v>
      </c>
      <c r="E182" s="220" t="s">
        <v>850</v>
      </c>
      <c r="F182" s="220" t="s">
        <v>850</v>
      </c>
      <c r="G182" s="220" t="s">
        <v>850</v>
      </c>
      <c r="H182" s="220" t="s">
        <v>850</v>
      </c>
      <c r="I182" s="220" t="s">
        <v>850</v>
      </c>
      <c r="J182" s="220" t="s">
        <v>850</v>
      </c>
      <c r="K182" s="220" t="s">
        <v>850</v>
      </c>
      <c r="L182" s="220" t="s">
        <v>850</v>
      </c>
      <c r="M182" s="220" t="s">
        <v>850</v>
      </c>
      <c r="N182" s="220" t="s">
        <v>850</v>
      </c>
      <c r="O182" s="220" t="s">
        <v>850</v>
      </c>
      <c r="P182" s="221">
        <v>22</v>
      </c>
      <c r="Q182" s="219">
        <v>13407</v>
      </c>
      <c r="R182" s="219">
        <v>15339</v>
      </c>
      <c r="S182" s="221">
        <v>24</v>
      </c>
      <c r="T182" s="219">
        <v>13275</v>
      </c>
      <c r="U182" s="222">
        <v>16340</v>
      </c>
      <c r="V182" s="212" t="s">
        <v>1643</v>
      </c>
      <c r="W182" s="213" t="s">
        <v>1643</v>
      </c>
      <c r="X182" s="213" t="s">
        <v>1643</v>
      </c>
      <c r="Y182" s="213" t="s">
        <v>1644</v>
      </c>
      <c r="Z182" s="213" t="s">
        <v>1643</v>
      </c>
      <c r="AA182" s="213" t="s">
        <v>1643</v>
      </c>
      <c r="AB182" s="213" t="s">
        <v>1643</v>
      </c>
      <c r="AC182" s="213" t="s">
        <v>1643</v>
      </c>
      <c r="AD182" s="213" t="s">
        <v>1644</v>
      </c>
      <c r="AE182" s="213" t="s">
        <v>1643</v>
      </c>
      <c r="AF182" s="213" t="s">
        <v>1643</v>
      </c>
      <c r="AG182" s="214" t="s">
        <v>1644</v>
      </c>
      <c r="AH182" s="212" t="s">
        <v>1644</v>
      </c>
      <c r="AI182" s="213" t="s">
        <v>1644</v>
      </c>
      <c r="AJ182" s="213" t="s">
        <v>1644</v>
      </c>
      <c r="AK182" s="213" t="s">
        <v>1644</v>
      </c>
      <c r="AL182" s="213" t="s">
        <v>1644</v>
      </c>
      <c r="AM182" s="213" t="s">
        <v>1644</v>
      </c>
      <c r="AN182" s="213" t="s">
        <v>1644</v>
      </c>
      <c r="AO182" s="213" t="s">
        <v>1644</v>
      </c>
      <c r="AP182" s="213" t="s">
        <v>1644</v>
      </c>
      <c r="AQ182" s="213" t="s">
        <v>1644</v>
      </c>
      <c r="AR182" s="213" t="s">
        <v>1644</v>
      </c>
      <c r="AS182" s="214" t="s">
        <v>1644</v>
      </c>
    </row>
    <row r="183" spans="1:45" ht="15.75" thickBot="1" x14ac:dyDescent="0.3">
      <c r="A183" s="212" t="s">
        <v>1193</v>
      </c>
      <c r="B183" s="48" t="s">
        <v>1194</v>
      </c>
      <c r="C183" s="214" t="s">
        <v>808</v>
      </c>
      <c r="D183" s="223" t="s">
        <v>850</v>
      </c>
      <c r="E183" s="220" t="s">
        <v>850</v>
      </c>
      <c r="F183" s="220" t="s">
        <v>850</v>
      </c>
      <c r="G183" s="220" t="s">
        <v>850</v>
      </c>
      <c r="H183" s="220" t="s">
        <v>850</v>
      </c>
      <c r="I183" s="220" t="s">
        <v>850</v>
      </c>
      <c r="J183" s="220" t="s">
        <v>850</v>
      </c>
      <c r="K183" s="220" t="s">
        <v>850</v>
      </c>
      <c r="L183" s="220" t="s">
        <v>850</v>
      </c>
      <c r="M183" s="220" t="s">
        <v>850</v>
      </c>
      <c r="N183" s="220" t="s">
        <v>850</v>
      </c>
      <c r="O183" s="220" t="s">
        <v>850</v>
      </c>
      <c r="P183" s="220" t="s">
        <v>850</v>
      </c>
      <c r="Q183" s="220" t="s">
        <v>850</v>
      </c>
      <c r="R183" s="220" t="s">
        <v>850</v>
      </c>
      <c r="S183" s="221">
        <v>24</v>
      </c>
      <c r="T183" s="219">
        <v>13719</v>
      </c>
      <c r="U183" s="222">
        <v>13719</v>
      </c>
      <c r="V183" s="209" t="s">
        <v>1644</v>
      </c>
      <c r="W183" s="210" t="s">
        <v>1644</v>
      </c>
      <c r="X183" s="210" t="s">
        <v>1644</v>
      </c>
      <c r="Y183" s="210" t="s">
        <v>1644</v>
      </c>
      <c r="Z183" s="210" t="s">
        <v>1644</v>
      </c>
      <c r="AA183" s="210" t="s">
        <v>1644</v>
      </c>
      <c r="AB183" s="210" t="s">
        <v>1644</v>
      </c>
      <c r="AC183" s="210" t="s">
        <v>1644</v>
      </c>
      <c r="AD183" s="210" t="s">
        <v>1644</v>
      </c>
      <c r="AE183" s="210" t="s">
        <v>1644</v>
      </c>
      <c r="AF183" s="210" t="s">
        <v>1644</v>
      </c>
      <c r="AG183" s="211" t="s">
        <v>1644</v>
      </c>
      <c r="AH183" s="209" t="s">
        <v>1644</v>
      </c>
      <c r="AI183" s="210" t="s">
        <v>1644</v>
      </c>
      <c r="AJ183" s="210" t="s">
        <v>1644</v>
      </c>
      <c r="AK183" s="210" t="s">
        <v>1644</v>
      </c>
      <c r="AL183" s="210" t="s">
        <v>1644</v>
      </c>
      <c r="AM183" s="210" t="s">
        <v>1644</v>
      </c>
      <c r="AN183" s="210" t="s">
        <v>1644</v>
      </c>
      <c r="AO183" s="210" t="s">
        <v>1644</v>
      </c>
      <c r="AP183" s="210" t="s">
        <v>1644</v>
      </c>
      <c r="AQ183" s="210" t="s">
        <v>1644</v>
      </c>
      <c r="AR183" s="210" t="s">
        <v>1644</v>
      </c>
      <c r="AS183" s="211" t="s">
        <v>1644</v>
      </c>
    </row>
    <row r="184" spans="1:45" ht="15.75" thickBot="1" x14ac:dyDescent="0.3">
      <c r="A184" s="212" t="s">
        <v>1199</v>
      </c>
      <c r="B184" s="48" t="s">
        <v>1200</v>
      </c>
      <c r="C184" s="214" t="s">
        <v>808</v>
      </c>
      <c r="D184" s="223" t="s">
        <v>850</v>
      </c>
      <c r="E184" s="220" t="s">
        <v>850</v>
      </c>
      <c r="F184" s="220" t="s">
        <v>850</v>
      </c>
      <c r="G184" s="220" t="s">
        <v>850</v>
      </c>
      <c r="H184" s="220" t="s">
        <v>850</v>
      </c>
      <c r="I184" s="220" t="s">
        <v>850</v>
      </c>
      <c r="J184" s="220" t="s">
        <v>850</v>
      </c>
      <c r="K184" s="220" t="s">
        <v>850</v>
      </c>
      <c r="L184" s="220" t="s">
        <v>850</v>
      </c>
      <c r="M184" s="220" t="s">
        <v>850</v>
      </c>
      <c r="N184" s="220" t="s">
        <v>850</v>
      </c>
      <c r="O184" s="220" t="s">
        <v>850</v>
      </c>
      <c r="P184" s="220" t="s">
        <v>850</v>
      </c>
      <c r="Q184" s="220" t="s">
        <v>850</v>
      </c>
      <c r="R184" s="220" t="s">
        <v>850</v>
      </c>
      <c r="S184" s="221">
        <v>10</v>
      </c>
      <c r="T184" s="219">
        <v>4102</v>
      </c>
      <c r="U184" s="222">
        <v>6108</v>
      </c>
      <c r="V184" s="209" t="s">
        <v>1644</v>
      </c>
      <c r="W184" s="210" t="s">
        <v>1644</v>
      </c>
      <c r="X184" s="210" t="s">
        <v>1644</v>
      </c>
      <c r="Y184" s="210" t="s">
        <v>1644</v>
      </c>
      <c r="Z184" s="210" t="s">
        <v>1644</v>
      </c>
      <c r="AA184" s="210" t="s">
        <v>1644</v>
      </c>
      <c r="AB184" s="210" t="s">
        <v>1644</v>
      </c>
      <c r="AC184" s="210" t="s">
        <v>1644</v>
      </c>
      <c r="AD184" s="210" t="s">
        <v>1644</v>
      </c>
      <c r="AE184" s="210" t="s">
        <v>1644</v>
      </c>
      <c r="AF184" s="210" t="s">
        <v>1644</v>
      </c>
      <c r="AG184" s="211" t="s">
        <v>1644</v>
      </c>
      <c r="AH184" s="212" t="s">
        <v>1644</v>
      </c>
      <c r="AI184" s="213" t="s">
        <v>1643</v>
      </c>
      <c r="AJ184" s="213" t="s">
        <v>1643</v>
      </c>
      <c r="AK184" s="213" t="s">
        <v>1643</v>
      </c>
      <c r="AL184" s="213" t="s">
        <v>1643</v>
      </c>
      <c r="AM184" s="213" t="s">
        <v>1643</v>
      </c>
      <c r="AN184" s="213" t="s">
        <v>1644</v>
      </c>
      <c r="AO184" s="213" t="s">
        <v>1643</v>
      </c>
      <c r="AP184" s="213" t="s">
        <v>1644</v>
      </c>
      <c r="AQ184" s="213" t="s">
        <v>1644</v>
      </c>
      <c r="AR184" s="213" t="s">
        <v>1643</v>
      </c>
      <c r="AS184" s="214" t="s">
        <v>1644</v>
      </c>
    </row>
    <row r="185" spans="1:45" ht="15.75" thickBot="1" x14ac:dyDescent="0.3">
      <c r="A185" s="212" t="s">
        <v>1217</v>
      </c>
      <c r="B185" s="48" t="s">
        <v>1218</v>
      </c>
      <c r="C185" s="214" t="s">
        <v>808</v>
      </c>
      <c r="D185" s="223" t="s">
        <v>850</v>
      </c>
      <c r="E185" s="220" t="s">
        <v>850</v>
      </c>
      <c r="F185" s="220" t="s">
        <v>850</v>
      </c>
      <c r="G185" s="220" t="s">
        <v>850</v>
      </c>
      <c r="H185" s="220" t="s">
        <v>850</v>
      </c>
      <c r="I185" s="220" t="s">
        <v>850</v>
      </c>
      <c r="J185" s="221">
        <v>40</v>
      </c>
      <c r="K185" s="219">
        <v>36875</v>
      </c>
      <c r="L185" s="219">
        <v>45198</v>
      </c>
      <c r="M185" s="221">
        <v>37</v>
      </c>
      <c r="N185" s="219">
        <v>32718</v>
      </c>
      <c r="O185" s="219">
        <v>41038</v>
      </c>
      <c r="P185" s="221">
        <v>24</v>
      </c>
      <c r="Q185" s="219">
        <v>27500</v>
      </c>
      <c r="R185" s="219">
        <v>36550</v>
      </c>
      <c r="S185" s="221">
        <v>29</v>
      </c>
      <c r="T185" s="219">
        <v>20280</v>
      </c>
      <c r="U185" s="222">
        <v>28080</v>
      </c>
      <c r="V185" s="212" t="s">
        <v>1643</v>
      </c>
      <c r="W185" s="213" t="s">
        <v>1644</v>
      </c>
      <c r="X185" s="213" t="s">
        <v>1644</v>
      </c>
      <c r="Y185" s="213" t="s">
        <v>1644</v>
      </c>
      <c r="Z185" s="213" t="s">
        <v>1644</v>
      </c>
      <c r="AA185" s="213" t="s">
        <v>1643</v>
      </c>
      <c r="AB185" s="213" t="s">
        <v>1643</v>
      </c>
      <c r="AC185" s="213" t="s">
        <v>1643</v>
      </c>
      <c r="AD185" s="213" t="s">
        <v>1644</v>
      </c>
      <c r="AE185" s="213" t="s">
        <v>1644</v>
      </c>
      <c r="AF185" s="213" t="s">
        <v>1644</v>
      </c>
      <c r="AG185" s="214" t="s">
        <v>1644</v>
      </c>
      <c r="AH185" s="212" t="s">
        <v>1644</v>
      </c>
      <c r="AI185" s="213" t="s">
        <v>1644</v>
      </c>
      <c r="AJ185" s="213" t="s">
        <v>1644</v>
      </c>
      <c r="AK185" s="213" t="s">
        <v>1644</v>
      </c>
      <c r="AL185" s="213" t="s">
        <v>1644</v>
      </c>
      <c r="AM185" s="213" t="s">
        <v>1644</v>
      </c>
      <c r="AN185" s="213" t="s">
        <v>1643</v>
      </c>
      <c r="AO185" s="213" t="s">
        <v>1643</v>
      </c>
      <c r="AP185" s="213" t="s">
        <v>1644</v>
      </c>
      <c r="AQ185" s="213" t="s">
        <v>1644</v>
      </c>
      <c r="AR185" s="213" t="s">
        <v>1644</v>
      </c>
      <c r="AS185" s="214" t="s">
        <v>1644</v>
      </c>
    </row>
    <row r="186" spans="1:45" ht="15.75" thickBot="1" x14ac:dyDescent="0.3">
      <c r="A186" s="212" t="s">
        <v>1229</v>
      </c>
      <c r="B186" s="48" t="s">
        <v>1230</v>
      </c>
      <c r="C186" s="214" t="s">
        <v>808</v>
      </c>
      <c r="D186" s="223" t="s">
        <v>850</v>
      </c>
      <c r="E186" s="220" t="s">
        <v>850</v>
      </c>
      <c r="F186" s="220" t="s">
        <v>850</v>
      </c>
      <c r="G186" s="220" t="s">
        <v>850</v>
      </c>
      <c r="H186" s="220" t="s">
        <v>850</v>
      </c>
      <c r="I186" s="220" t="s">
        <v>850</v>
      </c>
      <c r="J186" s="220" t="s">
        <v>850</v>
      </c>
      <c r="K186" s="220" t="s">
        <v>850</v>
      </c>
      <c r="L186" s="220" t="s">
        <v>850</v>
      </c>
      <c r="M186" s="220" t="s">
        <v>850</v>
      </c>
      <c r="N186" s="220" t="s">
        <v>850</v>
      </c>
      <c r="O186" s="220" t="s">
        <v>850</v>
      </c>
      <c r="P186" s="221">
        <v>22</v>
      </c>
      <c r="Q186" s="219">
        <v>22696</v>
      </c>
      <c r="R186" s="219">
        <v>25546</v>
      </c>
      <c r="S186" s="221">
        <v>40</v>
      </c>
      <c r="T186" s="219">
        <v>32343</v>
      </c>
      <c r="U186" s="222">
        <v>36519</v>
      </c>
      <c r="V186" s="212" t="s">
        <v>1643</v>
      </c>
      <c r="W186" s="213" t="s">
        <v>1643</v>
      </c>
      <c r="X186" s="213" t="s">
        <v>1643</v>
      </c>
      <c r="Y186" s="213" t="s">
        <v>1644</v>
      </c>
      <c r="Z186" s="213" t="s">
        <v>1643</v>
      </c>
      <c r="AA186" s="213" t="s">
        <v>1643</v>
      </c>
      <c r="AB186" s="213" t="s">
        <v>1643</v>
      </c>
      <c r="AC186" s="213" t="s">
        <v>1643</v>
      </c>
      <c r="AD186" s="213" t="s">
        <v>1643</v>
      </c>
      <c r="AE186" s="213" t="s">
        <v>1643</v>
      </c>
      <c r="AF186" s="213" t="s">
        <v>1643</v>
      </c>
      <c r="AG186" s="214" t="s">
        <v>1644</v>
      </c>
      <c r="AH186" s="212" t="s">
        <v>1644</v>
      </c>
      <c r="AI186" s="213" t="s">
        <v>1644</v>
      </c>
      <c r="AJ186" s="213" t="s">
        <v>1644</v>
      </c>
      <c r="AK186" s="213" t="s">
        <v>1644</v>
      </c>
      <c r="AL186" s="213" t="s">
        <v>1644</v>
      </c>
      <c r="AM186" s="213" t="s">
        <v>1643</v>
      </c>
      <c r="AN186" s="213" t="s">
        <v>1643</v>
      </c>
      <c r="AO186" s="213" t="s">
        <v>1643</v>
      </c>
      <c r="AP186" s="213" t="s">
        <v>1644</v>
      </c>
      <c r="AQ186" s="213" t="s">
        <v>1644</v>
      </c>
      <c r="AR186" s="213" t="s">
        <v>1644</v>
      </c>
      <c r="AS186" s="214" t="s">
        <v>1644</v>
      </c>
    </row>
    <row r="187" spans="1:45" ht="15.75" thickBot="1" x14ac:dyDescent="0.3">
      <c r="A187" s="212" t="s">
        <v>1251</v>
      </c>
      <c r="B187" s="48" t="s">
        <v>1252</v>
      </c>
      <c r="C187" s="214" t="s">
        <v>808</v>
      </c>
      <c r="D187" s="225"/>
      <c r="E187" s="226"/>
      <c r="F187" s="226"/>
      <c r="G187" s="221">
        <v>24</v>
      </c>
      <c r="H187" s="219">
        <v>14976</v>
      </c>
      <c r="I187" s="219">
        <v>19968</v>
      </c>
      <c r="J187" s="227"/>
      <c r="K187" s="226"/>
      <c r="L187" s="226"/>
      <c r="M187" s="227"/>
      <c r="N187" s="226"/>
      <c r="O187" s="226"/>
      <c r="P187" s="227"/>
      <c r="Q187" s="226"/>
      <c r="R187" s="226"/>
      <c r="S187" s="221">
        <v>18</v>
      </c>
      <c r="T187" s="219">
        <v>10296</v>
      </c>
      <c r="U187" s="222">
        <v>15912</v>
      </c>
      <c r="V187" s="209" t="s">
        <v>1644</v>
      </c>
      <c r="W187" s="210" t="s">
        <v>1644</v>
      </c>
      <c r="X187" s="210" t="s">
        <v>1644</v>
      </c>
      <c r="Y187" s="210" t="s">
        <v>1644</v>
      </c>
      <c r="Z187" s="210" t="s">
        <v>1644</v>
      </c>
      <c r="AA187" s="210" t="s">
        <v>1644</v>
      </c>
      <c r="AB187" s="210" t="s">
        <v>1644</v>
      </c>
      <c r="AC187" s="210" t="s">
        <v>1644</v>
      </c>
      <c r="AD187" s="210" t="s">
        <v>1644</v>
      </c>
      <c r="AE187" s="210" t="s">
        <v>1644</v>
      </c>
      <c r="AF187" s="213" t="s">
        <v>1643</v>
      </c>
      <c r="AG187" s="211" t="s">
        <v>1644</v>
      </c>
      <c r="AH187" s="209" t="s">
        <v>1644</v>
      </c>
      <c r="AI187" s="210" t="s">
        <v>1644</v>
      </c>
      <c r="AJ187" s="210" t="s">
        <v>1644</v>
      </c>
      <c r="AK187" s="210" t="s">
        <v>1644</v>
      </c>
      <c r="AL187" s="210" t="s">
        <v>1644</v>
      </c>
      <c r="AM187" s="210" t="s">
        <v>1644</v>
      </c>
      <c r="AN187" s="210" t="s">
        <v>1644</v>
      </c>
      <c r="AO187" s="210" t="s">
        <v>1644</v>
      </c>
      <c r="AP187" s="210" t="s">
        <v>1644</v>
      </c>
      <c r="AQ187" s="210" t="s">
        <v>1644</v>
      </c>
      <c r="AR187" s="213" t="s">
        <v>1643</v>
      </c>
      <c r="AS187" s="211" t="s">
        <v>1644</v>
      </c>
    </row>
    <row r="188" spans="1:45" ht="15.75" thickBot="1" x14ac:dyDescent="0.3">
      <c r="A188" s="212" t="s">
        <v>1257</v>
      </c>
      <c r="B188" s="48" t="s">
        <v>1258</v>
      </c>
      <c r="C188" s="214" t="s">
        <v>808</v>
      </c>
      <c r="D188" s="218">
        <v>40</v>
      </c>
      <c r="E188" s="219">
        <v>16000</v>
      </c>
      <c r="F188" s="219">
        <v>34000</v>
      </c>
      <c r="G188" s="220" t="s">
        <v>850</v>
      </c>
      <c r="H188" s="220" t="s">
        <v>850</v>
      </c>
      <c r="I188" s="220" t="s">
        <v>850</v>
      </c>
      <c r="J188" s="220" t="s">
        <v>850</v>
      </c>
      <c r="K188" s="220" t="s">
        <v>850</v>
      </c>
      <c r="L188" s="220" t="s">
        <v>850</v>
      </c>
      <c r="M188" s="220" t="s">
        <v>850</v>
      </c>
      <c r="N188" s="220" t="s">
        <v>850</v>
      </c>
      <c r="O188" s="220" t="s">
        <v>850</v>
      </c>
      <c r="P188" s="220" t="s">
        <v>850</v>
      </c>
      <c r="Q188" s="220" t="s">
        <v>850</v>
      </c>
      <c r="R188" s="220" t="s">
        <v>850</v>
      </c>
      <c r="S188" s="221">
        <v>19</v>
      </c>
      <c r="T188" s="219">
        <v>8000</v>
      </c>
      <c r="U188" s="222">
        <v>16500</v>
      </c>
      <c r="V188" s="212" t="s">
        <v>1643</v>
      </c>
      <c r="W188" s="213" t="s">
        <v>1643</v>
      </c>
      <c r="X188" s="213" t="s">
        <v>1643</v>
      </c>
      <c r="Y188" s="213" t="s">
        <v>1643</v>
      </c>
      <c r="Z188" s="213" t="s">
        <v>1643</v>
      </c>
      <c r="AA188" s="213" t="s">
        <v>1643</v>
      </c>
      <c r="AB188" s="213" t="s">
        <v>1643</v>
      </c>
      <c r="AC188" s="213" t="s">
        <v>1643</v>
      </c>
      <c r="AD188" s="213" t="s">
        <v>1643</v>
      </c>
      <c r="AE188" s="213" t="s">
        <v>1643</v>
      </c>
      <c r="AF188" s="213" t="s">
        <v>1643</v>
      </c>
      <c r="AG188" s="214" t="s">
        <v>1643</v>
      </c>
      <c r="AH188" s="212" t="s">
        <v>1644</v>
      </c>
      <c r="AI188" s="213" t="s">
        <v>1644</v>
      </c>
      <c r="AJ188" s="213" t="s">
        <v>1644</v>
      </c>
      <c r="AK188" s="213" t="s">
        <v>1643</v>
      </c>
      <c r="AL188" s="213" t="s">
        <v>1644</v>
      </c>
      <c r="AM188" s="213" t="s">
        <v>1643</v>
      </c>
      <c r="AN188" s="213" t="s">
        <v>1643</v>
      </c>
      <c r="AO188" s="213" t="s">
        <v>1643</v>
      </c>
      <c r="AP188" s="213" t="s">
        <v>1643</v>
      </c>
      <c r="AQ188" s="213" t="s">
        <v>1643</v>
      </c>
      <c r="AR188" s="213" t="s">
        <v>1643</v>
      </c>
      <c r="AS188" s="214" t="s">
        <v>1643</v>
      </c>
    </row>
    <row r="189" spans="1:45" ht="15.75" thickBot="1" x14ac:dyDescent="0.3">
      <c r="A189" s="212" t="s">
        <v>1277</v>
      </c>
      <c r="B189" s="48" t="s">
        <v>1278</v>
      </c>
      <c r="C189" s="214" t="s">
        <v>808</v>
      </c>
      <c r="D189" s="225"/>
      <c r="E189" s="226"/>
      <c r="F189" s="226"/>
      <c r="G189" s="227"/>
      <c r="H189" s="226"/>
      <c r="I189" s="226"/>
      <c r="J189" s="227"/>
      <c r="K189" s="226"/>
      <c r="L189" s="226"/>
      <c r="M189" s="221">
        <v>21</v>
      </c>
      <c r="N189" s="219">
        <v>18396</v>
      </c>
      <c r="O189" s="219">
        <v>18396</v>
      </c>
      <c r="P189" s="221">
        <v>21</v>
      </c>
      <c r="Q189" s="219">
        <v>15330</v>
      </c>
      <c r="R189" s="219">
        <v>15330</v>
      </c>
      <c r="S189" s="221">
        <v>10</v>
      </c>
      <c r="T189" s="219">
        <v>6760</v>
      </c>
      <c r="U189" s="222">
        <v>6760</v>
      </c>
      <c r="V189" s="209" t="s">
        <v>1644</v>
      </c>
      <c r="W189" s="210" t="s">
        <v>1644</v>
      </c>
      <c r="X189" s="210" t="s">
        <v>1644</v>
      </c>
      <c r="Y189" s="210" t="s">
        <v>1644</v>
      </c>
      <c r="Z189" s="210" t="s">
        <v>1644</v>
      </c>
      <c r="AA189" s="210" t="s">
        <v>1644</v>
      </c>
      <c r="AB189" s="210" t="s">
        <v>1644</v>
      </c>
      <c r="AC189" s="210" t="s">
        <v>1644</v>
      </c>
      <c r="AD189" s="210" t="s">
        <v>1644</v>
      </c>
      <c r="AE189" s="210" t="s">
        <v>1644</v>
      </c>
      <c r="AF189" s="210" t="s">
        <v>1644</v>
      </c>
      <c r="AG189" s="211" t="s">
        <v>1644</v>
      </c>
      <c r="AH189" s="212" t="s">
        <v>1644</v>
      </c>
      <c r="AI189" s="213" t="s">
        <v>1644</v>
      </c>
      <c r="AJ189" s="213" t="s">
        <v>1644</v>
      </c>
      <c r="AK189" s="213" t="s">
        <v>1644</v>
      </c>
      <c r="AL189" s="213" t="s">
        <v>1644</v>
      </c>
      <c r="AM189" s="213" t="s">
        <v>1643</v>
      </c>
      <c r="AN189" s="213" t="s">
        <v>1644</v>
      </c>
      <c r="AO189" s="213" t="s">
        <v>1644</v>
      </c>
      <c r="AP189" s="213" t="s">
        <v>1644</v>
      </c>
      <c r="AQ189" s="213" t="s">
        <v>1644</v>
      </c>
      <c r="AR189" s="213" t="s">
        <v>1644</v>
      </c>
      <c r="AS189" s="214" t="s">
        <v>1644</v>
      </c>
    </row>
    <row r="190" spans="1:45" ht="15.75" thickBot="1" x14ac:dyDescent="0.3">
      <c r="A190" s="212" t="s">
        <v>1289</v>
      </c>
      <c r="B190" s="48" t="s">
        <v>1290</v>
      </c>
      <c r="C190" s="214" t="s">
        <v>808</v>
      </c>
      <c r="D190" s="218">
        <v>30</v>
      </c>
      <c r="E190" s="219">
        <v>23400</v>
      </c>
      <c r="F190" s="219">
        <v>24180</v>
      </c>
      <c r="G190" s="227"/>
      <c r="H190" s="226"/>
      <c r="I190" s="226"/>
      <c r="J190" s="227"/>
      <c r="K190" s="226"/>
      <c r="L190" s="226"/>
      <c r="M190" s="227"/>
      <c r="N190" s="226"/>
      <c r="O190" s="226"/>
      <c r="P190" s="227"/>
      <c r="Q190" s="226"/>
      <c r="R190" s="226"/>
      <c r="S190" s="221">
        <v>20</v>
      </c>
      <c r="T190" s="219">
        <v>200</v>
      </c>
      <c r="U190" s="222">
        <v>13504</v>
      </c>
      <c r="V190" s="209" t="s">
        <v>1644</v>
      </c>
      <c r="W190" s="210" t="s">
        <v>1644</v>
      </c>
      <c r="X190" s="210" t="s">
        <v>1644</v>
      </c>
      <c r="Y190" s="210" t="s">
        <v>1644</v>
      </c>
      <c r="Z190" s="210" t="s">
        <v>1644</v>
      </c>
      <c r="AA190" s="210" t="s">
        <v>1644</v>
      </c>
      <c r="AB190" s="210" t="s">
        <v>1644</v>
      </c>
      <c r="AC190" s="210" t="s">
        <v>1644</v>
      </c>
      <c r="AD190" s="210" t="s">
        <v>1644</v>
      </c>
      <c r="AE190" s="210" t="s">
        <v>1644</v>
      </c>
      <c r="AF190" s="210" t="s">
        <v>1644</v>
      </c>
      <c r="AG190" s="211" t="s">
        <v>1644</v>
      </c>
      <c r="AH190" s="212" t="s">
        <v>1644</v>
      </c>
      <c r="AI190" s="213" t="s">
        <v>1644</v>
      </c>
      <c r="AJ190" s="213" t="s">
        <v>1644</v>
      </c>
      <c r="AK190" s="213" t="s">
        <v>1644</v>
      </c>
      <c r="AL190" s="213" t="s">
        <v>1644</v>
      </c>
      <c r="AM190" s="213" t="s">
        <v>1644</v>
      </c>
      <c r="AN190" s="213" t="s">
        <v>1643</v>
      </c>
      <c r="AO190" s="213" t="s">
        <v>1644</v>
      </c>
      <c r="AP190" s="213" t="s">
        <v>1644</v>
      </c>
      <c r="AQ190" s="213" t="s">
        <v>1644</v>
      </c>
      <c r="AR190" s="213" t="s">
        <v>1643</v>
      </c>
      <c r="AS190" s="214" t="s">
        <v>1644</v>
      </c>
    </row>
    <row r="191" spans="1:45" ht="15.75" thickBot="1" x14ac:dyDescent="0.3">
      <c r="A191" s="212" t="s">
        <v>1295</v>
      </c>
      <c r="B191" s="48" t="s">
        <v>1296</v>
      </c>
      <c r="C191" s="214" t="s">
        <v>808</v>
      </c>
      <c r="D191" s="218">
        <v>30</v>
      </c>
      <c r="E191" s="219">
        <v>18720</v>
      </c>
      <c r="F191" s="219">
        <v>22230</v>
      </c>
      <c r="G191" s="221">
        <v>30</v>
      </c>
      <c r="H191" s="219">
        <v>17160</v>
      </c>
      <c r="I191" s="219">
        <v>23353</v>
      </c>
      <c r="J191" s="220" t="s">
        <v>850</v>
      </c>
      <c r="K191" s="220" t="s">
        <v>850</v>
      </c>
      <c r="L191" s="220" t="s">
        <v>850</v>
      </c>
      <c r="M191" s="220" t="s">
        <v>850</v>
      </c>
      <c r="N191" s="220" t="s">
        <v>850</v>
      </c>
      <c r="O191" s="220" t="s">
        <v>850</v>
      </c>
      <c r="P191" s="220" t="s">
        <v>850</v>
      </c>
      <c r="Q191" s="220" t="s">
        <v>850</v>
      </c>
      <c r="R191" s="220" t="s">
        <v>850</v>
      </c>
      <c r="S191" s="221">
        <v>15</v>
      </c>
      <c r="T191" s="219">
        <v>7527</v>
      </c>
      <c r="U191" s="222">
        <v>10382</v>
      </c>
      <c r="V191" s="212" t="s">
        <v>1644</v>
      </c>
      <c r="W191" s="213" t="s">
        <v>1644</v>
      </c>
      <c r="X191" s="213" t="s">
        <v>1644</v>
      </c>
      <c r="Y191" s="213" t="s">
        <v>1644</v>
      </c>
      <c r="Z191" s="213" t="s">
        <v>1644</v>
      </c>
      <c r="AA191" s="213" t="s">
        <v>1644</v>
      </c>
      <c r="AB191" s="213" t="s">
        <v>1644</v>
      </c>
      <c r="AC191" s="213" t="s">
        <v>1644</v>
      </c>
      <c r="AD191" s="213" t="s">
        <v>1644</v>
      </c>
      <c r="AE191" s="213" t="s">
        <v>1644</v>
      </c>
      <c r="AF191" s="213" t="s">
        <v>1644</v>
      </c>
      <c r="AG191" s="214" t="s">
        <v>1644</v>
      </c>
      <c r="AH191" s="212" t="s">
        <v>1644</v>
      </c>
      <c r="AI191" s="213" t="s">
        <v>1644</v>
      </c>
      <c r="AJ191" s="213" t="s">
        <v>1644</v>
      </c>
      <c r="AK191" s="213" t="s">
        <v>1644</v>
      </c>
      <c r="AL191" s="213" t="s">
        <v>1644</v>
      </c>
      <c r="AM191" s="213" t="s">
        <v>1643</v>
      </c>
      <c r="AN191" s="213" t="s">
        <v>1644</v>
      </c>
      <c r="AO191" s="213" t="s">
        <v>1643</v>
      </c>
      <c r="AP191" s="213" t="s">
        <v>1644</v>
      </c>
      <c r="AQ191" s="213" t="s">
        <v>1644</v>
      </c>
      <c r="AR191" s="213" t="s">
        <v>1644</v>
      </c>
      <c r="AS191" s="214" t="s">
        <v>1643</v>
      </c>
    </row>
    <row r="192" spans="1:45" ht="15.75" thickBot="1" x14ac:dyDescent="0.3">
      <c r="A192" s="212" t="s">
        <v>1305</v>
      </c>
      <c r="B192" s="48" t="s">
        <v>1306</v>
      </c>
      <c r="C192" s="214" t="s">
        <v>808</v>
      </c>
      <c r="D192" s="223" t="s">
        <v>850</v>
      </c>
      <c r="E192" s="220" t="s">
        <v>850</v>
      </c>
      <c r="F192" s="220" t="s">
        <v>850</v>
      </c>
      <c r="G192" s="220" t="s">
        <v>850</v>
      </c>
      <c r="H192" s="220" t="s">
        <v>850</v>
      </c>
      <c r="I192" s="220" t="s">
        <v>850</v>
      </c>
      <c r="J192" s="221">
        <v>26</v>
      </c>
      <c r="K192" s="219">
        <v>20790</v>
      </c>
      <c r="L192" s="219">
        <v>20790</v>
      </c>
      <c r="M192" s="221">
        <v>18</v>
      </c>
      <c r="N192" s="219">
        <v>11466</v>
      </c>
      <c r="O192" s="219">
        <v>11466</v>
      </c>
      <c r="P192" s="220" t="s">
        <v>850</v>
      </c>
      <c r="Q192" s="220" t="s">
        <v>850</v>
      </c>
      <c r="R192" s="220" t="s">
        <v>850</v>
      </c>
      <c r="S192" s="227"/>
      <c r="T192" s="220"/>
      <c r="U192" s="224"/>
      <c r="V192" s="209" t="s">
        <v>1644</v>
      </c>
      <c r="W192" s="210" t="s">
        <v>1644</v>
      </c>
      <c r="X192" s="210" t="s">
        <v>1644</v>
      </c>
      <c r="Y192" s="210" t="s">
        <v>1644</v>
      </c>
      <c r="Z192" s="210" t="s">
        <v>1644</v>
      </c>
      <c r="AA192" s="210" t="s">
        <v>1644</v>
      </c>
      <c r="AB192" s="210" t="s">
        <v>1644</v>
      </c>
      <c r="AC192" s="210" t="s">
        <v>1644</v>
      </c>
      <c r="AD192" s="210" t="s">
        <v>1644</v>
      </c>
      <c r="AE192" s="210" t="s">
        <v>1644</v>
      </c>
      <c r="AF192" s="210" t="s">
        <v>1644</v>
      </c>
      <c r="AG192" s="211" t="s">
        <v>1644</v>
      </c>
      <c r="AH192" s="212" t="s">
        <v>1644</v>
      </c>
      <c r="AI192" s="213" t="s">
        <v>1644</v>
      </c>
      <c r="AJ192" s="213" t="s">
        <v>1644</v>
      </c>
      <c r="AK192" s="213" t="s">
        <v>1643</v>
      </c>
      <c r="AL192" s="213" t="s">
        <v>1644</v>
      </c>
      <c r="AM192" s="213" t="s">
        <v>1643</v>
      </c>
      <c r="AN192" s="213" t="s">
        <v>1644</v>
      </c>
      <c r="AO192" s="213" t="s">
        <v>1644</v>
      </c>
      <c r="AP192" s="213" t="s">
        <v>1643</v>
      </c>
      <c r="AQ192" s="213" t="s">
        <v>1644</v>
      </c>
      <c r="AR192" s="213" t="s">
        <v>1643</v>
      </c>
      <c r="AS192" s="214" t="s">
        <v>1644</v>
      </c>
    </row>
    <row r="193" spans="1:45" ht="15.75" thickBot="1" x14ac:dyDescent="0.3">
      <c r="A193" s="212" t="s">
        <v>1309</v>
      </c>
      <c r="B193" s="48" t="s">
        <v>1310</v>
      </c>
      <c r="C193" s="214" t="s">
        <v>808</v>
      </c>
      <c r="D193" s="218">
        <v>21</v>
      </c>
      <c r="E193" s="219">
        <v>11180</v>
      </c>
      <c r="F193" s="219">
        <v>12298</v>
      </c>
      <c r="G193" s="220" t="s">
        <v>850</v>
      </c>
      <c r="H193" s="220" t="s">
        <v>850</v>
      </c>
      <c r="I193" s="220" t="s">
        <v>850</v>
      </c>
      <c r="J193" s="220" t="s">
        <v>850</v>
      </c>
      <c r="K193" s="220" t="s">
        <v>850</v>
      </c>
      <c r="L193" s="220" t="s">
        <v>850</v>
      </c>
      <c r="M193" s="220" t="s">
        <v>850</v>
      </c>
      <c r="N193" s="220" t="s">
        <v>850</v>
      </c>
      <c r="O193" s="220" t="s">
        <v>850</v>
      </c>
      <c r="P193" s="220" t="s">
        <v>850</v>
      </c>
      <c r="Q193" s="220" t="s">
        <v>850</v>
      </c>
      <c r="R193" s="220" t="s">
        <v>850</v>
      </c>
      <c r="S193" s="221">
        <v>14</v>
      </c>
      <c r="T193" s="219">
        <v>4810</v>
      </c>
      <c r="U193" s="222">
        <v>7215</v>
      </c>
      <c r="V193" s="212" t="s">
        <v>1644</v>
      </c>
      <c r="W193" s="213" t="s">
        <v>1644</v>
      </c>
      <c r="X193" s="213" t="s">
        <v>1644</v>
      </c>
      <c r="Y193" s="213" t="s">
        <v>1644</v>
      </c>
      <c r="Z193" s="213" t="s">
        <v>1644</v>
      </c>
      <c r="AA193" s="213" t="s">
        <v>1644</v>
      </c>
      <c r="AB193" s="213" t="s">
        <v>1644</v>
      </c>
      <c r="AC193" s="213" t="s">
        <v>1644</v>
      </c>
      <c r="AD193" s="213" t="s">
        <v>1644</v>
      </c>
      <c r="AE193" s="213" t="s">
        <v>1644</v>
      </c>
      <c r="AF193" s="213" t="s">
        <v>1644</v>
      </c>
      <c r="AG193" s="214" t="s">
        <v>1644</v>
      </c>
      <c r="AH193" s="212" t="s">
        <v>1644</v>
      </c>
      <c r="AI193" s="213" t="s">
        <v>1644</v>
      </c>
      <c r="AJ193" s="213" t="s">
        <v>1644</v>
      </c>
      <c r="AK193" s="213" t="s">
        <v>1644</v>
      </c>
      <c r="AL193" s="213" t="s">
        <v>1644</v>
      </c>
      <c r="AM193" s="213" t="s">
        <v>1644</v>
      </c>
      <c r="AN193" s="213" t="s">
        <v>1644</v>
      </c>
      <c r="AO193" s="213" t="s">
        <v>1644</v>
      </c>
      <c r="AP193" s="213" t="s">
        <v>1644</v>
      </c>
      <c r="AQ193" s="213" t="s">
        <v>1644</v>
      </c>
      <c r="AR193" s="213" t="s">
        <v>1644</v>
      </c>
      <c r="AS193" s="214" t="s">
        <v>1644</v>
      </c>
    </row>
    <row r="194" spans="1:45" ht="15.75" thickBot="1" x14ac:dyDescent="0.3">
      <c r="A194" s="212" t="s">
        <v>1321</v>
      </c>
      <c r="B194" s="48" t="s">
        <v>1322</v>
      </c>
      <c r="C194" s="214" t="s">
        <v>808</v>
      </c>
      <c r="D194" s="218">
        <v>40</v>
      </c>
      <c r="E194" s="219">
        <v>35000</v>
      </c>
      <c r="F194" s="219">
        <v>45000</v>
      </c>
      <c r="G194" s="221">
        <v>37</v>
      </c>
      <c r="H194" s="219">
        <v>32728</v>
      </c>
      <c r="I194" s="219">
        <v>41411</v>
      </c>
      <c r="J194" s="221" t="s">
        <v>3453</v>
      </c>
      <c r="K194" s="219">
        <v>14</v>
      </c>
      <c r="L194" s="219">
        <v>20</v>
      </c>
      <c r="M194" s="221" t="s">
        <v>3453</v>
      </c>
      <c r="N194" s="219">
        <v>14</v>
      </c>
      <c r="O194" s="219">
        <v>20</v>
      </c>
      <c r="P194" s="221" t="s">
        <v>3453</v>
      </c>
      <c r="Q194" s="219">
        <v>32728</v>
      </c>
      <c r="R194" s="219">
        <v>41411</v>
      </c>
      <c r="S194" s="221">
        <v>25</v>
      </c>
      <c r="T194" s="219">
        <v>18200</v>
      </c>
      <c r="U194" s="222">
        <v>26000</v>
      </c>
      <c r="V194" s="212" t="s">
        <v>1644</v>
      </c>
      <c r="W194" s="213" t="s">
        <v>1643</v>
      </c>
      <c r="X194" s="213" t="s">
        <v>1643</v>
      </c>
      <c r="Y194" s="213" t="s">
        <v>1643</v>
      </c>
      <c r="Z194" s="213" t="s">
        <v>1643</v>
      </c>
      <c r="AA194" s="213" t="s">
        <v>1643</v>
      </c>
      <c r="AB194" s="213" t="s">
        <v>1643</v>
      </c>
      <c r="AC194" s="213" t="s">
        <v>1643</v>
      </c>
      <c r="AD194" s="213" t="s">
        <v>1644</v>
      </c>
      <c r="AE194" s="210" t="s">
        <v>1644</v>
      </c>
      <c r="AF194" s="213" t="s">
        <v>1644</v>
      </c>
      <c r="AG194" s="214" t="s">
        <v>1643</v>
      </c>
      <c r="AH194" s="212" t="s">
        <v>1644</v>
      </c>
      <c r="AI194" s="213" t="s">
        <v>1644</v>
      </c>
      <c r="AJ194" s="213" t="s">
        <v>1644</v>
      </c>
      <c r="AK194" s="213" t="s">
        <v>1644</v>
      </c>
      <c r="AL194" s="213" t="s">
        <v>1644</v>
      </c>
      <c r="AM194" s="213" t="s">
        <v>1644</v>
      </c>
      <c r="AN194" s="213" t="s">
        <v>1644</v>
      </c>
      <c r="AO194" s="213" t="s">
        <v>1643</v>
      </c>
      <c r="AP194" s="213" t="s">
        <v>1644</v>
      </c>
      <c r="AQ194" s="213" t="s">
        <v>1644</v>
      </c>
      <c r="AR194" s="213" t="s">
        <v>1643</v>
      </c>
      <c r="AS194" s="214" t="s">
        <v>1644</v>
      </c>
    </row>
    <row r="195" spans="1:45" ht="15.75" thickBot="1" x14ac:dyDescent="0.3">
      <c r="A195" s="212" t="s">
        <v>1339</v>
      </c>
      <c r="B195" s="48" t="s">
        <v>1340</v>
      </c>
      <c r="C195" s="214" t="s">
        <v>808</v>
      </c>
      <c r="D195" s="223" t="s">
        <v>850</v>
      </c>
      <c r="E195" s="220" t="s">
        <v>850</v>
      </c>
      <c r="F195" s="220" t="s">
        <v>850</v>
      </c>
      <c r="G195" s="221">
        <v>29</v>
      </c>
      <c r="H195" s="219">
        <v>14552</v>
      </c>
      <c r="I195" s="219">
        <v>14552</v>
      </c>
      <c r="J195" s="221">
        <v>35</v>
      </c>
      <c r="K195" s="219">
        <v>21840</v>
      </c>
      <c r="L195" s="219">
        <v>21840</v>
      </c>
      <c r="M195" s="221">
        <v>20</v>
      </c>
      <c r="N195" s="219">
        <v>9620</v>
      </c>
      <c r="O195" s="219">
        <v>10582</v>
      </c>
      <c r="P195" s="220" t="s">
        <v>850</v>
      </c>
      <c r="Q195" s="220" t="s">
        <v>850</v>
      </c>
      <c r="R195" s="220" t="s">
        <v>850</v>
      </c>
      <c r="S195" s="221">
        <v>29</v>
      </c>
      <c r="T195" s="219">
        <v>13949</v>
      </c>
      <c r="U195" s="222">
        <v>13949</v>
      </c>
      <c r="V195" s="212" t="s">
        <v>1644</v>
      </c>
      <c r="W195" s="213" t="s">
        <v>1644</v>
      </c>
      <c r="X195" s="213" t="s">
        <v>1643</v>
      </c>
      <c r="Y195" s="213" t="s">
        <v>1644</v>
      </c>
      <c r="Z195" s="213" t="s">
        <v>1644</v>
      </c>
      <c r="AA195" s="213" t="s">
        <v>1644</v>
      </c>
      <c r="AB195" s="213" t="s">
        <v>1643</v>
      </c>
      <c r="AC195" s="213" t="s">
        <v>1643</v>
      </c>
      <c r="AD195" s="213" t="s">
        <v>1644</v>
      </c>
      <c r="AE195" s="213" t="s">
        <v>1643</v>
      </c>
      <c r="AF195" s="213" t="s">
        <v>1643</v>
      </c>
      <c r="AG195" s="214" t="s">
        <v>1644</v>
      </c>
      <c r="AH195" s="212" t="s">
        <v>1644</v>
      </c>
      <c r="AI195" s="213" t="s">
        <v>1644</v>
      </c>
      <c r="AJ195" s="213" t="s">
        <v>1644</v>
      </c>
      <c r="AK195" s="213" t="s">
        <v>1644</v>
      </c>
      <c r="AL195" s="213" t="s">
        <v>1644</v>
      </c>
      <c r="AM195" s="213" t="s">
        <v>1644</v>
      </c>
      <c r="AN195" s="213" t="s">
        <v>1643</v>
      </c>
      <c r="AO195" s="213" t="s">
        <v>1643</v>
      </c>
      <c r="AP195" s="213" t="s">
        <v>1644</v>
      </c>
      <c r="AQ195" s="213" t="s">
        <v>1644</v>
      </c>
      <c r="AR195" s="213" t="s">
        <v>1643</v>
      </c>
      <c r="AS195" s="214" t="s">
        <v>1644</v>
      </c>
    </row>
    <row r="196" spans="1:45" ht="15.75" thickBot="1" x14ac:dyDescent="0.3">
      <c r="A196" s="212" t="s">
        <v>1349</v>
      </c>
      <c r="B196" s="48" t="s">
        <v>1350</v>
      </c>
      <c r="C196" s="214" t="s">
        <v>808</v>
      </c>
      <c r="D196" s="225"/>
      <c r="E196" s="226"/>
      <c r="F196" s="226"/>
      <c r="G196" s="221">
        <v>35</v>
      </c>
      <c r="H196" s="219">
        <v>46029</v>
      </c>
      <c r="I196" s="219">
        <v>46029</v>
      </c>
      <c r="J196" s="221">
        <v>22</v>
      </c>
      <c r="K196" s="219">
        <v>7020</v>
      </c>
      <c r="L196" s="219">
        <v>30449</v>
      </c>
      <c r="M196" s="227"/>
      <c r="N196" s="226"/>
      <c r="O196" s="226"/>
      <c r="P196" s="227"/>
      <c r="Q196" s="226"/>
      <c r="R196" s="226"/>
      <c r="S196" s="221">
        <v>20</v>
      </c>
      <c r="T196" s="219">
        <v>198</v>
      </c>
      <c r="U196" s="222">
        <v>30834</v>
      </c>
      <c r="V196" s="212" t="s">
        <v>1643</v>
      </c>
      <c r="W196" s="213" t="s">
        <v>1643</v>
      </c>
      <c r="X196" s="213" t="s">
        <v>1644</v>
      </c>
      <c r="Y196" s="213" t="s">
        <v>1644</v>
      </c>
      <c r="Z196" s="213" t="s">
        <v>1643</v>
      </c>
      <c r="AA196" s="213" t="s">
        <v>1643</v>
      </c>
      <c r="AB196" s="213" t="s">
        <v>1643</v>
      </c>
      <c r="AC196" s="213" t="s">
        <v>1643</v>
      </c>
      <c r="AD196" s="213" t="s">
        <v>1644</v>
      </c>
      <c r="AE196" s="213" t="s">
        <v>1644</v>
      </c>
      <c r="AF196" s="213" t="s">
        <v>1644</v>
      </c>
      <c r="AG196" s="214" t="s">
        <v>1644</v>
      </c>
      <c r="AH196" s="212" t="s">
        <v>1644</v>
      </c>
      <c r="AI196" s="213" t="s">
        <v>1644</v>
      </c>
      <c r="AJ196" s="213" t="s">
        <v>1644</v>
      </c>
      <c r="AK196" s="213" t="s">
        <v>1644</v>
      </c>
      <c r="AL196" s="213" t="s">
        <v>1644</v>
      </c>
      <c r="AM196" s="213" t="s">
        <v>1643</v>
      </c>
      <c r="AN196" s="213" t="s">
        <v>1643</v>
      </c>
      <c r="AO196" s="213" t="s">
        <v>1643</v>
      </c>
      <c r="AP196" s="213" t="s">
        <v>1644</v>
      </c>
      <c r="AQ196" s="213" t="s">
        <v>1644</v>
      </c>
      <c r="AR196" s="213" t="s">
        <v>1644</v>
      </c>
      <c r="AS196" s="214" t="s">
        <v>1644</v>
      </c>
    </row>
    <row r="197" spans="1:45" ht="15.75" thickBot="1" x14ac:dyDescent="0.3">
      <c r="A197" s="212" t="s">
        <v>1353</v>
      </c>
      <c r="B197" s="48" t="s">
        <v>1354</v>
      </c>
      <c r="C197" s="214" t="s">
        <v>808</v>
      </c>
      <c r="D197" s="225"/>
      <c r="E197" s="226"/>
      <c r="F197" s="226"/>
      <c r="G197" s="227"/>
      <c r="H197" s="226"/>
      <c r="I197" s="226"/>
      <c r="J197" s="221">
        <v>20</v>
      </c>
      <c r="K197" s="219">
        <v>14872</v>
      </c>
      <c r="L197" s="219">
        <v>17680</v>
      </c>
      <c r="M197" s="221">
        <v>22</v>
      </c>
      <c r="N197" s="219">
        <v>13842</v>
      </c>
      <c r="O197" s="219">
        <v>16016</v>
      </c>
      <c r="P197" s="227"/>
      <c r="Q197" s="226"/>
      <c r="R197" s="226"/>
      <c r="S197" s="221">
        <v>16</v>
      </c>
      <c r="T197" s="219">
        <v>8398</v>
      </c>
      <c r="U197" s="222">
        <v>9282</v>
      </c>
      <c r="V197" s="212" t="s">
        <v>1644</v>
      </c>
      <c r="W197" s="213" t="s">
        <v>1644</v>
      </c>
      <c r="X197" s="213" t="s">
        <v>1644</v>
      </c>
      <c r="Y197" s="213" t="s">
        <v>1643</v>
      </c>
      <c r="Z197" s="213" t="s">
        <v>1644</v>
      </c>
      <c r="AA197" s="213" t="s">
        <v>1644</v>
      </c>
      <c r="AB197" s="213" t="s">
        <v>1644</v>
      </c>
      <c r="AC197" s="213" t="s">
        <v>1644</v>
      </c>
      <c r="AD197" s="213" t="s">
        <v>1644</v>
      </c>
      <c r="AE197" s="213" t="s">
        <v>1644</v>
      </c>
      <c r="AF197" s="213" t="s">
        <v>1644</v>
      </c>
      <c r="AG197" s="214" t="s">
        <v>1644</v>
      </c>
      <c r="AH197" s="212" t="s">
        <v>1644</v>
      </c>
      <c r="AI197" s="213" t="s">
        <v>1644</v>
      </c>
      <c r="AJ197" s="213" t="s">
        <v>1644</v>
      </c>
      <c r="AK197" s="213" t="s">
        <v>1643</v>
      </c>
      <c r="AL197" s="213" t="s">
        <v>1644</v>
      </c>
      <c r="AM197" s="213" t="s">
        <v>1644</v>
      </c>
      <c r="AN197" s="213" t="s">
        <v>1644</v>
      </c>
      <c r="AO197" s="213" t="s">
        <v>1644</v>
      </c>
      <c r="AP197" s="213" t="s">
        <v>1644</v>
      </c>
      <c r="AQ197" s="213" t="s">
        <v>1644</v>
      </c>
      <c r="AR197" s="213" t="s">
        <v>1644</v>
      </c>
      <c r="AS197" s="214" t="s">
        <v>1644</v>
      </c>
    </row>
    <row r="198" spans="1:45" ht="15.75" thickBot="1" x14ac:dyDescent="0.3">
      <c r="A198" s="212" t="s">
        <v>1361</v>
      </c>
      <c r="B198" s="48" t="s">
        <v>1362</v>
      </c>
      <c r="C198" s="214" t="s">
        <v>808</v>
      </c>
      <c r="D198" s="218">
        <v>20</v>
      </c>
      <c r="E198" s="219">
        <v>20800</v>
      </c>
      <c r="F198" s="219">
        <v>35500</v>
      </c>
      <c r="G198" s="227"/>
      <c r="H198" s="226"/>
      <c r="I198" s="226"/>
      <c r="J198" s="227"/>
      <c r="K198" s="226"/>
      <c r="L198" s="226"/>
      <c r="M198" s="221">
        <v>20</v>
      </c>
      <c r="N198" s="219">
        <v>8320</v>
      </c>
      <c r="O198" s="219">
        <v>10000</v>
      </c>
      <c r="P198" s="221">
        <v>40</v>
      </c>
      <c r="Q198" s="219">
        <v>23000</v>
      </c>
      <c r="R198" s="219">
        <v>23000</v>
      </c>
      <c r="S198" s="227"/>
      <c r="T198" s="226"/>
      <c r="U198" s="228"/>
      <c r="V198" s="212" t="s">
        <v>1644</v>
      </c>
      <c r="W198" s="213" t="s">
        <v>1644</v>
      </c>
      <c r="X198" s="213" t="s">
        <v>1644</v>
      </c>
      <c r="Y198" s="213" t="s">
        <v>1644</v>
      </c>
      <c r="Z198" s="213" t="s">
        <v>1644</v>
      </c>
      <c r="AA198" s="213" t="s">
        <v>1643</v>
      </c>
      <c r="AB198" s="213" t="s">
        <v>1643</v>
      </c>
      <c r="AC198" s="213" t="s">
        <v>1643</v>
      </c>
      <c r="AD198" s="213" t="s">
        <v>1643</v>
      </c>
      <c r="AE198" s="213" t="s">
        <v>1644</v>
      </c>
      <c r="AF198" s="213" t="s">
        <v>1643</v>
      </c>
      <c r="AG198" s="214" t="s">
        <v>1644</v>
      </c>
      <c r="AH198" s="212" t="s">
        <v>1644</v>
      </c>
      <c r="AI198" s="213" t="s">
        <v>1644</v>
      </c>
      <c r="AJ198" s="213" t="s">
        <v>1644</v>
      </c>
      <c r="AK198" s="213" t="s">
        <v>1644</v>
      </c>
      <c r="AL198" s="213" t="s">
        <v>1644</v>
      </c>
      <c r="AM198" s="213" t="s">
        <v>1644</v>
      </c>
      <c r="AN198" s="213" t="s">
        <v>1644</v>
      </c>
      <c r="AO198" s="213" t="s">
        <v>1643</v>
      </c>
      <c r="AP198" s="213" t="s">
        <v>1644</v>
      </c>
      <c r="AQ198" s="213" t="s">
        <v>1644</v>
      </c>
      <c r="AR198" s="213" t="s">
        <v>1643</v>
      </c>
      <c r="AS198" s="214" t="s">
        <v>1644</v>
      </c>
    </row>
    <row r="199" spans="1:45" ht="15.75" thickBot="1" x14ac:dyDescent="0.3">
      <c r="A199" s="212" t="s">
        <v>1369</v>
      </c>
      <c r="B199" s="48" t="s">
        <v>1370</v>
      </c>
      <c r="C199" s="214" t="s">
        <v>808</v>
      </c>
      <c r="D199" s="218">
        <v>34</v>
      </c>
      <c r="E199" s="219">
        <v>63292</v>
      </c>
      <c r="F199" s="219">
        <v>63292</v>
      </c>
      <c r="G199" s="221">
        <v>32</v>
      </c>
      <c r="H199" s="219">
        <v>38480</v>
      </c>
      <c r="I199" s="219">
        <v>83200</v>
      </c>
      <c r="J199" s="221">
        <v>34</v>
      </c>
      <c r="K199" s="219">
        <v>42640</v>
      </c>
      <c r="L199" s="219">
        <v>104000</v>
      </c>
      <c r="M199" s="221">
        <v>28</v>
      </c>
      <c r="N199" s="219">
        <v>38480</v>
      </c>
      <c r="O199" s="219">
        <v>83200</v>
      </c>
      <c r="P199" s="220" t="s">
        <v>850</v>
      </c>
      <c r="Q199" s="220" t="s">
        <v>850</v>
      </c>
      <c r="R199" s="220" t="s">
        <v>850</v>
      </c>
      <c r="S199" s="221">
        <v>28</v>
      </c>
      <c r="T199" s="219">
        <v>21840</v>
      </c>
      <c r="U199" s="222">
        <v>43680</v>
      </c>
      <c r="V199" s="212" t="s">
        <v>1644</v>
      </c>
      <c r="W199" s="213" t="s">
        <v>1644</v>
      </c>
      <c r="X199" s="213" t="s">
        <v>1644</v>
      </c>
      <c r="Y199" s="213" t="s">
        <v>1644</v>
      </c>
      <c r="Z199" s="213" t="s">
        <v>1644</v>
      </c>
      <c r="AA199" s="213" t="s">
        <v>1643</v>
      </c>
      <c r="AB199" s="213" t="s">
        <v>1643</v>
      </c>
      <c r="AC199" s="213" t="s">
        <v>1643</v>
      </c>
      <c r="AD199" s="213" t="s">
        <v>1644</v>
      </c>
      <c r="AE199" s="213" t="s">
        <v>1644</v>
      </c>
      <c r="AF199" s="213" t="s">
        <v>1643</v>
      </c>
      <c r="AG199" s="214" t="s">
        <v>1644</v>
      </c>
      <c r="AH199" s="212" t="s">
        <v>1644</v>
      </c>
      <c r="AI199" s="213" t="s">
        <v>1644</v>
      </c>
      <c r="AJ199" s="213" t="s">
        <v>1644</v>
      </c>
      <c r="AK199" s="213" t="s">
        <v>1644</v>
      </c>
      <c r="AL199" s="213" t="s">
        <v>1644</v>
      </c>
      <c r="AM199" s="213" t="s">
        <v>1644</v>
      </c>
      <c r="AN199" s="213" t="s">
        <v>1643</v>
      </c>
      <c r="AO199" s="213" t="s">
        <v>1644</v>
      </c>
      <c r="AP199" s="213" t="s">
        <v>1644</v>
      </c>
      <c r="AQ199" s="213" t="s">
        <v>1644</v>
      </c>
      <c r="AR199" s="213" t="s">
        <v>1644</v>
      </c>
      <c r="AS199" s="214" t="s">
        <v>1644</v>
      </c>
    </row>
    <row r="200" spans="1:45" ht="15.75" thickBot="1" x14ac:dyDescent="0.3">
      <c r="A200" s="212" t="s">
        <v>1395</v>
      </c>
      <c r="B200" s="48" t="s">
        <v>1396</v>
      </c>
      <c r="C200" s="214" t="s">
        <v>808</v>
      </c>
      <c r="D200" s="218">
        <v>36</v>
      </c>
      <c r="E200" s="219">
        <v>27000</v>
      </c>
      <c r="F200" s="219">
        <v>35000</v>
      </c>
      <c r="G200" s="220" t="s">
        <v>850</v>
      </c>
      <c r="H200" s="220" t="s">
        <v>850</v>
      </c>
      <c r="I200" s="220" t="s">
        <v>850</v>
      </c>
      <c r="J200" s="221">
        <v>31</v>
      </c>
      <c r="K200" s="219">
        <v>22000</v>
      </c>
      <c r="L200" s="219">
        <v>28000</v>
      </c>
      <c r="M200" s="221">
        <v>25</v>
      </c>
      <c r="N200" s="219">
        <v>15000</v>
      </c>
      <c r="O200" s="219">
        <v>22000</v>
      </c>
      <c r="P200" s="220" t="s">
        <v>850</v>
      </c>
      <c r="Q200" s="220" t="s">
        <v>850</v>
      </c>
      <c r="R200" s="220" t="s">
        <v>850</v>
      </c>
      <c r="S200" s="221">
        <v>20</v>
      </c>
      <c r="T200" s="219">
        <v>5000</v>
      </c>
      <c r="U200" s="222">
        <v>10000</v>
      </c>
      <c r="V200" s="212" t="s">
        <v>1643</v>
      </c>
      <c r="W200" s="213" t="s">
        <v>1644</v>
      </c>
      <c r="X200" s="213" t="s">
        <v>1644</v>
      </c>
      <c r="Y200" s="213" t="s">
        <v>1643</v>
      </c>
      <c r="Z200" s="213" t="s">
        <v>1644</v>
      </c>
      <c r="AA200" s="213" t="s">
        <v>1643</v>
      </c>
      <c r="AB200" s="213" t="s">
        <v>1643</v>
      </c>
      <c r="AC200" s="213" t="s">
        <v>1643</v>
      </c>
      <c r="AD200" s="213" t="s">
        <v>1644</v>
      </c>
      <c r="AE200" s="213" t="s">
        <v>1644</v>
      </c>
      <c r="AF200" s="213" t="s">
        <v>1644</v>
      </c>
      <c r="AG200" s="214" t="s">
        <v>1644</v>
      </c>
      <c r="AH200" s="212" t="s">
        <v>1644</v>
      </c>
      <c r="AI200" s="213" t="s">
        <v>1644</v>
      </c>
      <c r="AJ200" s="213" t="s">
        <v>1644</v>
      </c>
      <c r="AK200" s="213" t="s">
        <v>1643</v>
      </c>
      <c r="AL200" s="213" t="s">
        <v>1644</v>
      </c>
      <c r="AM200" s="213" t="s">
        <v>1643</v>
      </c>
      <c r="AN200" s="213" t="s">
        <v>1643</v>
      </c>
      <c r="AO200" s="213" t="s">
        <v>1643</v>
      </c>
      <c r="AP200" s="213" t="s">
        <v>1644</v>
      </c>
      <c r="AQ200" s="213" t="s">
        <v>1644</v>
      </c>
      <c r="AR200" s="213" t="s">
        <v>1644</v>
      </c>
      <c r="AS200" s="214" t="s">
        <v>1644</v>
      </c>
    </row>
    <row r="201" spans="1:45" ht="15.75" thickBot="1" x14ac:dyDescent="0.3">
      <c r="A201" s="212" t="s">
        <v>1403</v>
      </c>
      <c r="B201" s="48" t="s">
        <v>1404</v>
      </c>
      <c r="C201" s="214" t="s">
        <v>808</v>
      </c>
      <c r="D201" s="223" t="s">
        <v>850</v>
      </c>
      <c r="E201" s="220" t="s">
        <v>850</v>
      </c>
      <c r="F201" s="220" t="s">
        <v>850</v>
      </c>
      <c r="G201" s="220" t="s">
        <v>850</v>
      </c>
      <c r="H201" s="220" t="s">
        <v>850</v>
      </c>
      <c r="I201" s="220" t="s">
        <v>850</v>
      </c>
      <c r="J201" s="220" t="s">
        <v>850</v>
      </c>
      <c r="K201" s="220" t="s">
        <v>850</v>
      </c>
      <c r="L201" s="220" t="s">
        <v>850</v>
      </c>
      <c r="M201" s="220" t="s">
        <v>850</v>
      </c>
      <c r="N201" s="220" t="s">
        <v>850</v>
      </c>
      <c r="O201" s="220" t="s">
        <v>850</v>
      </c>
      <c r="P201" s="220" t="s">
        <v>850</v>
      </c>
      <c r="Q201" s="220" t="s">
        <v>850</v>
      </c>
      <c r="R201" s="220" t="s">
        <v>850</v>
      </c>
      <c r="S201" s="220" t="s">
        <v>850</v>
      </c>
      <c r="T201" s="220" t="s">
        <v>850</v>
      </c>
      <c r="U201" s="224" t="s">
        <v>850</v>
      </c>
      <c r="V201" s="209" t="s">
        <v>1644</v>
      </c>
      <c r="W201" s="210" t="s">
        <v>1644</v>
      </c>
      <c r="X201" s="210" t="s">
        <v>1644</v>
      </c>
      <c r="Y201" s="210" t="s">
        <v>1644</v>
      </c>
      <c r="Z201" s="210" t="s">
        <v>1644</v>
      </c>
      <c r="AA201" s="210" t="s">
        <v>1644</v>
      </c>
      <c r="AB201" s="210" t="s">
        <v>1644</v>
      </c>
      <c r="AC201" s="210" t="s">
        <v>1644</v>
      </c>
      <c r="AD201" s="210" t="s">
        <v>1644</v>
      </c>
      <c r="AE201" s="210" t="s">
        <v>1644</v>
      </c>
      <c r="AF201" s="210" t="s">
        <v>1644</v>
      </c>
      <c r="AG201" s="211" t="s">
        <v>1644</v>
      </c>
      <c r="AH201" s="209" t="s">
        <v>1644</v>
      </c>
      <c r="AI201" s="210" t="s">
        <v>1644</v>
      </c>
      <c r="AJ201" s="210" t="s">
        <v>1644</v>
      </c>
      <c r="AK201" s="210" t="s">
        <v>1644</v>
      </c>
      <c r="AL201" s="210" t="s">
        <v>1644</v>
      </c>
      <c r="AM201" s="210" t="s">
        <v>1644</v>
      </c>
      <c r="AN201" s="210" t="s">
        <v>1644</v>
      </c>
      <c r="AO201" s="210" t="s">
        <v>1644</v>
      </c>
      <c r="AP201" s="210" t="s">
        <v>1644</v>
      </c>
      <c r="AQ201" s="210" t="s">
        <v>1644</v>
      </c>
      <c r="AR201" s="210" t="s">
        <v>1644</v>
      </c>
      <c r="AS201" s="211" t="s">
        <v>1644</v>
      </c>
    </row>
    <row r="202" spans="1:45" ht="15.75" thickBot="1" x14ac:dyDescent="0.3">
      <c r="A202" s="212" t="s">
        <v>1411</v>
      </c>
      <c r="B202" s="48" t="s">
        <v>1412</v>
      </c>
      <c r="C202" s="214" t="s">
        <v>808</v>
      </c>
      <c r="D202" s="218">
        <v>32</v>
      </c>
      <c r="E202" s="219">
        <v>27000</v>
      </c>
      <c r="F202" s="219">
        <v>36000</v>
      </c>
      <c r="G202" s="227"/>
      <c r="H202" s="226"/>
      <c r="I202" s="226"/>
      <c r="J202" s="221">
        <v>32</v>
      </c>
      <c r="K202" s="219">
        <v>24500</v>
      </c>
      <c r="L202" s="219">
        <v>27000</v>
      </c>
      <c r="M202" s="221">
        <v>25</v>
      </c>
      <c r="N202" s="219">
        <v>12000</v>
      </c>
      <c r="O202" s="219">
        <v>15000</v>
      </c>
      <c r="P202" s="227"/>
      <c r="Q202" s="226"/>
      <c r="R202" s="226"/>
      <c r="S202" s="221">
        <v>22</v>
      </c>
      <c r="T202" s="219">
        <v>12000</v>
      </c>
      <c r="U202" s="222">
        <v>13000</v>
      </c>
      <c r="V202" s="212" t="s">
        <v>1644</v>
      </c>
      <c r="W202" s="213" t="s">
        <v>1644</v>
      </c>
      <c r="X202" s="213" t="s">
        <v>1644</v>
      </c>
      <c r="Y202" s="213" t="s">
        <v>1644</v>
      </c>
      <c r="Z202" s="213" t="s">
        <v>1644</v>
      </c>
      <c r="AA202" s="213" t="s">
        <v>1644</v>
      </c>
      <c r="AB202" s="213" t="s">
        <v>1643</v>
      </c>
      <c r="AC202" s="213" t="s">
        <v>1643</v>
      </c>
      <c r="AD202" s="213" t="s">
        <v>1643</v>
      </c>
      <c r="AE202" s="213" t="s">
        <v>1644</v>
      </c>
      <c r="AF202" s="213" t="s">
        <v>1643</v>
      </c>
      <c r="AG202" s="214" t="s">
        <v>1644</v>
      </c>
      <c r="AH202" s="212" t="s">
        <v>1644</v>
      </c>
      <c r="AI202" s="213" t="s">
        <v>1644</v>
      </c>
      <c r="AJ202" s="213" t="s">
        <v>1644</v>
      </c>
      <c r="AK202" s="213" t="s">
        <v>1644</v>
      </c>
      <c r="AL202" s="213" t="s">
        <v>1644</v>
      </c>
      <c r="AM202" s="213" t="s">
        <v>1644</v>
      </c>
      <c r="AN202" s="213" t="s">
        <v>1643</v>
      </c>
      <c r="AO202" s="213" t="s">
        <v>1644</v>
      </c>
      <c r="AP202" s="213" t="s">
        <v>1644</v>
      </c>
      <c r="AQ202" s="213" t="s">
        <v>1644</v>
      </c>
      <c r="AR202" s="213" t="s">
        <v>1643</v>
      </c>
      <c r="AS202" s="214" t="s">
        <v>1644</v>
      </c>
    </row>
    <row r="203" spans="1:45" ht="15.75" thickBot="1" x14ac:dyDescent="0.3">
      <c r="A203" s="212" t="s">
        <v>1419</v>
      </c>
      <c r="B203" s="48" t="s">
        <v>1420</v>
      </c>
      <c r="C203" s="214" t="s">
        <v>808</v>
      </c>
      <c r="D203" s="223" t="s">
        <v>850</v>
      </c>
      <c r="E203" s="220" t="s">
        <v>850</v>
      </c>
      <c r="F203" s="220" t="s">
        <v>850</v>
      </c>
      <c r="G203" s="220" t="s">
        <v>850</v>
      </c>
      <c r="H203" s="220" t="s">
        <v>850</v>
      </c>
      <c r="I203" s="220" t="s">
        <v>850</v>
      </c>
      <c r="J203" s="220" t="s">
        <v>850</v>
      </c>
      <c r="K203" s="220" t="s">
        <v>850</v>
      </c>
      <c r="L203" s="220" t="s">
        <v>850</v>
      </c>
      <c r="M203" s="210" t="s">
        <v>3453</v>
      </c>
      <c r="N203" s="219">
        <v>10066</v>
      </c>
      <c r="O203" s="219">
        <v>21840</v>
      </c>
      <c r="P203" s="220" t="s">
        <v>850</v>
      </c>
      <c r="Q203" s="220" t="s">
        <v>850</v>
      </c>
      <c r="R203" s="220" t="s">
        <v>850</v>
      </c>
      <c r="S203" s="220" t="s">
        <v>850</v>
      </c>
      <c r="T203" s="219">
        <v>11440</v>
      </c>
      <c r="U203" s="222">
        <v>14560</v>
      </c>
      <c r="V203" s="209" t="s">
        <v>1644</v>
      </c>
      <c r="W203" s="210" t="s">
        <v>1644</v>
      </c>
      <c r="X203" s="210" t="s">
        <v>1644</v>
      </c>
      <c r="Y203" s="210" t="s">
        <v>1644</v>
      </c>
      <c r="Z203" s="210" t="s">
        <v>1644</v>
      </c>
      <c r="AA203" s="210" t="s">
        <v>1644</v>
      </c>
      <c r="AB203" s="210" t="s">
        <v>1644</v>
      </c>
      <c r="AC203" s="210" t="s">
        <v>1644</v>
      </c>
      <c r="AD203" s="210" t="s">
        <v>1644</v>
      </c>
      <c r="AE203" s="210" t="s">
        <v>1644</v>
      </c>
      <c r="AF203" s="210" t="s">
        <v>1644</v>
      </c>
      <c r="AG203" s="211" t="s">
        <v>1644</v>
      </c>
      <c r="AH203" s="209" t="s">
        <v>1644</v>
      </c>
      <c r="AI203" s="210" t="s">
        <v>1644</v>
      </c>
      <c r="AJ203" s="210" t="s">
        <v>1644</v>
      </c>
      <c r="AK203" s="210" t="s">
        <v>1644</v>
      </c>
      <c r="AL203" s="210" t="s">
        <v>1644</v>
      </c>
      <c r="AM203" s="210" t="s">
        <v>1644</v>
      </c>
      <c r="AN203" s="210" t="s">
        <v>1644</v>
      </c>
      <c r="AO203" s="210" t="s">
        <v>1644</v>
      </c>
      <c r="AP203" s="210" t="s">
        <v>1644</v>
      </c>
      <c r="AQ203" s="210" t="s">
        <v>1644</v>
      </c>
      <c r="AR203" s="210" t="s">
        <v>1644</v>
      </c>
      <c r="AS203" s="211" t="s">
        <v>1644</v>
      </c>
    </row>
    <row r="204" spans="1:45" ht="15.75" thickBot="1" x14ac:dyDescent="0.3">
      <c r="A204" s="212" t="s">
        <v>1435</v>
      </c>
      <c r="B204" s="48" t="s">
        <v>1436</v>
      </c>
      <c r="C204" s="214" t="s">
        <v>808</v>
      </c>
      <c r="D204" s="225"/>
      <c r="E204" s="226"/>
      <c r="F204" s="226"/>
      <c r="G204" s="221">
        <v>40</v>
      </c>
      <c r="H204" s="219">
        <v>31500</v>
      </c>
      <c r="I204" s="219">
        <v>37500</v>
      </c>
      <c r="J204" s="227"/>
      <c r="K204" s="226"/>
      <c r="L204" s="226"/>
      <c r="M204" s="227"/>
      <c r="N204" s="226"/>
      <c r="O204" s="226"/>
      <c r="P204" s="221">
        <v>40</v>
      </c>
      <c r="Q204" s="219">
        <v>31500</v>
      </c>
      <c r="R204" s="219">
        <v>37500</v>
      </c>
      <c r="S204" s="221">
        <v>20</v>
      </c>
      <c r="T204" s="219">
        <v>10920</v>
      </c>
      <c r="U204" s="222">
        <v>13000</v>
      </c>
      <c r="V204" s="212" t="s">
        <v>1643</v>
      </c>
      <c r="W204" s="213" t="s">
        <v>1643</v>
      </c>
      <c r="X204" s="213" t="s">
        <v>1643</v>
      </c>
      <c r="Y204" s="213" t="s">
        <v>1644</v>
      </c>
      <c r="Z204" s="213" t="s">
        <v>1643</v>
      </c>
      <c r="AA204" s="213" t="s">
        <v>1643</v>
      </c>
      <c r="AB204" s="213" t="s">
        <v>1643</v>
      </c>
      <c r="AC204" s="213" t="s">
        <v>1643</v>
      </c>
      <c r="AD204" s="213" t="s">
        <v>1644</v>
      </c>
      <c r="AE204" s="213" t="s">
        <v>1643</v>
      </c>
      <c r="AF204" s="213" t="s">
        <v>1643</v>
      </c>
      <c r="AG204" s="214" t="s">
        <v>1644</v>
      </c>
      <c r="AH204" s="212" t="s">
        <v>1644</v>
      </c>
      <c r="AI204" s="213" t="s">
        <v>1644</v>
      </c>
      <c r="AJ204" s="213" t="s">
        <v>1644</v>
      </c>
      <c r="AK204" s="213" t="s">
        <v>1644</v>
      </c>
      <c r="AL204" s="213" t="s">
        <v>1644</v>
      </c>
      <c r="AM204" s="213" t="s">
        <v>1644</v>
      </c>
      <c r="AN204" s="213" t="s">
        <v>1644</v>
      </c>
      <c r="AO204" s="213" t="s">
        <v>1644</v>
      </c>
      <c r="AP204" s="213" t="s">
        <v>1644</v>
      </c>
      <c r="AQ204" s="213" t="s">
        <v>1644</v>
      </c>
      <c r="AR204" s="213" t="s">
        <v>1644</v>
      </c>
      <c r="AS204" s="214" t="s">
        <v>1644</v>
      </c>
    </row>
    <row r="205" spans="1:45" ht="15.75" thickBot="1" x14ac:dyDescent="0.3">
      <c r="A205" s="212" t="s">
        <v>1437</v>
      </c>
      <c r="B205" s="48" t="s">
        <v>1438</v>
      </c>
      <c r="C205" s="214" t="s">
        <v>808</v>
      </c>
      <c r="D205" s="223" t="s">
        <v>850</v>
      </c>
      <c r="E205" s="220" t="s">
        <v>850</v>
      </c>
      <c r="F205" s="220" t="s">
        <v>850</v>
      </c>
      <c r="G205" s="220" t="s">
        <v>850</v>
      </c>
      <c r="H205" s="220" t="s">
        <v>850</v>
      </c>
      <c r="I205" s="220" t="s">
        <v>850</v>
      </c>
      <c r="J205" s="221">
        <v>21</v>
      </c>
      <c r="K205" s="219">
        <v>10561</v>
      </c>
      <c r="L205" s="219">
        <v>10561</v>
      </c>
      <c r="M205" s="221">
        <v>15</v>
      </c>
      <c r="N205" s="219">
        <v>3785</v>
      </c>
      <c r="O205" s="219">
        <v>6942</v>
      </c>
      <c r="P205" s="227"/>
      <c r="Q205" s="226"/>
      <c r="R205" s="226"/>
      <c r="S205" s="221">
        <v>21</v>
      </c>
      <c r="T205" s="219">
        <v>16918</v>
      </c>
      <c r="U205" s="222">
        <v>16918</v>
      </c>
      <c r="V205" s="212" t="s">
        <v>1644</v>
      </c>
      <c r="W205" s="213" t="s">
        <v>1644</v>
      </c>
      <c r="X205" s="213" t="s">
        <v>1644</v>
      </c>
      <c r="Y205" s="213" t="s">
        <v>1644</v>
      </c>
      <c r="Z205" s="213" t="s">
        <v>1644</v>
      </c>
      <c r="AA205" s="213" t="s">
        <v>1644</v>
      </c>
      <c r="AB205" s="213" t="s">
        <v>1644</v>
      </c>
      <c r="AC205" s="213" t="s">
        <v>1644</v>
      </c>
      <c r="AD205" s="213" t="s">
        <v>1644</v>
      </c>
      <c r="AE205" s="213" t="s">
        <v>1644</v>
      </c>
      <c r="AF205" s="213" t="s">
        <v>1644</v>
      </c>
      <c r="AG205" s="214" t="s">
        <v>1644</v>
      </c>
      <c r="AH205" s="212" t="s">
        <v>1644</v>
      </c>
      <c r="AI205" s="213" t="s">
        <v>1644</v>
      </c>
      <c r="AJ205" s="213" t="s">
        <v>1644</v>
      </c>
      <c r="AK205" s="213" t="s">
        <v>1644</v>
      </c>
      <c r="AL205" s="213" t="s">
        <v>1644</v>
      </c>
      <c r="AM205" s="213" t="s">
        <v>1644</v>
      </c>
      <c r="AN205" s="213" t="s">
        <v>1643</v>
      </c>
      <c r="AO205" s="213" t="s">
        <v>1643</v>
      </c>
      <c r="AP205" s="213" t="s">
        <v>1644</v>
      </c>
      <c r="AQ205" s="213" t="s">
        <v>1644</v>
      </c>
      <c r="AR205" s="213" t="s">
        <v>1643</v>
      </c>
      <c r="AS205" s="214" t="s">
        <v>1644</v>
      </c>
    </row>
    <row r="206" spans="1:45" ht="15.75" thickBot="1" x14ac:dyDescent="0.3">
      <c r="A206" s="212" t="s">
        <v>1445</v>
      </c>
      <c r="B206" s="48" t="s">
        <v>1446</v>
      </c>
      <c r="C206" s="214" t="s">
        <v>808</v>
      </c>
      <c r="D206" s="218">
        <v>33</v>
      </c>
      <c r="E206" s="219">
        <v>23423</v>
      </c>
      <c r="F206" s="219">
        <v>30521</v>
      </c>
      <c r="G206" s="220" t="s">
        <v>850</v>
      </c>
      <c r="H206" s="220" t="s">
        <v>850</v>
      </c>
      <c r="I206" s="220" t="s">
        <v>850</v>
      </c>
      <c r="J206" s="221">
        <v>26</v>
      </c>
      <c r="K206" s="219">
        <v>16697</v>
      </c>
      <c r="L206" s="219">
        <v>27614</v>
      </c>
      <c r="M206" s="221">
        <v>22</v>
      </c>
      <c r="N206" s="219">
        <v>13614</v>
      </c>
      <c r="O206" s="219">
        <v>26608</v>
      </c>
      <c r="P206" s="220" t="s">
        <v>850</v>
      </c>
      <c r="Q206" s="220" t="s">
        <v>850</v>
      </c>
      <c r="R206" s="220" t="s">
        <v>850</v>
      </c>
      <c r="S206" s="221">
        <v>14</v>
      </c>
      <c r="T206" s="219">
        <v>7280</v>
      </c>
      <c r="U206" s="222">
        <v>23360</v>
      </c>
      <c r="V206" s="212" t="s">
        <v>1644</v>
      </c>
      <c r="W206" s="213" t="s">
        <v>1644</v>
      </c>
      <c r="X206" s="213" t="s">
        <v>1644</v>
      </c>
      <c r="Y206" s="213" t="s">
        <v>1644</v>
      </c>
      <c r="Z206" s="213" t="s">
        <v>1644</v>
      </c>
      <c r="AA206" s="213" t="s">
        <v>1644</v>
      </c>
      <c r="AB206" s="213" t="s">
        <v>1643</v>
      </c>
      <c r="AC206" s="213" t="s">
        <v>1643</v>
      </c>
      <c r="AD206" s="213" t="s">
        <v>1644</v>
      </c>
      <c r="AE206" s="213" t="s">
        <v>1644</v>
      </c>
      <c r="AF206" s="213" t="s">
        <v>1644</v>
      </c>
      <c r="AG206" s="214" t="s">
        <v>1644</v>
      </c>
      <c r="AH206" s="212" t="s">
        <v>1644</v>
      </c>
      <c r="AI206" s="213" t="s">
        <v>1644</v>
      </c>
      <c r="AJ206" s="213" t="s">
        <v>1644</v>
      </c>
      <c r="AK206" s="213" t="s">
        <v>1644</v>
      </c>
      <c r="AL206" s="213" t="s">
        <v>1644</v>
      </c>
      <c r="AM206" s="213" t="s">
        <v>1644</v>
      </c>
      <c r="AN206" s="213" t="s">
        <v>1643</v>
      </c>
      <c r="AO206" s="213" t="s">
        <v>1643</v>
      </c>
      <c r="AP206" s="213" t="s">
        <v>1644</v>
      </c>
      <c r="AQ206" s="213" t="s">
        <v>1644</v>
      </c>
      <c r="AR206" s="213" t="s">
        <v>1644</v>
      </c>
      <c r="AS206" s="214" t="s">
        <v>1644</v>
      </c>
    </row>
    <row r="207" spans="1:45" ht="15.75" thickBot="1" x14ac:dyDescent="0.3">
      <c r="A207" s="212" t="s">
        <v>1451</v>
      </c>
      <c r="B207" s="48" t="s">
        <v>1452</v>
      </c>
      <c r="C207" s="214" t="s">
        <v>808</v>
      </c>
      <c r="D207" s="223" t="s">
        <v>850</v>
      </c>
      <c r="E207" s="220" t="s">
        <v>850</v>
      </c>
      <c r="F207" s="220" t="s">
        <v>850</v>
      </c>
      <c r="G207" s="220" t="s">
        <v>850</v>
      </c>
      <c r="H207" s="220" t="s">
        <v>850</v>
      </c>
      <c r="I207" s="220" t="s">
        <v>850</v>
      </c>
      <c r="J207" s="221">
        <v>20</v>
      </c>
      <c r="K207" s="219">
        <v>12500</v>
      </c>
      <c r="L207" s="219">
        <v>15000</v>
      </c>
      <c r="M207" s="221">
        <v>20</v>
      </c>
      <c r="N207" s="219">
        <v>8000</v>
      </c>
      <c r="O207" s="219">
        <v>10000</v>
      </c>
      <c r="P207" s="221">
        <v>20</v>
      </c>
      <c r="Q207" s="219">
        <v>12000</v>
      </c>
      <c r="R207" s="219">
        <v>15000</v>
      </c>
      <c r="S207" s="221">
        <v>10</v>
      </c>
      <c r="T207" s="219">
        <v>4000</v>
      </c>
      <c r="U207" s="222">
        <v>5000</v>
      </c>
      <c r="V207" s="212" t="s">
        <v>1644</v>
      </c>
      <c r="W207" s="213" t="s">
        <v>1644</v>
      </c>
      <c r="X207" s="213" t="s">
        <v>1644</v>
      </c>
      <c r="Y207" s="213" t="s">
        <v>1644</v>
      </c>
      <c r="Z207" s="213" t="s">
        <v>1644</v>
      </c>
      <c r="AA207" s="213" t="s">
        <v>1644</v>
      </c>
      <c r="AB207" s="213" t="s">
        <v>1644</v>
      </c>
      <c r="AC207" s="213" t="s">
        <v>1644</v>
      </c>
      <c r="AD207" s="213" t="s">
        <v>1644</v>
      </c>
      <c r="AE207" s="213" t="s">
        <v>1644</v>
      </c>
      <c r="AF207" s="213" t="s">
        <v>1644</v>
      </c>
      <c r="AG207" s="214" t="s">
        <v>1644</v>
      </c>
      <c r="AH207" s="212" t="s">
        <v>1644</v>
      </c>
      <c r="AI207" s="213" t="s">
        <v>1644</v>
      </c>
      <c r="AJ207" s="213" t="s">
        <v>1644</v>
      </c>
      <c r="AK207" s="213" t="s">
        <v>1644</v>
      </c>
      <c r="AL207" s="213" t="s">
        <v>1644</v>
      </c>
      <c r="AM207" s="213" t="s">
        <v>1644</v>
      </c>
      <c r="AN207" s="213" t="s">
        <v>1644</v>
      </c>
      <c r="AO207" s="213" t="s">
        <v>1644</v>
      </c>
      <c r="AP207" s="213" t="s">
        <v>1644</v>
      </c>
      <c r="AQ207" s="213" t="s">
        <v>1644</v>
      </c>
      <c r="AR207" s="213" t="s">
        <v>1644</v>
      </c>
      <c r="AS207" s="214" t="s">
        <v>1644</v>
      </c>
    </row>
    <row r="208" spans="1:45" ht="15.75" thickBot="1" x14ac:dyDescent="0.3">
      <c r="A208" s="212" t="s">
        <v>1455</v>
      </c>
      <c r="B208" s="48" t="s">
        <v>1456</v>
      </c>
      <c r="C208" s="214" t="s">
        <v>808</v>
      </c>
      <c r="D208" s="225"/>
      <c r="E208" s="226"/>
      <c r="F208" s="226"/>
      <c r="G208" s="221" t="s">
        <v>3453</v>
      </c>
      <c r="H208" s="219">
        <v>18000</v>
      </c>
      <c r="I208" s="219">
        <v>20500</v>
      </c>
      <c r="J208" s="221">
        <v>37</v>
      </c>
      <c r="K208" s="219">
        <v>20000</v>
      </c>
      <c r="L208" s="219">
        <v>39800</v>
      </c>
      <c r="M208" s="221">
        <v>10</v>
      </c>
      <c r="N208" s="219">
        <v>5200</v>
      </c>
      <c r="O208" s="219">
        <v>19000</v>
      </c>
      <c r="P208" s="221">
        <v>14</v>
      </c>
      <c r="Q208" s="219">
        <v>7200</v>
      </c>
      <c r="R208" s="219">
        <v>11000</v>
      </c>
      <c r="S208" s="221">
        <v>27</v>
      </c>
      <c r="T208" s="219">
        <v>14000</v>
      </c>
      <c r="U208" s="222">
        <v>20000</v>
      </c>
      <c r="V208" s="212" t="s">
        <v>1643</v>
      </c>
      <c r="W208" s="213" t="s">
        <v>1643</v>
      </c>
      <c r="X208" s="213" t="s">
        <v>1644</v>
      </c>
      <c r="Y208" s="213" t="s">
        <v>1643</v>
      </c>
      <c r="Z208" s="213" t="s">
        <v>1644</v>
      </c>
      <c r="AA208" s="213" t="s">
        <v>1644</v>
      </c>
      <c r="AB208" s="213" t="s">
        <v>1644</v>
      </c>
      <c r="AC208" s="213" t="s">
        <v>1643</v>
      </c>
      <c r="AD208" s="213" t="s">
        <v>1644</v>
      </c>
      <c r="AE208" s="213" t="s">
        <v>1644</v>
      </c>
      <c r="AF208" s="213" t="s">
        <v>1643</v>
      </c>
      <c r="AG208" s="214" t="s">
        <v>1644</v>
      </c>
      <c r="AH208" s="212" t="s">
        <v>1644</v>
      </c>
      <c r="AI208" s="213" t="s">
        <v>1644</v>
      </c>
      <c r="AJ208" s="213" t="s">
        <v>1644</v>
      </c>
      <c r="AK208" s="213" t="s">
        <v>1643</v>
      </c>
      <c r="AL208" s="213" t="s">
        <v>1644</v>
      </c>
      <c r="AM208" s="213" t="s">
        <v>1644</v>
      </c>
      <c r="AN208" s="213" t="s">
        <v>1644</v>
      </c>
      <c r="AO208" s="213" t="s">
        <v>1643</v>
      </c>
      <c r="AP208" s="213" t="s">
        <v>1644</v>
      </c>
      <c r="AQ208" s="213" t="s">
        <v>1644</v>
      </c>
      <c r="AR208" s="213" t="s">
        <v>1643</v>
      </c>
      <c r="AS208" s="214" t="s">
        <v>1644</v>
      </c>
    </row>
    <row r="209" spans="1:45" ht="15.75" thickBot="1" x14ac:dyDescent="0.3">
      <c r="A209" s="212" t="s">
        <v>1461</v>
      </c>
      <c r="B209" s="48" t="s">
        <v>1462</v>
      </c>
      <c r="C209" s="214" t="s">
        <v>808</v>
      </c>
      <c r="D209" s="218">
        <v>40</v>
      </c>
      <c r="E209" s="219">
        <v>34100</v>
      </c>
      <c r="F209" s="219">
        <v>34100</v>
      </c>
      <c r="G209" s="220" t="s">
        <v>850</v>
      </c>
      <c r="H209" s="220" t="s">
        <v>850</v>
      </c>
      <c r="I209" s="220" t="s">
        <v>850</v>
      </c>
      <c r="J209" s="220" t="s">
        <v>850</v>
      </c>
      <c r="K209" s="220" t="s">
        <v>850</v>
      </c>
      <c r="L209" s="220" t="s">
        <v>850</v>
      </c>
      <c r="M209" s="220" t="s">
        <v>850</v>
      </c>
      <c r="N209" s="220" t="s">
        <v>850</v>
      </c>
      <c r="O209" s="220" t="s">
        <v>850</v>
      </c>
      <c r="P209" s="220" t="s">
        <v>850</v>
      </c>
      <c r="Q209" s="220" t="s">
        <v>850</v>
      </c>
      <c r="R209" s="220" t="s">
        <v>850</v>
      </c>
      <c r="S209" s="221">
        <v>24</v>
      </c>
      <c r="T209" s="219">
        <v>12839</v>
      </c>
      <c r="U209" s="222">
        <v>14033</v>
      </c>
      <c r="V209" s="212" t="s">
        <v>1643</v>
      </c>
      <c r="W209" s="213" t="s">
        <v>1643</v>
      </c>
      <c r="X209" s="213" t="s">
        <v>1644</v>
      </c>
      <c r="Y209" s="213" t="s">
        <v>1643</v>
      </c>
      <c r="Z209" s="213" t="s">
        <v>1644</v>
      </c>
      <c r="AA209" s="213" t="s">
        <v>1644</v>
      </c>
      <c r="AB209" s="213" t="s">
        <v>1644</v>
      </c>
      <c r="AC209" s="213" t="s">
        <v>1643</v>
      </c>
      <c r="AD209" s="213" t="s">
        <v>1644</v>
      </c>
      <c r="AE209" s="213" t="s">
        <v>1644</v>
      </c>
      <c r="AF209" s="213" t="s">
        <v>1643</v>
      </c>
      <c r="AG209" s="214" t="s">
        <v>1643</v>
      </c>
      <c r="AH209" s="212" t="s">
        <v>1644</v>
      </c>
      <c r="AI209" s="213" t="s">
        <v>1644</v>
      </c>
      <c r="AJ209" s="213" t="s">
        <v>1644</v>
      </c>
      <c r="AK209" s="213" t="s">
        <v>1644</v>
      </c>
      <c r="AL209" s="213" t="s">
        <v>1644</v>
      </c>
      <c r="AM209" s="213" t="s">
        <v>1644</v>
      </c>
      <c r="AN209" s="213" t="s">
        <v>1644</v>
      </c>
      <c r="AO209" s="213" t="s">
        <v>1644</v>
      </c>
      <c r="AP209" s="213" t="s">
        <v>1644</v>
      </c>
      <c r="AQ209" s="213" t="s">
        <v>1644</v>
      </c>
      <c r="AR209" s="213" t="s">
        <v>1644</v>
      </c>
      <c r="AS209" s="214" t="s">
        <v>1644</v>
      </c>
    </row>
    <row r="210" spans="1:45" ht="15.75" thickBot="1" x14ac:dyDescent="0.3">
      <c r="A210" s="212" t="s">
        <v>1467</v>
      </c>
      <c r="B210" s="48" t="s">
        <v>1468</v>
      </c>
      <c r="C210" s="214" t="s">
        <v>808</v>
      </c>
      <c r="D210" s="218">
        <v>35</v>
      </c>
      <c r="E210" s="219">
        <v>27000</v>
      </c>
      <c r="F210" s="219">
        <v>30000</v>
      </c>
      <c r="G210" s="227"/>
      <c r="H210" s="226"/>
      <c r="I210" s="226"/>
      <c r="J210" s="221">
        <v>30</v>
      </c>
      <c r="K210" s="219">
        <v>20000</v>
      </c>
      <c r="L210" s="219">
        <v>23000</v>
      </c>
      <c r="M210" s="221">
        <v>20</v>
      </c>
      <c r="N210" s="219">
        <v>9000</v>
      </c>
      <c r="O210" s="219">
        <v>11000</v>
      </c>
      <c r="P210" s="227"/>
      <c r="Q210" s="226"/>
      <c r="R210" s="226"/>
      <c r="S210" s="221">
        <v>9</v>
      </c>
      <c r="T210" s="219">
        <v>7000</v>
      </c>
      <c r="U210" s="222">
        <v>10000</v>
      </c>
      <c r="V210" s="212" t="s">
        <v>1643</v>
      </c>
      <c r="W210" s="213" t="s">
        <v>1644</v>
      </c>
      <c r="X210" s="213" t="s">
        <v>1644</v>
      </c>
      <c r="Y210" s="213" t="s">
        <v>1644</v>
      </c>
      <c r="Z210" s="213" t="s">
        <v>1643</v>
      </c>
      <c r="AA210" s="213" t="s">
        <v>1643</v>
      </c>
      <c r="AB210" s="213" t="s">
        <v>1643</v>
      </c>
      <c r="AC210" s="213" t="s">
        <v>1643</v>
      </c>
      <c r="AD210" s="213" t="s">
        <v>1643</v>
      </c>
      <c r="AE210" s="213" t="s">
        <v>1644</v>
      </c>
      <c r="AF210" s="213" t="s">
        <v>1643</v>
      </c>
      <c r="AG210" s="214" t="s">
        <v>1643</v>
      </c>
      <c r="AH210" s="212" t="s">
        <v>1644</v>
      </c>
      <c r="AI210" s="213" t="s">
        <v>1644</v>
      </c>
      <c r="AJ210" s="213" t="s">
        <v>1644</v>
      </c>
      <c r="AK210" s="213" t="s">
        <v>1644</v>
      </c>
      <c r="AL210" s="213" t="s">
        <v>1644</v>
      </c>
      <c r="AM210" s="213" t="s">
        <v>1643</v>
      </c>
      <c r="AN210" s="213" t="s">
        <v>1643</v>
      </c>
      <c r="AO210" s="213" t="s">
        <v>1643</v>
      </c>
      <c r="AP210" s="213" t="s">
        <v>1643</v>
      </c>
      <c r="AQ210" s="213" t="s">
        <v>1644</v>
      </c>
      <c r="AR210" s="213" t="s">
        <v>1643</v>
      </c>
      <c r="AS210" s="214" t="s">
        <v>1643</v>
      </c>
    </row>
    <row r="211" spans="1:45" ht="15.75" thickBot="1" x14ac:dyDescent="0.3">
      <c r="A211" s="212" t="s">
        <v>1480</v>
      </c>
      <c r="B211" s="48" t="s">
        <v>1481</v>
      </c>
      <c r="C211" s="214" t="s">
        <v>808</v>
      </c>
      <c r="D211" s="223" t="s">
        <v>850</v>
      </c>
      <c r="E211" s="220" t="s">
        <v>850</v>
      </c>
      <c r="F211" s="220" t="s">
        <v>850</v>
      </c>
      <c r="G211" s="221">
        <v>40</v>
      </c>
      <c r="H211" s="219">
        <v>24000</v>
      </c>
      <c r="I211" s="219">
        <v>36000</v>
      </c>
      <c r="J211" s="221">
        <v>40</v>
      </c>
      <c r="K211" s="219">
        <v>24000</v>
      </c>
      <c r="L211" s="219">
        <v>42000</v>
      </c>
      <c r="M211" s="220" t="s">
        <v>850</v>
      </c>
      <c r="N211" s="220" t="s">
        <v>850</v>
      </c>
      <c r="O211" s="220" t="s">
        <v>850</v>
      </c>
      <c r="P211" s="220" t="s">
        <v>850</v>
      </c>
      <c r="Q211" s="220" t="s">
        <v>850</v>
      </c>
      <c r="R211" s="220" t="s">
        <v>850</v>
      </c>
      <c r="S211" s="221">
        <v>20</v>
      </c>
      <c r="T211" s="219">
        <v>9880</v>
      </c>
      <c r="U211" s="222">
        <v>15600</v>
      </c>
      <c r="V211" s="212" t="s">
        <v>1643</v>
      </c>
      <c r="W211" s="213" t="s">
        <v>1644</v>
      </c>
      <c r="X211" s="213" t="s">
        <v>1643</v>
      </c>
      <c r="Y211" s="213" t="s">
        <v>1643</v>
      </c>
      <c r="Z211" s="213" t="s">
        <v>1644</v>
      </c>
      <c r="AA211" s="213" t="s">
        <v>1643</v>
      </c>
      <c r="AB211" s="213" t="s">
        <v>1643</v>
      </c>
      <c r="AC211" s="213" t="s">
        <v>1643</v>
      </c>
      <c r="AD211" s="213" t="s">
        <v>1644</v>
      </c>
      <c r="AE211" s="213" t="s">
        <v>1643</v>
      </c>
      <c r="AF211" s="213" t="s">
        <v>1644</v>
      </c>
      <c r="AG211" s="214" t="s">
        <v>1644</v>
      </c>
      <c r="AH211" s="212" t="s">
        <v>1644</v>
      </c>
      <c r="AI211" s="213" t="s">
        <v>1644</v>
      </c>
      <c r="AJ211" s="213" t="s">
        <v>1644</v>
      </c>
      <c r="AK211" s="213" t="s">
        <v>1644</v>
      </c>
      <c r="AL211" s="213" t="s">
        <v>1644</v>
      </c>
      <c r="AM211" s="213" t="s">
        <v>1644</v>
      </c>
      <c r="AN211" s="213" t="s">
        <v>1644</v>
      </c>
      <c r="AO211" s="213" t="s">
        <v>1644</v>
      </c>
      <c r="AP211" s="213" t="s">
        <v>1644</v>
      </c>
      <c r="AQ211" s="213" t="s">
        <v>1644</v>
      </c>
      <c r="AR211" s="213" t="s">
        <v>1644</v>
      </c>
      <c r="AS211" s="214" t="s">
        <v>1644</v>
      </c>
    </row>
    <row r="212" spans="1:45" ht="15.75" thickBot="1" x14ac:dyDescent="0.3">
      <c r="A212" s="212" t="s">
        <v>1486</v>
      </c>
      <c r="B212" s="48" t="s">
        <v>1487</v>
      </c>
      <c r="C212" s="214" t="s">
        <v>808</v>
      </c>
      <c r="D212" s="218">
        <v>36</v>
      </c>
      <c r="E212" s="219">
        <v>35000</v>
      </c>
      <c r="F212" s="219">
        <v>40000</v>
      </c>
      <c r="G212" s="221">
        <v>33</v>
      </c>
      <c r="H212" s="219">
        <v>16500</v>
      </c>
      <c r="I212" s="219">
        <v>21500</v>
      </c>
      <c r="J212" s="221">
        <v>28</v>
      </c>
      <c r="K212" s="219">
        <v>10000</v>
      </c>
      <c r="L212" s="219">
        <v>15000</v>
      </c>
      <c r="M212" s="221">
        <v>13</v>
      </c>
      <c r="N212" s="219">
        <v>5000</v>
      </c>
      <c r="O212" s="219">
        <v>10000</v>
      </c>
      <c r="P212" s="227"/>
      <c r="Q212" s="226"/>
      <c r="R212" s="226"/>
      <c r="S212" s="227"/>
      <c r="T212" s="226"/>
      <c r="U212" s="228"/>
      <c r="V212" s="212" t="s">
        <v>1644</v>
      </c>
      <c r="W212" s="213" t="s">
        <v>1644</v>
      </c>
      <c r="X212" s="213" t="s">
        <v>1644</v>
      </c>
      <c r="Y212" s="213" t="s">
        <v>1644</v>
      </c>
      <c r="Z212" s="213" t="s">
        <v>1644</v>
      </c>
      <c r="AA212" s="213" t="s">
        <v>1643</v>
      </c>
      <c r="AB212" s="213" t="s">
        <v>1643</v>
      </c>
      <c r="AC212" s="213" t="s">
        <v>1643</v>
      </c>
      <c r="AD212" s="213" t="s">
        <v>1644</v>
      </c>
      <c r="AE212" s="213" t="s">
        <v>1644</v>
      </c>
      <c r="AF212" s="213" t="s">
        <v>1643</v>
      </c>
      <c r="AG212" s="214" t="s">
        <v>1644</v>
      </c>
      <c r="AH212" s="212" t="s">
        <v>1644</v>
      </c>
      <c r="AI212" s="213" t="s">
        <v>1644</v>
      </c>
      <c r="AJ212" s="213" t="s">
        <v>1644</v>
      </c>
      <c r="AK212" s="213" t="s">
        <v>1644</v>
      </c>
      <c r="AL212" s="213" t="s">
        <v>1644</v>
      </c>
      <c r="AM212" s="213" t="s">
        <v>1644</v>
      </c>
      <c r="AN212" s="213" t="s">
        <v>1644</v>
      </c>
      <c r="AO212" s="213" t="s">
        <v>1644</v>
      </c>
      <c r="AP212" s="213" t="s">
        <v>1644</v>
      </c>
      <c r="AQ212" s="213" t="s">
        <v>1644</v>
      </c>
      <c r="AR212" s="213" t="s">
        <v>1644</v>
      </c>
      <c r="AS212" s="214" t="s">
        <v>1644</v>
      </c>
    </row>
    <row r="213" spans="1:45" ht="15.75" thickBot="1" x14ac:dyDescent="0.3">
      <c r="A213" s="212" t="s">
        <v>1488</v>
      </c>
      <c r="B213" s="48" t="s">
        <v>1489</v>
      </c>
      <c r="C213" s="214" t="s">
        <v>808</v>
      </c>
      <c r="D213" s="223" t="s">
        <v>850</v>
      </c>
      <c r="E213" s="220" t="s">
        <v>850</v>
      </c>
      <c r="F213" s="220" t="s">
        <v>850</v>
      </c>
      <c r="G213" s="220" t="s">
        <v>850</v>
      </c>
      <c r="H213" s="220" t="s">
        <v>850</v>
      </c>
      <c r="I213" s="220" t="s">
        <v>850</v>
      </c>
      <c r="J213" s="221">
        <v>35</v>
      </c>
      <c r="K213" s="219">
        <v>26627</v>
      </c>
      <c r="L213" s="219">
        <v>27264</v>
      </c>
      <c r="M213" s="220" t="s">
        <v>850</v>
      </c>
      <c r="N213" s="220" t="s">
        <v>850</v>
      </c>
      <c r="O213" s="220" t="s">
        <v>850</v>
      </c>
      <c r="P213" s="221">
        <v>37</v>
      </c>
      <c r="Q213" s="219">
        <v>32351</v>
      </c>
      <c r="R213" s="219">
        <v>33033</v>
      </c>
      <c r="S213" s="221">
        <v>30</v>
      </c>
      <c r="T213" s="219">
        <v>19999</v>
      </c>
      <c r="U213" s="222">
        <v>20545</v>
      </c>
      <c r="V213" s="212" t="s">
        <v>1643</v>
      </c>
      <c r="W213" s="213" t="s">
        <v>1643</v>
      </c>
      <c r="X213" s="213" t="s">
        <v>1643</v>
      </c>
      <c r="Y213" s="213" t="s">
        <v>1643</v>
      </c>
      <c r="Z213" s="213" t="s">
        <v>1643</v>
      </c>
      <c r="AA213" s="213" t="s">
        <v>1643</v>
      </c>
      <c r="AB213" s="213" t="s">
        <v>1643</v>
      </c>
      <c r="AC213" s="213" t="s">
        <v>1643</v>
      </c>
      <c r="AD213" s="213" t="s">
        <v>1643</v>
      </c>
      <c r="AE213" s="213" t="s">
        <v>1644</v>
      </c>
      <c r="AF213" s="213" t="s">
        <v>1643</v>
      </c>
      <c r="AG213" s="214" t="s">
        <v>1643</v>
      </c>
      <c r="AH213" s="212" t="s">
        <v>1644</v>
      </c>
      <c r="AI213" s="213" t="s">
        <v>1644</v>
      </c>
      <c r="AJ213" s="213" t="s">
        <v>1644</v>
      </c>
      <c r="AK213" s="213" t="s">
        <v>1644</v>
      </c>
      <c r="AL213" s="213" t="s">
        <v>1644</v>
      </c>
      <c r="AM213" s="213" t="s">
        <v>1643</v>
      </c>
      <c r="AN213" s="213" t="s">
        <v>1643</v>
      </c>
      <c r="AO213" s="213" t="s">
        <v>1643</v>
      </c>
      <c r="AP213" s="213" t="s">
        <v>1643</v>
      </c>
      <c r="AQ213" s="213" t="s">
        <v>1644</v>
      </c>
      <c r="AR213" s="213" t="s">
        <v>1643</v>
      </c>
      <c r="AS213" s="214" t="s">
        <v>1643</v>
      </c>
    </row>
    <row r="214" spans="1:45" ht="15.75" thickBot="1" x14ac:dyDescent="0.3">
      <c r="A214" s="212" t="s">
        <v>1504</v>
      </c>
      <c r="B214" s="48" t="s">
        <v>1505</v>
      </c>
      <c r="C214" s="214" t="s">
        <v>808</v>
      </c>
      <c r="D214" s="218">
        <v>40</v>
      </c>
      <c r="E214" s="219">
        <v>25000</v>
      </c>
      <c r="F214" s="219">
        <v>33000</v>
      </c>
      <c r="G214" s="227"/>
      <c r="H214" s="226"/>
      <c r="I214" s="226"/>
      <c r="J214" s="227"/>
      <c r="K214" s="226"/>
      <c r="L214" s="226"/>
      <c r="M214" s="227"/>
      <c r="N214" s="226"/>
      <c r="O214" s="226"/>
      <c r="P214" s="227"/>
      <c r="Q214" s="226"/>
      <c r="R214" s="226"/>
      <c r="S214" s="221">
        <v>40</v>
      </c>
      <c r="T214" s="219">
        <v>20000</v>
      </c>
      <c r="U214" s="222">
        <v>30000</v>
      </c>
      <c r="V214" s="212" t="s">
        <v>1644</v>
      </c>
      <c r="W214" s="213" t="s">
        <v>1644</v>
      </c>
      <c r="X214" s="213" t="s">
        <v>1644</v>
      </c>
      <c r="Y214" s="213" t="s">
        <v>1644</v>
      </c>
      <c r="Z214" s="213" t="s">
        <v>1644</v>
      </c>
      <c r="AA214" s="213" t="s">
        <v>1643</v>
      </c>
      <c r="AB214" s="213" t="s">
        <v>1643</v>
      </c>
      <c r="AC214" s="213" t="s">
        <v>1643</v>
      </c>
      <c r="AD214" s="213" t="s">
        <v>1643</v>
      </c>
      <c r="AE214" s="213" t="s">
        <v>1644</v>
      </c>
      <c r="AF214" s="213" t="s">
        <v>1643</v>
      </c>
      <c r="AG214" s="214" t="s">
        <v>1644</v>
      </c>
      <c r="AH214" s="212" t="s">
        <v>1644</v>
      </c>
      <c r="AI214" s="213" t="s">
        <v>1644</v>
      </c>
      <c r="AJ214" s="213" t="s">
        <v>1644</v>
      </c>
      <c r="AK214" s="213" t="s">
        <v>1644</v>
      </c>
      <c r="AL214" s="213" t="s">
        <v>1644</v>
      </c>
      <c r="AM214" s="213" t="s">
        <v>1644</v>
      </c>
      <c r="AN214" s="213" t="s">
        <v>1644</v>
      </c>
      <c r="AO214" s="213" t="s">
        <v>1644</v>
      </c>
      <c r="AP214" s="213" t="s">
        <v>1644</v>
      </c>
      <c r="AQ214" s="213" t="s">
        <v>1644</v>
      </c>
      <c r="AR214" s="213" t="s">
        <v>1644</v>
      </c>
      <c r="AS214" s="214" t="s">
        <v>1644</v>
      </c>
    </row>
    <row r="215" spans="1:45" ht="15.75" thickBot="1" x14ac:dyDescent="0.3">
      <c r="A215" s="212" t="s">
        <v>1508</v>
      </c>
      <c r="B215" s="48" t="s">
        <v>1509</v>
      </c>
      <c r="C215" s="214" t="s">
        <v>808</v>
      </c>
      <c r="D215" s="225"/>
      <c r="E215" s="226"/>
      <c r="F215" s="226"/>
      <c r="G215" s="227"/>
      <c r="H215" s="226"/>
      <c r="I215" s="226"/>
      <c r="J215" s="227"/>
      <c r="K215" s="226"/>
      <c r="L215" s="226"/>
      <c r="M215" s="227"/>
      <c r="N215" s="226"/>
      <c r="O215" s="226"/>
      <c r="P215" s="227"/>
      <c r="Q215" s="226"/>
      <c r="R215" s="226"/>
      <c r="S215" s="221" t="s">
        <v>3453</v>
      </c>
      <c r="T215" s="219">
        <v>2101</v>
      </c>
      <c r="U215" s="222">
        <v>22973</v>
      </c>
      <c r="V215" s="209" t="s">
        <v>1644</v>
      </c>
      <c r="W215" s="210" t="s">
        <v>1644</v>
      </c>
      <c r="X215" s="210" t="s">
        <v>1644</v>
      </c>
      <c r="Y215" s="210" t="s">
        <v>1644</v>
      </c>
      <c r="Z215" s="210" t="s">
        <v>1644</v>
      </c>
      <c r="AA215" s="210" t="s">
        <v>1644</v>
      </c>
      <c r="AB215" s="210" t="s">
        <v>1644</v>
      </c>
      <c r="AC215" s="210" t="s">
        <v>1644</v>
      </c>
      <c r="AD215" s="210" t="s">
        <v>1644</v>
      </c>
      <c r="AE215" s="210" t="s">
        <v>1644</v>
      </c>
      <c r="AF215" s="210" t="s">
        <v>1644</v>
      </c>
      <c r="AG215" s="211" t="s">
        <v>1644</v>
      </c>
      <c r="AH215" s="209" t="s">
        <v>1644</v>
      </c>
      <c r="AI215" s="210" t="s">
        <v>1644</v>
      </c>
      <c r="AJ215" s="210" t="s">
        <v>1644</v>
      </c>
      <c r="AK215" s="210" t="s">
        <v>1644</v>
      </c>
      <c r="AL215" s="210" t="s">
        <v>1644</v>
      </c>
      <c r="AM215" s="210" t="s">
        <v>1644</v>
      </c>
      <c r="AN215" s="210" t="s">
        <v>1644</v>
      </c>
      <c r="AO215" s="210" t="s">
        <v>1644</v>
      </c>
      <c r="AP215" s="210" t="s">
        <v>1644</v>
      </c>
      <c r="AQ215" s="210" t="s">
        <v>1644</v>
      </c>
      <c r="AR215" s="210" t="s">
        <v>1644</v>
      </c>
      <c r="AS215" s="211" t="s">
        <v>1644</v>
      </c>
    </row>
    <row r="216" spans="1:45" ht="15.75" thickBot="1" x14ac:dyDescent="0.3">
      <c r="A216" s="212" t="s">
        <v>1510</v>
      </c>
      <c r="B216" s="48" t="s">
        <v>1511</v>
      </c>
      <c r="C216" s="214" t="s">
        <v>808</v>
      </c>
      <c r="D216" s="225"/>
      <c r="E216" s="226"/>
      <c r="F216" s="226"/>
      <c r="G216" s="220" t="s">
        <v>850</v>
      </c>
      <c r="H216" s="220" t="s">
        <v>850</v>
      </c>
      <c r="I216" s="220" t="s">
        <v>850</v>
      </c>
      <c r="J216" s="221">
        <v>40</v>
      </c>
      <c r="K216" s="219">
        <v>27040</v>
      </c>
      <c r="L216" s="219">
        <v>31200</v>
      </c>
      <c r="M216" s="221">
        <v>20</v>
      </c>
      <c r="N216" s="219">
        <v>11440</v>
      </c>
      <c r="O216" s="219">
        <v>13520</v>
      </c>
      <c r="P216" s="221">
        <v>20</v>
      </c>
      <c r="Q216" s="219">
        <v>12480</v>
      </c>
      <c r="R216" s="219">
        <v>15600</v>
      </c>
      <c r="S216" s="221">
        <v>20</v>
      </c>
      <c r="T216" s="219">
        <v>10400</v>
      </c>
      <c r="U216" s="222">
        <v>11440</v>
      </c>
      <c r="V216" s="209" t="s">
        <v>1644</v>
      </c>
      <c r="W216" s="210" t="s">
        <v>1644</v>
      </c>
      <c r="X216" s="210" t="s">
        <v>1644</v>
      </c>
      <c r="Y216" s="210" t="s">
        <v>1644</v>
      </c>
      <c r="Z216" s="210" t="s">
        <v>1644</v>
      </c>
      <c r="AA216" s="210" t="s">
        <v>1644</v>
      </c>
      <c r="AB216" s="210" t="s">
        <v>1644</v>
      </c>
      <c r="AC216" s="210" t="s">
        <v>1644</v>
      </c>
      <c r="AD216" s="210" t="s">
        <v>1644</v>
      </c>
      <c r="AE216" s="210" t="s">
        <v>1644</v>
      </c>
      <c r="AF216" s="210" t="s">
        <v>1644</v>
      </c>
      <c r="AG216" s="211" t="s">
        <v>1644</v>
      </c>
      <c r="AH216" s="209" t="s">
        <v>1644</v>
      </c>
      <c r="AI216" s="210" t="s">
        <v>1644</v>
      </c>
      <c r="AJ216" s="210" t="s">
        <v>1644</v>
      </c>
      <c r="AK216" s="210" t="s">
        <v>1644</v>
      </c>
      <c r="AL216" s="210" t="s">
        <v>1644</v>
      </c>
      <c r="AM216" s="210" t="s">
        <v>1644</v>
      </c>
      <c r="AN216" s="210" t="s">
        <v>1644</v>
      </c>
      <c r="AO216" s="210" t="s">
        <v>1644</v>
      </c>
      <c r="AP216" s="210" t="s">
        <v>1644</v>
      </c>
      <c r="AQ216" s="210" t="s">
        <v>1644</v>
      </c>
      <c r="AR216" s="210" t="s">
        <v>1644</v>
      </c>
      <c r="AS216" s="211" t="s">
        <v>1644</v>
      </c>
    </row>
    <row r="217" spans="1:45" ht="15.75" thickBot="1" x14ac:dyDescent="0.3">
      <c r="A217" s="212" t="s">
        <v>1520</v>
      </c>
      <c r="B217" s="48" t="s">
        <v>1521</v>
      </c>
      <c r="C217" s="214" t="s">
        <v>808</v>
      </c>
      <c r="D217" s="223" t="s">
        <v>850</v>
      </c>
      <c r="E217" s="220" t="s">
        <v>850</v>
      </c>
      <c r="F217" s="220" t="s">
        <v>850</v>
      </c>
      <c r="G217" s="220" t="s">
        <v>850</v>
      </c>
      <c r="H217" s="220" t="s">
        <v>850</v>
      </c>
      <c r="I217" s="220" t="s">
        <v>850</v>
      </c>
      <c r="J217" s="220" t="s">
        <v>850</v>
      </c>
      <c r="K217" s="220" t="s">
        <v>850</v>
      </c>
      <c r="L217" s="220" t="s">
        <v>850</v>
      </c>
      <c r="M217" s="220" t="s">
        <v>850</v>
      </c>
      <c r="N217" s="220" t="s">
        <v>850</v>
      </c>
      <c r="O217" s="220" t="s">
        <v>850</v>
      </c>
      <c r="P217" s="220" t="s">
        <v>850</v>
      </c>
      <c r="Q217" s="220" t="s">
        <v>850</v>
      </c>
      <c r="R217" s="220" t="s">
        <v>850</v>
      </c>
      <c r="S217" s="221">
        <v>24</v>
      </c>
      <c r="T217" s="219">
        <v>9510</v>
      </c>
      <c r="U217" s="222">
        <v>20500</v>
      </c>
      <c r="V217" s="209" t="s">
        <v>1644</v>
      </c>
      <c r="W217" s="210" t="s">
        <v>1644</v>
      </c>
      <c r="X217" s="210" t="s">
        <v>1644</v>
      </c>
      <c r="Y217" s="210" t="s">
        <v>1644</v>
      </c>
      <c r="Z217" s="210" t="s">
        <v>1644</v>
      </c>
      <c r="AA217" s="210" t="s">
        <v>1644</v>
      </c>
      <c r="AB217" s="210" t="s">
        <v>1644</v>
      </c>
      <c r="AC217" s="210" t="s">
        <v>1644</v>
      </c>
      <c r="AD217" s="210" t="s">
        <v>1644</v>
      </c>
      <c r="AE217" s="210" t="s">
        <v>1644</v>
      </c>
      <c r="AF217" s="210" t="s">
        <v>1644</v>
      </c>
      <c r="AG217" s="211" t="s">
        <v>1644</v>
      </c>
      <c r="AH217" s="212" t="s">
        <v>1644</v>
      </c>
      <c r="AI217" s="213" t="s">
        <v>1644</v>
      </c>
      <c r="AJ217" s="213" t="s">
        <v>1644</v>
      </c>
      <c r="AK217" s="213" t="s">
        <v>1644</v>
      </c>
      <c r="AL217" s="213" t="s">
        <v>1644</v>
      </c>
      <c r="AM217" s="213" t="s">
        <v>1643</v>
      </c>
      <c r="AN217" s="213" t="s">
        <v>1644</v>
      </c>
      <c r="AO217" s="213" t="s">
        <v>1644</v>
      </c>
      <c r="AP217" s="213" t="s">
        <v>1644</v>
      </c>
      <c r="AQ217" s="213" t="s">
        <v>1644</v>
      </c>
      <c r="AR217" s="213" t="s">
        <v>1644</v>
      </c>
      <c r="AS217" s="214" t="s">
        <v>1644</v>
      </c>
    </row>
    <row r="218" spans="1:45" ht="15.75" thickBot="1" x14ac:dyDescent="0.3">
      <c r="A218" s="212" t="s">
        <v>1524</v>
      </c>
      <c r="B218" s="48" t="s">
        <v>1525</v>
      </c>
      <c r="C218" s="214" t="s">
        <v>808</v>
      </c>
      <c r="D218" s="223" t="s">
        <v>850</v>
      </c>
      <c r="E218" s="220" t="s">
        <v>850</v>
      </c>
      <c r="F218" s="220" t="s">
        <v>850</v>
      </c>
      <c r="G218" s="221">
        <v>40</v>
      </c>
      <c r="H218" s="219">
        <v>30000</v>
      </c>
      <c r="I218" s="219">
        <v>36900</v>
      </c>
      <c r="J218" s="220" t="s">
        <v>850</v>
      </c>
      <c r="K218" s="220" t="s">
        <v>850</v>
      </c>
      <c r="L218" s="220" t="s">
        <v>850</v>
      </c>
      <c r="M218" s="220" t="s">
        <v>850</v>
      </c>
      <c r="N218" s="220" t="s">
        <v>850</v>
      </c>
      <c r="O218" s="220" t="s">
        <v>850</v>
      </c>
      <c r="P218" s="220" t="s">
        <v>850</v>
      </c>
      <c r="Q218" s="220" t="s">
        <v>850</v>
      </c>
      <c r="R218" s="220" t="s">
        <v>850</v>
      </c>
      <c r="S218" s="221">
        <v>20</v>
      </c>
      <c r="T218" s="219">
        <v>10441</v>
      </c>
      <c r="U218" s="222">
        <v>16900</v>
      </c>
      <c r="V218" s="212" t="s">
        <v>1643</v>
      </c>
      <c r="W218" s="213" t="s">
        <v>1643</v>
      </c>
      <c r="X218" s="213" t="s">
        <v>1644</v>
      </c>
      <c r="Y218" s="213" t="s">
        <v>1644</v>
      </c>
      <c r="Z218" s="213" t="s">
        <v>1643</v>
      </c>
      <c r="AA218" s="213" t="s">
        <v>1643</v>
      </c>
      <c r="AB218" s="213" t="s">
        <v>1643</v>
      </c>
      <c r="AC218" s="213" t="s">
        <v>1643</v>
      </c>
      <c r="AD218" s="213" t="s">
        <v>1644</v>
      </c>
      <c r="AE218" s="213" t="s">
        <v>1643</v>
      </c>
      <c r="AF218" s="213" t="s">
        <v>1644</v>
      </c>
      <c r="AG218" s="214" t="s">
        <v>1644</v>
      </c>
      <c r="AH218" s="212" t="s">
        <v>1644</v>
      </c>
      <c r="AI218" s="213" t="s">
        <v>1644</v>
      </c>
      <c r="AJ218" s="213" t="s">
        <v>1644</v>
      </c>
      <c r="AK218" s="213" t="s">
        <v>1644</v>
      </c>
      <c r="AL218" s="213" t="s">
        <v>1644</v>
      </c>
      <c r="AM218" s="213" t="s">
        <v>1644</v>
      </c>
      <c r="AN218" s="213" t="s">
        <v>1644</v>
      </c>
      <c r="AO218" s="213" t="s">
        <v>1644</v>
      </c>
      <c r="AP218" s="213" t="s">
        <v>1644</v>
      </c>
      <c r="AQ218" s="213" t="s">
        <v>1644</v>
      </c>
      <c r="AR218" s="213" t="s">
        <v>1644</v>
      </c>
      <c r="AS218" s="214" t="s">
        <v>1644</v>
      </c>
    </row>
    <row r="219" spans="1:45" ht="15.75" thickBot="1" x14ac:dyDescent="0.3">
      <c r="A219" s="212" t="s">
        <v>1526</v>
      </c>
      <c r="B219" s="48" t="s">
        <v>1527</v>
      </c>
      <c r="C219" s="214" t="s">
        <v>808</v>
      </c>
      <c r="D219" s="225"/>
      <c r="E219" s="226"/>
      <c r="F219" s="226"/>
      <c r="G219" s="227"/>
      <c r="H219" s="226"/>
      <c r="I219" s="226"/>
      <c r="J219" s="227"/>
      <c r="K219" s="226"/>
      <c r="L219" s="226"/>
      <c r="M219" s="221">
        <v>14</v>
      </c>
      <c r="N219" s="219">
        <v>7000</v>
      </c>
      <c r="O219" s="219">
        <v>8000</v>
      </c>
      <c r="P219" s="220" t="s">
        <v>850</v>
      </c>
      <c r="Q219" s="220" t="s">
        <v>850</v>
      </c>
      <c r="R219" s="220" t="s">
        <v>850</v>
      </c>
      <c r="S219" s="221">
        <v>14</v>
      </c>
      <c r="T219" s="219">
        <v>7000</v>
      </c>
      <c r="U219" s="222">
        <v>8000</v>
      </c>
      <c r="V219" s="209" t="s">
        <v>1644</v>
      </c>
      <c r="W219" s="210" t="s">
        <v>1644</v>
      </c>
      <c r="X219" s="210" t="s">
        <v>1644</v>
      </c>
      <c r="Y219" s="210" t="s">
        <v>1644</v>
      </c>
      <c r="Z219" s="210" t="s">
        <v>1644</v>
      </c>
      <c r="AA219" s="210" t="s">
        <v>1644</v>
      </c>
      <c r="AB219" s="210" t="s">
        <v>1644</v>
      </c>
      <c r="AC219" s="210" t="s">
        <v>1644</v>
      </c>
      <c r="AD219" s="210" t="s">
        <v>1644</v>
      </c>
      <c r="AE219" s="210" t="s">
        <v>1644</v>
      </c>
      <c r="AF219" s="210" t="s">
        <v>1644</v>
      </c>
      <c r="AG219" s="211" t="s">
        <v>1644</v>
      </c>
      <c r="AH219" s="212" t="s">
        <v>1644</v>
      </c>
      <c r="AI219" s="213" t="s">
        <v>1644</v>
      </c>
      <c r="AJ219" s="213" t="s">
        <v>1644</v>
      </c>
      <c r="AK219" s="213" t="s">
        <v>1644</v>
      </c>
      <c r="AL219" s="213" t="s">
        <v>1644</v>
      </c>
      <c r="AM219" s="213" t="s">
        <v>1644</v>
      </c>
      <c r="AN219" s="213" t="s">
        <v>1644</v>
      </c>
      <c r="AO219" s="213" t="s">
        <v>1644</v>
      </c>
      <c r="AP219" s="213" t="s">
        <v>1644</v>
      </c>
      <c r="AQ219" s="213" t="s">
        <v>1644</v>
      </c>
      <c r="AR219" s="213" t="s">
        <v>1644</v>
      </c>
      <c r="AS219" s="214" t="s">
        <v>1644</v>
      </c>
    </row>
    <row r="220" spans="1:45" ht="15.75" thickBot="1" x14ac:dyDescent="0.3">
      <c r="A220" s="212" t="s">
        <v>1534</v>
      </c>
      <c r="B220" s="48" t="s">
        <v>1535</v>
      </c>
      <c r="C220" s="214" t="s">
        <v>808</v>
      </c>
      <c r="D220" s="218">
        <v>40</v>
      </c>
      <c r="E220" s="219">
        <v>38400</v>
      </c>
      <c r="F220" s="219">
        <v>38400</v>
      </c>
      <c r="G220" s="227"/>
      <c r="H220" s="226"/>
      <c r="I220" s="226"/>
      <c r="J220" s="227"/>
      <c r="K220" s="226"/>
      <c r="L220" s="226"/>
      <c r="M220" s="221">
        <v>24</v>
      </c>
      <c r="N220" s="219">
        <v>13248</v>
      </c>
      <c r="O220" s="219">
        <v>16128</v>
      </c>
      <c r="P220" s="227"/>
      <c r="Q220" s="226"/>
      <c r="R220" s="226"/>
      <c r="S220" s="221">
        <v>21</v>
      </c>
      <c r="T220" s="219">
        <v>10080</v>
      </c>
      <c r="U220" s="222">
        <v>14112</v>
      </c>
      <c r="V220" s="212" t="s">
        <v>1643</v>
      </c>
      <c r="W220" s="213" t="s">
        <v>1643</v>
      </c>
      <c r="X220" s="213" t="s">
        <v>1644</v>
      </c>
      <c r="Y220" s="213" t="s">
        <v>1644</v>
      </c>
      <c r="Z220" s="213" t="s">
        <v>1643</v>
      </c>
      <c r="AA220" s="213" t="s">
        <v>1644</v>
      </c>
      <c r="AB220" s="213" t="s">
        <v>1643</v>
      </c>
      <c r="AC220" s="213" t="s">
        <v>1643</v>
      </c>
      <c r="AD220" s="213" t="s">
        <v>1644</v>
      </c>
      <c r="AE220" s="213" t="s">
        <v>1644</v>
      </c>
      <c r="AF220" s="213" t="s">
        <v>1643</v>
      </c>
      <c r="AG220" s="214" t="s">
        <v>1644</v>
      </c>
      <c r="AH220" s="212" t="s">
        <v>1644</v>
      </c>
      <c r="AI220" s="213" t="s">
        <v>1644</v>
      </c>
      <c r="AJ220" s="213" t="s">
        <v>1644</v>
      </c>
      <c r="AK220" s="213" t="s">
        <v>1644</v>
      </c>
      <c r="AL220" s="213" t="s">
        <v>1644</v>
      </c>
      <c r="AM220" s="213" t="s">
        <v>1644</v>
      </c>
      <c r="AN220" s="213" t="s">
        <v>1643</v>
      </c>
      <c r="AO220" s="213" t="s">
        <v>1643</v>
      </c>
      <c r="AP220" s="213" t="s">
        <v>1644</v>
      </c>
      <c r="AQ220" s="213" t="s">
        <v>1644</v>
      </c>
      <c r="AR220" s="213" t="s">
        <v>1643</v>
      </c>
      <c r="AS220" s="214" t="s">
        <v>1644</v>
      </c>
    </row>
    <row r="221" spans="1:45" ht="15.75" thickBot="1" x14ac:dyDescent="0.3">
      <c r="A221" s="212" t="s">
        <v>1562</v>
      </c>
      <c r="B221" s="48" t="s">
        <v>1563</v>
      </c>
      <c r="C221" s="214" t="s">
        <v>808</v>
      </c>
      <c r="D221" s="223" t="s">
        <v>850</v>
      </c>
      <c r="E221" s="220" t="s">
        <v>850</v>
      </c>
      <c r="F221" s="220" t="s">
        <v>850</v>
      </c>
      <c r="G221" s="220" t="s">
        <v>850</v>
      </c>
      <c r="H221" s="220" t="s">
        <v>850</v>
      </c>
      <c r="I221" s="220" t="s">
        <v>850</v>
      </c>
      <c r="J221" s="220" t="s">
        <v>850</v>
      </c>
      <c r="K221" s="220" t="s">
        <v>850</v>
      </c>
      <c r="L221" s="220" t="s">
        <v>850</v>
      </c>
      <c r="M221" s="221">
        <v>19</v>
      </c>
      <c r="N221" s="219">
        <v>10008</v>
      </c>
      <c r="O221" s="219">
        <v>11200</v>
      </c>
      <c r="P221" s="220" t="s">
        <v>850</v>
      </c>
      <c r="Q221" s="220" t="s">
        <v>850</v>
      </c>
      <c r="R221" s="220" t="s">
        <v>850</v>
      </c>
      <c r="S221" s="221">
        <v>20</v>
      </c>
      <c r="T221" s="219">
        <v>9700</v>
      </c>
      <c r="U221" s="222">
        <v>11500</v>
      </c>
      <c r="V221" s="209" t="s">
        <v>1644</v>
      </c>
      <c r="W221" s="210" t="s">
        <v>1644</v>
      </c>
      <c r="X221" s="210" t="s">
        <v>1644</v>
      </c>
      <c r="Y221" s="210" t="s">
        <v>1644</v>
      </c>
      <c r="Z221" s="210" t="s">
        <v>1644</v>
      </c>
      <c r="AA221" s="210" t="s">
        <v>1644</v>
      </c>
      <c r="AB221" s="210" t="s">
        <v>1644</v>
      </c>
      <c r="AC221" s="210" t="s">
        <v>1644</v>
      </c>
      <c r="AD221" s="210" t="s">
        <v>1644</v>
      </c>
      <c r="AE221" s="210" t="s">
        <v>1644</v>
      </c>
      <c r="AF221" s="210" t="s">
        <v>1644</v>
      </c>
      <c r="AG221" s="211" t="s">
        <v>1644</v>
      </c>
      <c r="AH221" s="209" t="s">
        <v>1644</v>
      </c>
      <c r="AI221" s="210" t="s">
        <v>1644</v>
      </c>
      <c r="AJ221" s="213" t="s">
        <v>1643</v>
      </c>
      <c r="AK221" s="213" t="s">
        <v>1643</v>
      </c>
      <c r="AL221" s="210" t="s">
        <v>1644</v>
      </c>
      <c r="AM221" s="210" t="s">
        <v>1644</v>
      </c>
      <c r="AN221" s="210" t="s">
        <v>1644</v>
      </c>
      <c r="AO221" s="210" t="s">
        <v>1644</v>
      </c>
      <c r="AP221" s="210" t="s">
        <v>1644</v>
      </c>
      <c r="AQ221" s="210" t="s">
        <v>1644</v>
      </c>
      <c r="AR221" s="210" t="s">
        <v>1644</v>
      </c>
      <c r="AS221" s="211" t="s">
        <v>1644</v>
      </c>
    </row>
    <row r="222" spans="1:45" ht="15.75" thickBot="1" x14ac:dyDescent="0.3">
      <c r="A222" s="212" t="s">
        <v>1576</v>
      </c>
      <c r="B222" s="48" t="s">
        <v>1577</v>
      </c>
      <c r="C222" s="214" t="s">
        <v>808</v>
      </c>
      <c r="D222" s="218">
        <v>40</v>
      </c>
      <c r="E222" s="219">
        <v>35000</v>
      </c>
      <c r="F222" s="219">
        <v>38500</v>
      </c>
      <c r="G222" s="221">
        <v>40</v>
      </c>
      <c r="H222" s="219">
        <v>22880</v>
      </c>
      <c r="I222" s="219">
        <v>31200</v>
      </c>
      <c r="J222" s="221">
        <v>40</v>
      </c>
      <c r="K222" s="219">
        <v>24960</v>
      </c>
      <c r="L222" s="219">
        <v>32240</v>
      </c>
      <c r="M222" s="221">
        <v>20</v>
      </c>
      <c r="N222" s="219">
        <v>11440</v>
      </c>
      <c r="O222" s="219">
        <v>14560</v>
      </c>
      <c r="P222" s="220" t="s">
        <v>850</v>
      </c>
      <c r="Q222" s="220" t="s">
        <v>850</v>
      </c>
      <c r="R222" s="220" t="s">
        <v>850</v>
      </c>
      <c r="S222" s="221">
        <v>15</v>
      </c>
      <c r="T222" s="219">
        <v>7527</v>
      </c>
      <c r="U222" s="222">
        <v>8580</v>
      </c>
      <c r="V222" s="212" t="s">
        <v>1643</v>
      </c>
      <c r="W222" s="213" t="s">
        <v>1644</v>
      </c>
      <c r="X222" s="213" t="s">
        <v>1644</v>
      </c>
      <c r="Y222" s="213" t="s">
        <v>1643</v>
      </c>
      <c r="Z222" s="213" t="s">
        <v>1644</v>
      </c>
      <c r="AA222" s="213" t="s">
        <v>1643</v>
      </c>
      <c r="AB222" s="213" t="s">
        <v>1643</v>
      </c>
      <c r="AC222" s="213" t="s">
        <v>1643</v>
      </c>
      <c r="AD222" s="213" t="s">
        <v>1644</v>
      </c>
      <c r="AE222" s="213" t="s">
        <v>1643</v>
      </c>
      <c r="AF222" s="213" t="s">
        <v>1643</v>
      </c>
      <c r="AG222" s="214" t="s">
        <v>1644</v>
      </c>
      <c r="AH222" s="212" t="s">
        <v>1644</v>
      </c>
      <c r="AI222" s="213" t="s">
        <v>1644</v>
      </c>
      <c r="AJ222" s="213" t="s">
        <v>1644</v>
      </c>
      <c r="AK222" s="213" t="s">
        <v>1644</v>
      </c>
      <c r="AL222" s="213" t="s">
        <v>1644</v>
      </c>
      <c r="AM222" s="213" t="s">
        <v>1644</v>
      </c>
      <c r="AN222" s="213" t="s">
        <v>1644</v>
      </c>
      <c r="AO222" s="213" t="s">
        <v>1644</v>
      </c>
      <c r="AP222" s="213" t="s">
        <v>1644</v>
      </c>
      <c r="AQ222" s="213" t="s">
        <v>1644</v>
      </c>
      <c r="AR222" s="213" t="s">
        <v>1644</v>
      </c>
      <c r="AS222" s="214" t="s">
        <v>1644</v>
      </c>
    </row>
    <row r="223" spans="1:45" ht="15.75" thickBot="1" x14ac:dyDescent="0.3">
      <c r="A223" s="212" t="s">
        <v>1578</v>
      </c>
      <c r="B223" s="48" t="s">
        <v>1579</v>
      </c>
      <c r="C223" s="214" t="s">
        <v>808</v>
      </c>
      <c r="D223" s="218">
        <v>35</v>
      </c>
      <c r="E223" s="219">
        <v>30000</v>
      </c>
      <c r="F223" s="219">
        <v>45000</v>
      </c>
      <c r="G223" s="221">
        <v>40</v>
      </c>
      <c r="H223" s="219">
        <v>20000</v>
      </c>
      <c r="I223" s="219">
        <v>39000</v>
      </c>
      <c r="J223" s="220" t="s">
        <v>850</v>
      </c>
      <c r="K223" s="220" t="s">
        <v>850</v>
      </c>
      <c r="L223" s="220" t="s">
        <v>850</v>
      </c>
      <c r="M223" s="220" t="s">
        <v>850</v>
      </c>
      <c r="N223" s="220" t="s">
        <v>850</v>
      </c>
      <c r="O223" s="220" t="s">
        <v>850</v>
      </c>
      <c r="P223" s="221">
        <v>20</v>
      </c>
      <c r="Q223" s="219">
        <v>10000</v>
      </c>
      <c r="R223" s="219">
        <v>26000</v>
      </c>
      <c r="S223" s="221">
        <v>40</v>
      </c>
      <c r="T223" s="219">
        <v>20800</v>
      </c>
      <c r="U223" s="222">
        <v>36000</v>
      </c>
      <c r="V223" s="212" t="s">
        <v>1643</v>
      </c>
      <c r="W223" s="213" t="s">
        <v>1643</v>
      </c>
      <c r="X223" s="213" t="s">
        <v>1644</v>
      </c>
      <c r="Y223" s="210" t="s">
        <v>1644</v>
      </c>
      <c r="Z223" s="213" t="s">
        <v>1643</v>
      </c>
      <c r="AA223" s="213" t="s">
        <v>1643</v>
      </c>
      <c r="AB223" s="213" t="s">
        <v>1643</v>
      </c>
      <c r="AC223" s="213" t="s">
        <v>1643</v>
      </c>
      <c r="AD223" s="213" t="s">
        <v>1644</v>
      </c>
      <c r="AE223" s="213" t="s">
        <v>1644</v>
      </c>
      <c r="AF223" s="213" t="s">
        <v>1643</v>
      </c>
      <c r="AG223" s="214" t="s">
        <v>1644</v>
      </c>
      <c r="AH223" s="212" t="s">
        <v>1644</v>
      </c>
      <c r="AI223" s="213" t="s">
        <v>1644</v>
      </c>
      <c r="AJ223" s="213" t="s">
        <v>1644</v>
      </c>
      <c r="AK223" s="213" t="s">
        <v>1644</v>
      </c>
      <c r="AL223" s="213" t="s">
        <v>1644</v>
      </c>
      <c r="AM223" s="213" t="s">
        <v>1643</v>
      </c>
      <c r="AN223" s="213" t="s">
        <v>1644</v>
      </c>
      <c r="AO223" s="213" t="s">
        <v>1643</v>
      </c>
      <c r="AP223" s="213" t="s">
        <v>1644</v>
      </c>
      <c r="AQ223" s="213" t="s">
        <v>1644</v>
      </c>
      <c r="AR223" s="213" t="s">
        <v>1644</v>
      </c>
      <c r="AS223" s="214" t="s">
        <v>1644</v>
      </c>
    </row>
    <row r="224" spans="1:45" ht="15.75" thickBot="1" x14ac:dyDescent="0.3">
      <c r="A224" s="212" t="s">
        <v>1582</v>
      </c>
      <c r="B224" s="48" t="s">
        <v>1583</v>
      </c>
      <c r="C224" s="214" t="s">
        <v>808</v>
      </c>
      <c r="D224" s="218">
        <v>34</v>
      </c>
      <c r="E224" s="219">
        <v>33535</v>
      </c>
      <c r="F224" s="219">
        <v>33535</v>
      </c>
      <c r="G224" s="227"/>
      <c r="H224" s="226"/>
      <c r="I224" s="226"/>
      <c r="J224" s="221">
        <v>34</v>
      </c>
      <c r="K224" s="219">
        <v>28240</v>
      </c>
      <c r="L224" s="219">
        <v>28240</v>
      </c>
      <c r="M224" s="221">
        <v>28</v>
      </c>
      <c r="N224" s="219">
        <v>16224</v>
      </c>
      <c r="O224" s="219">
        <v>17000</v>
      </c>
      <c r="P224" s="227"/>
      <c r="Q224" s="226"/>
      <c r="R224" s="226"/>
      <c r="S224" s="221">
        <v>20</v>
      </c>
      <c r="T224" s="219">
        <v>16016</v>
      </c>
      <c r="U224" s="222">
        <v>16224</v>
      </c>
      <c r="V224" s="212" t="s">
        <v>1644</v>
      </c>
      <c r="W224" s="213" t="s">
        <v>1644</v>
      </c>
      <c r="X224" s="213" t="s">
        <v>1643</v>
      </c>
      <c r="Y224" s="213" t="s">
        <v>1643</v>
      </c>
      <c r="Z224" s="213" t="s">
        <v>1644</v>
      </c>
      <c r="AA224" s="213" t="s">
        <v>1643</v>
      </c>
      <c r="AB224" s="213" t="s">
        <v>1643</v>
      </c>
      <c r="AC224" s="213" t="s">
        <v>1643</v>
      </c>
      <c r="AD224" s="213" t="s">
        <v>1643</v>
      </c>
      <c r="AE224" s="213" t="s">
        <v>1643</v>
      </c>
      <c r="AF224" s="213" t="s">
        <v>1643</v>
      </c>
      <c r="AG224" s="214" t="s">
        <v>1644</v>
      </c>
      <c r="AH224" s="212" t="s">
        <v>1644</v>
      </c>
      <c r="AI224" s="213" t="s">
        <v>1644</v>
      </c>
      <c r="AJ224" s="213" t="s">
        <v>1644</v>
      </c>
      <c r="AK224" s="213" t="s">
        <v>1644</v>
      </c>
      <c r="AL224" s="213" t="s">
        <v>1644</v>
      </c>
      <c r="AM224" s="213" t="s">
        <v>1644</v>
      </c>
      <c r="AN224" s="213" t="s">
        <v>1644</v>
      </c>
      <c r="AO224" s="213" t="s">
        <v>1643</v>
      </c>
      <c r="AP224" s="213" t="s">
        <v>1644</v>
      </c>
      <c r="AQ224" s="213" t="s">
        <v>1644</v>
      </c>
      <c r="AR224" s="213" t="s">
        <v>1644</v>
      </c>
      <c r="AS224" s="214" t="s">
        <v>1644</v>
      </c>
    </row>
    <row r="225" spans="1:45" ht="15.75" thickBot="1" x14ac:dyDescent="0.3">
      <c r="A225" s="212" t="s">
        <v>1584</v>
      </c>
      <c r="B225" s="48" t="s">
        <v>1585</v>
      </c>
      <c r="C225" s="214" t="s">
        <v>808</v>
      </c>
      <c r="D225" s="218">
        <v>40</v>
      </c>
      <c r="E225" s="219">
        <v>27883</v>
      </c>
      <c r="F225" s="219">
        <v>34080</v>
      </c>
      <c r="G225" s="220" t="s">
        <v>850</v>
      </c>
      <c r="H225" s="220" t="s">
        <v>850</v>
      </c>
      <c r="I225" s="220" t="s">
        <v>850</v>
      </c>
      <c r="J225" s="221">
        <v>26</v>
      </c>
      <c r="K225" s="219">
        <v>16000</v>
      </c>
      <c r="L225" s="219">
        <v>18000</v>
      </c>
      <c r="M225" s="221">
        <v>17</v>
      </c>
      <c r="N225" s="219">
        <v>10200</v>
      </c>
      <c r="O225" s="219">
        <v>11200</v>
      </c>
      <c r="P225" s="220" t="s">
        <v>850</v>
      </c>
      <c r="Q225" s="220" t="s">
        <v>850</v>
      </c>
      <c r="R225" s="220" t="s">
        <v>850</v>
      </c>
      <c r="S225" s="221">
        <v>12</v>
      </c>
      <c r="T225" s="219">
        <v>6300</v>
      </c>
      <c r="U225" s="222">
        <v>6800</v>
      </c>
      <c r="V225" s="212" t="s">
        <v>1644</v>
      </c>
      <c r="W225" s="213" t="s">
        <v>1644</v>
      </c>
      <c r="X225" s="213" t="s">
        <v>1644</v>
      </c>
      <c r="Y225" s="213" t="s">
        <v>1644</v>
      </c>
      <c r="Z225" s="213" t="s">
        <v>1644</v>
      </c>
      <c r="AA225" s="213" t="s">
        <v>1643</v>
      </c>
      <c r="AB225" s="213" t="s">
        <v>1643</v>
      </c>
      <c r="AC225" s="213" t="s">
        <v>1643</v>
      </c>
      <c r="AD225" s="213" t="s">
        <v>1644</v>
      </c>
      <c r="AE225" s="213" t="s">
        <v>1644</v>
      </c>
      <c r="AF225" s="213" t="s">
        <v>1644</v>
      </c>
      <c r="AG225" s="214" t="s">
        <v>1644</v>
      </c>
      <c r="AH225" s="212" t="s">
        <v>1644</v>
      </c>
      <c r="AI225" s="213" t="s">
        <v>1644</v>
      </c>
      <c r="AJ225" s="213" t="s">
        <v>1644</v>
      </c>
      <c r="AK225" s="213" t="s">
        <v>1644</v>
      </c>
      <c r="AL225" s="213" t="s">
        <v>1644</v>
      </c>
      <c r="AM225" s="213" t="s">
        <v>1643</v>
      </c>
      <c r="AN225" s="213" t="s">
        <v>1643</v>
      </c>
      <c r="AO225" s="213" t="s">
        <v>1644</v>
      </c>
      <c r="AP225" s="213" t="s">
        <v>1644</v>
      </c>
      <c r="AQ225" s="213" t="s">
        <v>1644</v>
      </c>
      <c r="AR225" s="213" t="s">
        <v>1644</v>
      </c>
      <c r="AS225" s="214" t="s">
        <v>1644</v>
      </c>
    </row>
    <row r="226" spans="1:45" ht="15.75" thickBot="1" x14ac:dyDescent="0.3">
      <c r="A226" s="212" t="s">
        <v>1590</v>
      </c>
      <c r="B226" s="48" t="s">
        <v>1591</v>
      </c>
      <c r="C226" s="214" t="s">
        <v>808</v>
      </c>
      <c r="D226" s="218">
        <v>34</v>
      </c>
      <c r="E226" s="219">
        <v>25742</v>
      </c>
      <c r="F226" s="219">
        <v>27657</v>
      </c>
      <c r="G226" s="221">
        <v>28</v>
      </c>
      <c r="H226" s="219">
        <v>14283</v>
      </c>
      <c r="I226" s="219">
        <v>14283</v>
      </c>
      <c r="J226" s="221">
        <v>21</v>
      </c>
      <c r="K226" s="219">
        <v>10900</v>
      </c>
      <c r="L226" s="219">
        <v>11857</v>
      </c>
      <c r="M226" s="221">
        <v>21</v>
      </c>
      <c r="N226" s="219">
        <v>11616</v>
      </c>
      <c r="O226" s="219">
        <v>11616</v>
      </c>
      <c r="P226" s="220" t="s">
        <v>850</v>
      </c>
      <c r="Q226" s="219">
        <v>1240</v>
      </c>
      <c r="R226" s="220" t="s">
        <v>850</v>
      </c>
      <c r="S226" s="221">
        <v>10</v>
      </c>
      <c r="T226" s="219">
        <v>5432</v>
      </c>
      <c r="U226" s="222">
        <v>6028</v>
      </c>
      <c r="V226" s="209" t="s">
        <v>1644</v>
      </c>
      <c r="W226" s="210" t="s">
        <v>1644</v>
      </c>
      <c r="X226" s="210" t="s">
        <v>1644</v>
      </c>
      <c r="Y226" s="210" t="s">
        <v>1644</v>
      </c>
      <c r="Z226" s="210" t="s">
        <v>1644</v>
      </c>
      <c r="AA226" s="210" t="s">
        <v>1644</v>
      </c>
      <c r="AB226" s="210" t="s">
        <v>1644</v>
      </c>
      <c r="AC226" s="210" t="s">
        <v>1644</v>
      </c>
      <c r="AD226" s="210" t="s">
        <v>1644</v>
      </c>
      <c r="AE226" s="210" t="s">
        <v>1644</v>
      </c>
      <c r="AF226" s="210" t="s">
        <v>1644</v>
      </c>
      <c r="AG226" s="211" t="s">
        <v>1644</v>
      </c>
      <c r="AH226" s="212" t="s">
        <v>1644</v>
      </c>
      <c r="AI226" s="213" t="s">
        <v>1644</v>
      </c>
      <c r="AJ226" s="213" t="s">
        <v>1644</v>
      </c>
      <c r="AK226" s="213" t="s">
        <v>1644</v>
      </c>
      <c r="AL226" s="213" t="s">
        <v>1644</v>
      </c>
      <c r="AM226" s="213" t="s">
        <v>1643</v>
      </c>
      <c r="AN226" s="213" t="s">
        <v>1643</v>
      </c>
      <c r="AO226" s="213" t="s">
        <v>1643</v>
      </c>
      <c r="AP226" s="213" t="s">
        <v>1644</v>
      </c>
      <c r="AQ226" s="213" t="s">
        <v>1644</v>
      </c>
      <c r="AR226" s="213" t="s">
        <v>1643</v>
      </c>
      <c r="AS226" s="214" t="s">
        <v>1644</v>
      </c>
    </row>
    <row r="227" spans="1:45" ht="15.75" thickBot="1" x14ac:dyDescent="0.3">
      <c r="A227" s="212" t="s">
        <v>801</v>
      </c>
      <c r="B227" s="48" t="s">
        <v>802</v>
      </c>
      <c r="C227" s="214" t="s">
        <v>803</v>
      </c>
      <c r="D227" s="225"/>
      <c r="E227" s="226"/>
      <c r="F227" s="226"/>
      <c r="G227" s="227"/>
      <c r="H227" s="226"/>
      <c r="I227" s="226"/>
      <c r="J227" s="221">
        <v>40</v>
      </c>
      <c r="K227" s="219">
        <v>45864</v>
      </c>
      <c r="L227" s="219">
        <v>63461</v>
      </c>
      <c r="M227" s="221">
        <v>40</v>
      </c>
      <c r="N227" s="219">
        <v>39562</v>
      </c>
      <c r="O227" s="219">
        <v>54746</v>
      </c>
      <c r="P227" s="220" t="s">
        <v>850</v>
      </c>
      <c r="Q227" s="220" t="s">
        <v>850</v>
      </c>
      <c r="R227" s="220" t="s">
        <v>850</v>
      </c>
      <c r="S227" s="221">
        <v>20</v>
      </c>
      <c r="T227" s="219">
        <v>11586</v>
      </c>
      <c r="U227" s="222">
        <v>16026</v>
      </c>
      <c r="V227" s="212" t="s">
        <v>1643</v>
      </c>
      <c r="W227" s="213" t="s">
        <v>1643</v>
      </c>
      <c r="X227" s="213" t="s">
        <v>1644</v>
      </c>
      <c r="Y227" s="213" t="s">
        <v>1644</v>
      </c>
      <c r="Z227" s="213" t="s">
        <v>1643</v>
      </c>
      <c r="AA227" s="213" t="s">
        <v>1643</v>
      </c>
      <c r="AB227" s="213" t="s">
        <v>1643</v>
      </c>
      <c r="AC227" s="213" t="s">
        <v>1643</v>
      </c>
      <c r="AD227" s="213" t="s">
        <v>1643</v>
      </c>
      <c r="AE227" s="213" t="s">
        <v>1644</v>
      </c>
      <c r="AF227" s="213" t="s">
        <v>1644</v>
      </c>
      <c r="AG227" s="214" t="s">
        <v>1644</v>
      </c>
      <c r="AH227" s="212" t="s">
        <v>1644</v>
      </c>
      <c r="AI227" s="213" t="s">
        <v>1644</v>
      </c>
      <c r="AJ227" s="213" t="s">
        <v>1644</v>
      </c>
      <c r="AK227" s="213" t="s">
        <v>1644</v>
      </c>
      <c r="AL227" s="213" t="s">
        <v>1644</v>
      </c>
      <c r="AM227" s="213" t="s">
        <v>1643</v>
      </c>
      <c r="AN227" s="213" t="s">
        <v>1643</v>
      </c>
      <c r="AO227" s="213" t="s">
        <v>1643</v>
      </c>
      <c r="AP227" s="213" t="s">
        <v>1644</v>
      </c>
      <c r="AQ227" s="213" t="s">
        <v>1644</v>
      </c>
      <c r="AR227" s="213" t="s">
        <v>1644</v>
      </c>
      <c r="AS227" s="214" t="s">
        <v>1644</v>
      </c>
    </row>
    <row r="228" spans="1:45" ht="15.75" thickBot="1" x14ac:dyDescent="0.3">
      <c r="A228" s="212" t="s">
        <v>818</v>
      </c>
      <c r="B228" s="48" t="s">
        <v>819</v>
      </c>
      <c r="C228" s="214" t="s">
        <v>803</v>
      </c>
      <c r="D228" s="218">
        <v>40</v>
      </c>
      <c r="E228" s="219">
        <v>35000</v>
      </c>
      <c r="F228" s="219">
        <v>55000</v>
      </c>
      <c r="G228" s="221">
        <v>40</v>
      </c>
      <c r="H228" s="219">
        <v>25000</v>
      </c>
      <c r="I228" s="219">
        <v>45000</v>
      </c>
      <c r="J228" s="221">
        <v>30</v>
      </c>
      <c r="K228" s="219">
        <v>15600</v>
      </c>
      <c r="L228" s="219">
        <v>28080</v>
      </c>
      <c r="M228" s="221">
        <v>30</v>
      </c>
      <c r="N228" s="219">
        <v>10400</v>
      </c>
      <c r="O228" s="219">
        <v>14560</v>
      </c>
      <c r="P228" s="221">
        <v>40</v>
      </c>
      <c r="Q228" s="219">
        <v>25000</v>
      </c>
      <c r="R228" s="219">
        <v>45000</v>
      </c>
      <c r="S228" s="221">
        <v>20</v>
      </c>
      <c r="T228" s="219">
        <v>10400</v>
      </c>
      <c r="U228" s="222">
        <v>14560</v>
      </c>
      <c r="V228" s="212" t="s">
        <v>1643</v>
      </c>
      <c r="W228" s="213" t="s">
        <v>1644</v>
      </c>
      <c r="X228" s="213" t="s">
        <v>1643</v>
      </c>
      <c r="Y228" s="213" t="s">
        <v>1644</v>
      </c>
      <c r="Z228" s="213" t="s">
        <v>1644</v>
      </c>
      <c r="AA228" s="213" t="s">
        <v>1643</v>
      </c>
      <c r="AB228" s="213" t="s">
        <v>1643</v>
      </c>
      <c r="AC228" s="213" t="s">
        <v>1643</v>
      </c>
      <c r="AD228" s="213" t="s">
        <v>1643</v>
      </c>
      <c r="AE228" s="213" t="s">
        <v>1643</v>
      </c>
      <c r="AF228" s="213" t="s">
        <v>1643</v>
      </c>
      <c r="AG228" s="214" t="s">
        <v>1644</v>
      </c>
      <c r="AH228" s="212" t="s">
        <v>1644</v>
      </c>
      <c r="AI228" s="213" t="s">
        <v>1644</v>
      </c>
      <c r="AJ228" s="213" t="s">
        <v>1644</v>
      </c>
      <c r="AK228" s="213" t="s">
        <v>1644</v>
      </c>
      <c r="AL228" s="213" t="s">
        <v>1644</v>
      </c>
      <c r="AM228" s="213" t="s">
        <v>1643</v>
      </c>
      <c r="AN228" s="213" t="s">
        <v>1643</v>
      </c>
      <c r="AO228" s="213" t="s">
        <v>1643</v>
      </c>
      <c r="AP228" s="213" t="s">
        <v>1643</v>
      </c>
      <c r="AQ228" s="213" t="s">
        <v>1644</v>
      </c>
      <c r="AR228" s="213" t="s">
        <v>1643</v>
      </c>
      <c r="AS228" s="214" t="s">
        <v>1644</v>
      </c>
    </row>
    <row r="229" spans="1:45" ht="15.75" thickBot="1" x14ac:dyDescent="0.3">
      <c r="A229" s="212" t="s">
        <v>846</v>
      </c>
      <c r="B229" s="48" t="s">
        <v>847</v>
      </c>
      <c r="C229" s="214" t="s">
        <v>803</v>
      </c>
      <c r="D229" s="225"/>
      <c r="E229" s="226"/>
      <c r="F229" s="226"/>
      <c r="G229" s="221">
        <v>40</v>
      </c>
      <c r="H229" s="219">
        <v>48000</v>
      </c>
      <c r="I229" s="219">
        <v>54000</v>
      </c>
      <c r="J229" s="221">
        <v>40</v>
      </c>
      <c r="K229" s="219">
        <v>45000</v>
      </c>
      <c r="L229" s="219">
        <v>48500</v>
      </c>
      <c r="M229" s="221">
        <v>24</v>
      </c>
      <c r="N229" s="219">
        <v>22464</v>
      </c>
      <c r="O229" s="219">
        <v>26208</v>
      </c>
      <c r="P229" s="221">
        <v>28</v>
      </c>
      <c r="Q229" s="219">
        <v>23296</v>
      </c>
      <c r="R229" s="219">
        <v>24752</v>
      </c>
      <c r="S229" s="221">
        <v>24</v>
      </c>
      <c r="T229" s="219">
        <v>12490</v>
      </c>
      <c r="U229" s="222">
        <v>14976</v>
      </c>
      <c r="V229" s="212" t="s">
        <v>1643</v>
      </c>
      <c r="W229" s="213" t="s">
        <v>1643</v>
      </c>
      <c r="X229" s="213" t="s">
        <v>1643</v>
      </c>
      <c r="Y229" s="213" t="s">
        <v>1644</v>
      </c>
      <c r="Z229" s="213" t="s">
        <v>1643</v>
      </c>
      <c r="AA229" s="213" t="s">
        <v>1643</v>
      </c>
      <c r="AB229" s="213" t="s">
        <v>1643</v>
      </c>
      <c r="AC229" s="213" t="s">
        <v>1643</v>
      </c>
      <c r="AD229" s="213" t="s">
        <v>1643</v>
      </c>
      <c r="AE229" s="213" t="s">
        <v>1643</v>
      </c>
      <c r="AF229" s="213" t="s">
        <v>1643</v>
      </c>
      <c r="AG229" s="214" t="s">
        <v>1644</v>
      </c>
      <c r="AH229" s="212" t="s">
        <v>1644</v>
      </c>
      <c r="AI229" s="213" t="s">
        <v>1644</v>
      </c>
      <c r="AJ229" s="213" t="s">
        <v>1644</v>
      </c>
      <c r="AK229" s="213" t="s">
        <v>1644</v>
      </c>
      <c r="AL229" s="213" t="s">
        <v>1644</v>
      </c>
      <c r="AM229" s="213" t="s">
        <v>1644</v>
      </c>
      <c r="AN229" s="213" t="s">
        <v>1644</v>
      </c>
      <c r="AO229" s="213" t="s">
        <v>1644</v>
      </c>
      <c r="AP229" s="213" t="s">
        <v>1644</v>
      </c>
      <c r="AQ229" s="213" t="s">
        <v>1644</v>
      </c>
      <c r="AR229" s="213" t="s">
        <v>1644</v>
      </c>
      <c r="AS229" s="214" t="s">
        <v>1644</v>
      </c>
    </row>
    <row r="230" spans="1:45" ht="15.75" thickBot="1" x14ac:dyDescent="0.3">
      <c r="A230" s="212" t="s">
        <v>851</v>
      </c>
      <c r="B230" s="48" t="s">
        <v>852</v>
      </c>
      <c r="C230" s="214" t="s">
        <v>803</v>
      </c>
      <c r="D230" s="223" t="s">
        <v>850</v>
      </c>
      <c r="E230" s="220" t="s">
        <v>850</v>
      </c>
      <c r="F230" s="220" t="s">
        <v>850</v>
      </c>
      <c r="G230" s="220" t="s">
        <v>850</v>
      </c>
      <c r="H230" s="220" t="s">
        <v>850</v>
      </c>
      <c r="I230" s="220" t="s">
        <v>850</v>
      </c>
      <c r="J230" s="221">
        <v>39</v>
      </c>
      <c r="K230" s="219">
        <v>41200</v>
      </c>
      <c r="L230" s="219">
        <v>49600</v>
      </c>
      <c r="M230" s="220" t="s">
        <v>850</v>
      </c>
      <c r="N230" s="220" t="s">
        <v>850</v>
      </c>
      <c r="O230" s="220" t="s">
        <v>850</v>
      </c>
      <c r="P230" s="220" t="s">
        <v>850</v>
      </c>
      <c r="Q230" s="220" t="s">
        <v>850</v>
      </c>
      <c r="R230" s="220" t="s">
        <v>850</v>
      </c>
      <c r="S230" s="221">
        <v>39</v>
      </c>
      <c r="T230" s="219">
        <v>41000</v>
      </c>
      <c r="U230" s="222">
        <v>42500</v>
      </c>
      <c r="V230" s="212" t="s">
        <v>1643</v>
      </c>
      <c r="W230" s="213" t="s">
        <v>1643</v>
      </c>
      <c r="X230" s="213" t="s">
        <v>1643</v>
      </c>
      <c r="Y230" s="213" t="s">
        <v>1644</v>
      </c>
      <c r="Z230" s="213" t="s">
        <v>1643</v>
      </c>
      <c r="AA230" s="213" t="s">
        <v>1643</v>
      </c>
      <c r="AB230" s="213" t="s">
        <v>1643</v>
      </c>
      <c r="AC230" s="213" t="s">
        <v>1643</v>
      </c>
      <c r="AD230" s="213" t="s">
        <v>1643</v>
      </c>
      <c r="AE230" s="213" t="s">
        <v>1643</v>
      </c>
      <c r="AF230" s="213" t="s">
        <v>1644</v>
      </c>
      <c r="AG230" s="214" t="s">
        <v>1644</v>
      </c>
      <c r="AH230" s="212" t="s">
        <v>1644</v>
      </c>
      <c r="AI230" s="213" t="s">
        <v>1644</v>
      </c>
      <c r="AJ230" s="213" t="s">
        <v>1644</v>
      </c>
      <c r="AK230" s="213" t="s">
        <v>1644</v>
      </c>
      <c r="AL230" s="213" t="s">
        <v>1644</v>
      </c>
      <c r="AM230" s="213" t="s">
        <v>1643</v>
      </c>
      <c r="AN230" s="213" t="s">
        <v>1643</v>
      </c>
      <c r="AO230" s="213" t="s">
        <v>1643</v>
      </c>
      <c r="AP230" s="213" t="s">
        <v>1643</v>
      </c>
      <c r="AQ230" s="213" t="s">
        <v>1644</v>
      </c>
      <c r="AR230" s="213" t="s">
        <v>1644</v>
      </c>
      <c r="AS230" s="214" t="s">
        <v>1644</v>
      </c>
    </row>
    <row r="231" spans="1:45" ht="15.75" thickBot="1" x14ac:dyDescent="0.3">
      <c r="A231" s="212" t="s">
        <v>871</v>
      </c>
      <c r="B231" s="48" t="s">
        <v>872</v>
      </c>
      <c r="C231" s="214" t="s">
        <v>803</v>
      </c>
      <c r="D231" s="223" t="s">
        <v>850</v>
      </c>
      <c r="E231" s="220" t="s">
        <v>850</v>
      </c>
      <c r="F231" s="220" t="s">
        <v>850</v>
      </c>
      <c r="G231" s="220" t="s">
        <v>850</v>
      </c>
      <c r="H231" s="219">
        <v>35000</v>
      </c>
      <c r="I231" s="219">
        <v>45000</v>
      </c>
      <c r="J231" s="220" t="s">
        <v>850</v>
      </c>
      <c r="K231" s="220" t="s">
        <v>850</v>
      </c>
      <c r="L231" s="220" t="s">
        <v>850</v>
      </c>
      <c r="M231" s="227"/>
      <c r="N231" s="226"/>
      <c r="O231" s="226"/>
      <c r="P231" s="227"/>
      <c r="Q231" s="226"/>
      <c r="R231" s="226"/>
      <c r="S231" s="221">
        <v>28</v>
      </c>
      <c r="T231" s="219">
        <v>10000</v>
      </c>
      <c r="U231" s="222">
        <v>25000</v>
      </c>
      <c r="V231" s="209" t="s">
        <v>1644</v>
      </c>
      <c r="W231" s="210" t="s">
        <v>1644</v>
      </c>
      <c r="X231" s="213" t="s">
        <v>1643</v>
      </c>
      <c r="Y231" s="210" t="s">
        <v>1644</v>
      </c>
      <c r="Z231" s="210" t="s">
        <v>1644</v>
      </c>
      <c r="AA231" s="213" t="s">
        <v>1643</v>
      </c>
      <c r="AB231" s="213" t="s">
        <v>1643</v>
      </c>
      <c r="AC231" s="213" t="s">
        <v>1643</v>
      </c>
      <c r="AD231" s="210" t="s">
        <v>1644</v>
      </c>
      <c r="AE231" s="210" t="s">
        <v>1644</v>
      </c>
      <c r="AF231" s="213" t="s">
        <v>1643</v>
      </c>
      <c r="AG231" s="211" t="s">
        <v>1644</v>
      </c>
      <c r="AH231" s="209" t="s">
        <v>1644</v>
      </c>
      <c r="AI231" s="210" t="s">
        <v>1644</v>
      </c>
      <c r="AJ231" s="210" t="s">
        <v>1644</v>
      </c>
      <c r="AK231" s="210" t="s">
        <v>1644</v>
      </c>
      <c r="AL231" s="210" t="s">
        <v>1644</v>
      </c>
      <c r="AM231" s="213" t="s">
        <v>1643</v>
      </c>
      <c r="AN231" s="213" t="s">
        <v>1643</v>
      </c>
      <c r="AO231" s="210" t="s">
        <v>1644</v>
      </c>
      <c r="AP231" s="210" t="s">
        <v>1644</v>
      </c>
      <c r="AQ231" s="210" t="s">
        <v>1644</v>
      </c>
      <c r="AR231" s="213" t="s">
        <v>1643</v>
      </c>
      <c r="AS231" s="211" t="s">
        <v>1644</v>
      </c>
    </row>
    <row r="232" spans="1:45" ht="15.75" thickBot="1" x14ac:dyDescent="0.3">
      <c r="A232" s="212" t="s">
        <v>877</v>
      </c>
      <c r="B232" s="48" t="s">
        <v>878</v>
      </c>
      <c r="C232" s="214" t="s">
        <v>803</v>
      </c>
      <c r="D232" s="225"/>
      <c r="E232" s="226"/>
      <c r="F232" s="226"/>
      <c r="G232" s="227"/>
      <c r="H232" s="226"/>
      <c r="I232" s="226"/>
      <c r="J232" s="227"/>
      <c r="K232" s="226"/>
      <c r="L232" s="226"/>
      <c r="M232" s="221">
        <v>28</v>
      </c>
      <c r="N232" s="219">
        <v>22889</v>
      </c>
      <c r="O232" s="219">
        <v>29131</v>
      </c>
      <c r="P232" s="227"/>
      <c r="Q232" s="226"/>
      <c r="R232" s="226"/>
      <c r="S232" s="221">
        <v>40</v>
      </c>
      <c r="T232" s="219">
        <v>34333</v>
      </c>
      <c r="U232" s="222">
        <v>42136</v>
      </c>
      <c r="V232" s="212" t="s">
        <v>1643</v>
      </c>
      <c r="W232" s="213" t="s">
        <v>1643</v>
      </c>
      <c r="X232" s="213" t="s">
        <v>1643</v>
      </c>
      <c r="Y232" s="213" t="s">
        <v>1643</v>
      </c>
      <c r="Z232" s="213" t="s">
        <v>1643</v>
      </c>
      <c r="AA232" s="213" t="s">
        <v>1643</v>
      </c>
      <c r="AB232" s="213" t="s">
        <v>1643</v>
      </c>
      <c r="AC232" s="213" t="s">
        <v>1643</v>
      </c>
      <c r="AD232" s="213" t="s">
        <v>1643</v>
      </c>
      <c r="AE232" s="213" t="s">
        <v>1643</v>
      </c>
      <c r="AF232" s="213" t="s">
        <v>1643</v>
      </c>
      <c r="AG232" s="214" t="s">
        <v>1644</v>
      </c>
      <c r="AH232" s="212" t="s">
        <v>1644</v>
      </c>
      <c r="AI232" s="213" t="s">
        <v>1644</v>
      </c>
      <c r="AJ232" s="213" t="s">
        <v>1644</v>
      </c>
      <c r="AK232" s="213" t="s">
        <v>1644</v>
      </c>
      <c r="AL232" s="213" t="s">
        <v>1644</v>
      </c>
      <c r="AM232" s="213" t="s">
        <v>1644</v>
      </c>
      <c r="AN232" s="213" t="s">
        <v>1644</v>
      </c>
      <c r="AO232" s="213" t="s">
        <v>1644</v>
      </c>
      <c r="AP232" s="213" t="s">
        <v>1644</v>
      </c>
      <c r="AQ232" s="213" t="s">
        <v>1644</v>
      </c>
      <c r="AR232" s="213" t="s">
        <v>1644</v>
      </c>
      <c r="AS232" s="214" t="s">
        <v>1644</v>
      </c>
    </row>
    <row r="233" spans="1:45" ht="15.75" thickBot="1" x14ac:dyDescent="0.3">
      <c r="A233" s="212" t="s">
        <v>887</v>
      </c>
      <c r="B233" s="48" t="s">
        <v>888</v>
      </c>
      <c r="C233" s="214" t="s">
        <v>803</v>
      </c>
      <c r="D233" s="223" t="s">
        <v>850</v>
      </c>
      <c r="E233" s="220" t="s">
        <v>850</v>
      </c>
      <c r="F233" s="220" t="s">
        <v>850</v>
      </c>
      <c r="G233" s="221">
        <v>40</v>
      </c>
      <c r="H233" s="219">
        <v>34046</v>
      </c>
      <c r="I233" s="219">
        <v>49919</v>
      </c>
      <c r="J233" s="220" t="s">
        <v>850</v>
      </c>
      <c r="K233" s="220" t="s">
        <v>850</v>
      </c>
      <c r="L233" s="220" t="s">
        <v>850</v>
      </c>
      <c r="M233" s="220" t="s">
        <v>850</v>
      </c>
      <c r="N233" s="220" t="s">
        <v>850</v>
      </c>
      <c r="O233" s="220" t="s">
        <v>850</v>
      </c>
      <c r="P233" s="220" t="s">
        <v>850</v>
      </c>
      <c r="Q233" s="220" t="s">
        <v>850</v>
      </c>
      <c r="R233" s="220" t="s">
        <v>850</v>
      </c>
      <c r="S233" s="221">
        <v>28</v>
      </c>
      <c r="T233" s="219">
        <v>20384</v>
      </c>
      <c r="U233" s="222">
        <v>20384</v>
      </c>
      <c r="V233" s="212" t="s">
        <v>1643</v>
      </c>
      <c r="W233" s="213" t="s">
        <v>1643</v>
      </c>
      <c r="X233" s="213" t="s">
        <v>1643</v>
      </c>
      <c r="Y233" s="213" t="s">
        <v>1643</v>
      </c>
      <c r="Z233" s="213" t="s">
        <v>1643</v>
      </c>
      <c r="AA233" s="213" t="s">
        <v>1643</v>
      </c>
      <c r="AB233" s="213" t="s">
        <v>1643</v>
      </c>
      <c r="AC233" s="213" t="s">
        <v>1643</v>
      </c>
      <c r="AD233" s="213" t="s">
        <v>1643</v>
      </c>
      <c r="AE233" s="213" t="s">
        <v>1643</v>
      </c>
      <c r="AF233" s="213" t="s">
        <v>1643</v>
      </c>
      <c r="AG233" s="214" t="s">
        <v>1643</v>
      </c>
      <c r="AH233" s="209" t="s">
        <v>1644</v>
      </c>
      <c r="AI233" s="210" t="s">
        <v>1644</v>
      </c>
      <c r="AJ233" s="210" t="s">
        <v>1644</v>
      </c>
      <c r="AK233" s="210" t="s">
        <v>1644</v>
      </c>
      <c r="AL233" s="210" t="s">
        <v>1644</v>
      </c>
      <c r="AM233" s="213" t="s">
        <v>1643</v>
      </c>
      <c r="AN233" s="210" t="s">
        <v>1644</v>
      </c>
      <c r="AO233" s="210" t="s">
        <v>1644</v>
      </c>
      <c r="AP233" s="210" t="s">
        <v>1644</v>
      </c>
      <c r="AQ233" s="210" t="s">
        <v>1644</v>
      </c>
      <c r="AR233" s="210" t="s">
        <v>1644</v>
      </c>
      <c r="AS233" s="211" t="s">
        <v>1644</v>
      </c>
    </row>
    <row r="234" spans="1:45" ht="15.75" thickBot="1" x14ac:dyDescent="0.3">
      <c r="A234" s="212" t="s">
        <v>899</v>
      </c>
      <c r="B234" s="48" t="s">
        <v>900</v>
      </c>
      <c r="C234" s="214" t="s">
        <v>803</v>
      </c>
      <c r="D234" s="225"/>
      <c r="E234" s="226"/>
      <c r="F234" s="226"/>
      <c r="G234" s="221">
        <v>40</v>
      </c>
      <c r="H234" s="219">
        <v>49899</v>
      </c>
      <c r="I234" s="219">
        <v>59634</v>
      </c>
      <c r="J234" s="221">
        <v>40</v>
      </c>
      <c r="K234" s="219">
        <v>41267</v>
      </c>
      <c r="L234" s="219">
        <v>49317</v>
      </c>
      <c r="M234" s="221">
        <v>29</v>
      </c>
      <c r="N234" s="219">
        <v>33280</v>
      </c>
      <c r="O234" s="219">
        <v>39770</v>
      </c>
      <c r="P234" s="227"/>
      <c r="Q234" s="226"/>
      <c r="R234" s="226"/>
      <c r="S234" s="221">
        <v>20</v>
      </c>
      <c r="T234" s="219">
        <v>11440</v>
      </c>
      <c r="U234" s="222">
        <v>13676</v>
      </c>
      <c r="V234" s="212" t="s">
        <v>1643</v>
      </c>
      <c r="W234" s="213" t="s">
        <v>1643</v>
      </c>
      <c r="X234" s="213" t="s">
        <v>1643</v>
      </c>
      <c r="Y234" s="213" t="s">
        <v>1643</v>
      </c>
      <c r="Z234" s="213" t="s">
        <v>1643</v>
      </c>
      <c r="AA234" s="213" t="s">
        <v>1643</v>
      </c>
      <c r="AB234" s="213" t="s">
        <v>1643</v>
      </c>
      <c r="AC234" s="213" t="s">
        <v>1643</v>
      </c>
      <c r="AD234" s="213" t="s">
        <v>1643</v>
      </c>
      <c r="AE234" s="213" t="s">
        <v>1644</v>
      </c>
      <c r="AF234" s="213" t="s">
        <v>1644</v>
      </c>
      <c r="AG234" s="214" t="s">
        <v>1644</v>
      </c>
      <c r="AH234" s="212" t="s">
        <v>1644</v>
      </c>
      <c r="AI234" s="213" t="s">
        <v>1644</v>
      </c>
      <c r="AJ234" s="213" t="s">
        <v>1643</v>
      </c>
      <c r="AK234" s="213" t="s">
        <v>1644</v>
      </c>
      <c r="AL234" s="213" t="s">
        <v>1644</v>
      </c>
      <c r="AM234" s="213" t="s">
        <v>1643</v>
      </c>
      <c r="AN234" s="213" t="s">
        <v>1644</v>
      </c>
      <c r="AO234" s="213" t="s">
        <v>1644</v>
      </c>
      <c r="AP234" s="213" t="s">
        <v>1644</v>
      </c>
      <c r="AQ234" s="213" t="s">
        <v>1644</v>
      </c>
      <c r="AR234" s="213" t="s">
        <v>1644</v>
      </c>
      <c r="AS234" s="214" t="s">
        <v>1644</v>
      </c>
    </row>
    <row r="235" spans="1:45" ht="15.75" thickBot="1" x14ac:dyDescent="0.3">
      <c r="A235" s="212" t="s">
        <v>901</v>
      </c>
      <c r="B235" s="48" t="s">
        <v>902</v>
      </c>
      <c r="C235" s="214" t="s">
        <v>803</v>
      </c>
      <c r="D235" s="225"/>
      <c r="E235" s="226"/>
      <c r="F235" s="226"/>
      <c r="G235" s="221">
        <v>40</v>
      </c>
      <c r="H235" s="219">
        <v>28000</v>
      </c>
      <c r="I235" s="219">
        <v>45000</v>
      </c>
      <c r="J235" s="227"/>
      <c r="K235" s="226"/>
      <c r="L235" s="226"/>
      <c r="M235" s="221">
        <v>40</v>
      </c>
      <c r="N235" s="219">
        <v>22000</v>
      </c>
      <c r="O235" s="219">
        <v>36000</v>
      </c>
      <c r="P235" s="227"/>
      <c r="Q235" s="226"/>
      <c r="R235" s="226"/>
      <c r="S235" s="221">
        <v>25</v>
      </c>
      <c r="T235" s="219">
        <v>9000</v>
      </c>
      <c r="U235" s="222">
        <v>14000</v>
      </c>
      <c r="V235" s="212" t="s">
        <v>1643</v>
      </c>
      <c r="W235" s="213" t="s">
        <v>1643</v>
      </c>
      <c r="X235" s="213" t="s">
        <v>1643</v>
      </c>
      <c r="Y235" s="213" t="s">
        <v>1643</v>
      </c>
      <c r="Z235" s="213" t="s">
        <v>1644</v>
      </c>
      <c r="AA235" s="213" t="s">
        <v>1643</v>
      </c>
      <c r="AB235" s="213" t="s">
        <v>1643</v>
      </c>
      <c r="AC235" s="213" t="s">
        <v>1643</v>
      </c>
      <c r="AD235" s="213" t="s">
        <v>1644</v>
      </c>
      <c r="AE235" s="213" t="s">
        <v>1643</v>
      </c>
      <c r="AF235" s="213" t="s">
        <v>1643</v>
      </c>
      <c r="AG235" s="214" t="s">
        <v>1643</v>
      </c>
      <c r="AH235" s="212" t="s">
        <v>1644</v>
      </c>
      <c r="AI235" s="213" t="s">
        <v>1644</v>
      </c>
      <c r="AJ235" s="213" t="s">
        <v>1644</v>
      </c>
      <c r="AK235" s="213" t="s">
        <v>1644</v>
      </c>
      <c r="AL235" s="213" t="s">
        <v>1644</v>
      </c>
      <c r="AM235" s="213" t="s">
        <v>1643</v>
      </c>
      <c r="AN235" s="213" t="s">
        <v>1643</v>
      </c>
      <c r="AO235" s="213" t="s">
        <v>1643</v>
      </c>
      <c r="AP235" s="213" t="s">
        <v>1644</v>
      </c>
      <c r="AQ235" s="213" t="s">
        <v>1644</v>
      </c>
      <c r="AR235" s="213" t="s">
        <v>1644</v>
      </c>
      <c r="AS235" s="214" t="s">
        <v>1644</v>
      </c>
    </row>
    <row r="236" spans="1:45" ht="15.75" thickBot="1" x14ac:dyDescent="0.3">
      <c r="A236" s="212" t="s">
        <v>905</v>
      </c>
      <c r="B236" s="48" t="s">
        <v>906</v>
      </c>
      <c r="C236" s="214" t="s">
        <v>803</v>
      </c>
      <c r="D236" s="218">
        <v>40</v>
      </c>
      <c r="E236" s="219">
        <v>44411</v>
      </c>
      <c r="F236" s="219">
        <v>44411</v>
      </c>
      <c r="G236" s="220" t="s">
        <v>850</v>
      </c>
      <c r="H236" s="220" t="s">
        <v>850</v>
      </c>
      <c r="I236" s="220" t="s">
        <v>850</v>
      </c>
      <c r="J236" s="221">
        <v>40</v>
      </c>
      <c r="K236" s="219">
        <v>43324</v>
      </c>
      <c r="L236" s="219">
        <v>43324</v>
      </c>
      <c r="M236" s="221">
        <v>29</v>
      </c>
      <c r="N236" s="219">
        <v>14757</v>
      </c>
      <c r="O236" s="219">
        <v>21507</v>
      </c>
      <c r="P236" s="220" t="s">
        <v>850</v>
      </c>
      <c r="Q236" s="220" t="s">
        <v>850</v>
      </c>
      <c r="R236" s="220" t="s">
        <v>850</v>
      </c>
      <c r="S236" s="221">
        <v>13</v>
      </c>
      <c r="T236" s="219">
        <v>3048</v>
      </c>
      <c r="U236" s="222">
        <v>12155</v>
      </c>
      <c r="V236" s="212" t="s">
        <v>1643</v>
      </c>
      <c r="W236" s="213" t="s">
        <v>1643</v>
      </c>
      <c r="X236" s="213" t="s">
        <v>1643</v>
      </c>
      <c r="Y236" s="213" t="s">
        <v>1644</v>
      </c>
      <c r="Z236" s="213" t="s">
        <v>1643</v>
      </c>
      <c r="AA236" s="213" t="s">
        <v>1643</v>
      </c>
      <c r="AB236" s="213" t="s">
        <v>1643</v>
      </c>
      <c r="AC236" s="213" t="s">
        <v>1643</v>
      </c>
      <c r="AD236" s="213" t="s">
        <v>1643</v>
      </c>
      <c r="AE236" s="213" t="s">
        <v>1643</v>
      </c>
      <c r="AF236" s="213" t="s">
        <v>1643</v>
      </c>
      <c r="AG236" s="214" t="s">
        <v>1643</v>
      </c>
      <c r="AH236" s="212" t="s">
        <v>1644</v>
      </c>
      <c r="AI236" s="213" t="s">
        <v>1644</v>
      </c>
      <c r="AJ236" s="213" t="s">
        <v>1644</v>
      </c>
      <c r="AK236" s="213" t="s">
        <v>1644</v>
      </c>
      <c r="AL236" s="213" t="s">
        <v>1644</v>
      </c>
      <c r="AM236" s="213" t="s">
        <v>1644</v>
      </c>
      <c r="AN236" s="213" t="s">
        <v>1644</v>
      </c>
      <c r="AO236" s="213" t="s">
        <v>1643</v>
      </c>
      <c r="AP236" s="213" t="s">
        <v>1644</v>
      </c>
      <c r="AQ236" s="213" t="s">
        <v>1644</v>
      </c>
      <c r="AR236" s="213" t="s">
        <v>1643</v>
      </c>
      <c r="AS236" s="214" t="s">
        <v>1644</v>
      </c>
    </row>
    <row r="237" spans="1:45" ht="15.75" thickBot="1" x14ac:dyDescent="0.3">
      <c r="A237" s="212" t="s">
        <v>941</v>
      </c>
      <c r="B237" s="48" t="s">
        <v>942</v>
      </c>
      <c r="C237" s="214" t="s">
        <v>803</v>
      </c>
      <c r="D237" s="218">
        <v>45</v>
      </c>
      <c r="E237" s="219">
        <v>45000</v>
      </c>
      <c r="F237" s="219">
        <v>55000</v>
      </c>
      <c r="G237" s="221">
        <v>40</v>
      </c>
      <c r="H237" s="219">
        <v>40000</v>
      </c>
      <c r="I237" s="219">
        <v>45000</v>
      </c>
      <c r="J237" s="221">
        <v>40</v>
      </c>
      <c r="K237" s="219">
        <v>27000</v>
      </c>
      <c r="L237" s="219">
        <v>31000</v>
      </c>
      <c r="M237" s="221">
        <v>20</v>
      </c>
      <c r="N237" s="219">
        <v>11000</v>
      </c>
      <c r="O237" s="219">
        <v>14000</v>
      </c>
      <c r="P237" s="221">
        <v>40</v>
      </c>
      <c r="Q237" s="219">
        <v>25000</v>
      </c>
      <c r="R237" s="219">
        <v>38000</v>
      </c>
      <c r="S237" s="221">
        <v>15</v>
      </c>
      <c r="T237" s="219">
        <v>8000</v>
      </c>
      <c r="U237" s="222">
        <v>11000</v>
      </c>
      <c r="V237" s="212" t="s">
        <v>1643</v>
      </c>
      <c r="W237" s="213" t="s">
        <v>1644</v>
      </c>
      <c r="X237" s="213" t="s">
        <v>1644</v>
      </c>
      <c r="Y237" s="213" t="s">
        <v>1644</v>
      </c>
      <c r="Z237" s="213" t="s">
        <v>1644</v>
      </c>
      <c r="AA237" s="213" t="s">
        <v>1643</v>
      </c>
      <c r="AB237" s="213" t="s">
        <v>1643</v>
      </c>
      <c r="AC237" s="213" t="s">
        <v>1643</v>
      </c>
      <c r="AD237" s="213" t="s">
        <v>1644</v>
      </c>
      <c r="AE237" s="213" t="s">
        <v>1643</v>
      </c>
      <c r="AF237" s="213" t="s">
        <v>1643</v>
      </c>
      <c r="AG237" s="214" t="s">
        <v>1644</v>
      </c>
      <c r="AH237" s="212" t="s">
        <v>1644</v>
      </c>
      <c r="AI237" s="213" t="s">
        <v>1644</v>
      </c>
      <c r="AJ237" s="213" t="s">
        <v>1644</v>
      </c>
      <c r="AK237" s="213" t="s">
        <v>1644</v>
      </c>
      <c r="AL237" s="213" t="s">
        <v>1644</v>
      </c>
      <c r="AM237" s="213" t="s">
        <v>1644</v>
      </c>
      <c r="AN237" s="213" t="s">
        <v>1644</v>
      </c>
      <c r="AO237" s="213" t="s">
        <v>1644</v>
      </c>
      <c r="AP237" s="213" t="s">
        <v>1644</v>
      </c>
      <c r="AQ237" s="213" t="s">
        <v>1644</v>
      </c>
      <c r="AR237" s="213" t="s">
        <v>1644</v>
      </c>
      <c r="AS237" s="214" t="s">
        <v>1644</v>
      </c>
    </row>
    <row r="238" spans="1:45" ht="15.75" thickBot="1" x14ac:dyDescent="0.3">
      <c r="A238" s="212" t="s">
        <v>945</v>
      </c>
      <c r="B238" s="48" t="s">
        <v>946</v>
      </c>
      <c r="C238" s="214" t="s">
        <v>803</v>
      </c>
      <c r="D238" s="225"/>
      <c r="E238" s="226"/>
      <c r="F238" s="226"/>
      <c r="G238" s="227"/>
      <c r="H238" s="226"/>
      <c r="I238" s="226"/>
      <c r="J238" s="221">
        <v>35</v>
      </c>
      <c r="K238" s="219">
        <v>0</v>
      </c>
      <c r="L238" s="219">
        <v>0</v>
      </c>
      <c r="M238" s="221">
        <v>35</v>
      </c>
      <c r="N238" s="219">
        <v>30940</v>
      </c>
      <c r="O238" s="219">
        <v>36400</v>
      </c>
      <c r="P238" s="227"/>
      <c r="Q238" s="226"/>
      <c r="R238" s="226"/>
      <c r="S238" s="221">
        <v>25</v>
      </c>
      <c r="T238" s="219">
        <v>13000</v>
      </c>
      <c r="U238" s="222">
        <v>14950</v>
      </c>
      <c r="V238" s="212" t="s">
        <v>1643</v>
      </c>
      <c r="W238" s="213" t="s">
        <v>1643</v>
      </c>
      <c r="X238" s="213" t="s">
        <v>1643</v>
      </c>
      <c r="Y238" s="213" t="s">
        <v>1643</v>
      </c>
      <c r="Z238" s="213" t="s">
        <v>1643</v>
      </c>
      <c r="AA238" s="213" t="s">
        <v>1643</v>
      </c>
      <c r="AB238" s="213" t="s">
        <v>1643</v>
      </c>
      <c r="AC238" s="213" t="s">
        <v>1643</v>
      </c>
      <c r="AD238" s="213" t="s">
        <v>1643</v>
      </c>
      <c r="AE238" s="213" t="s">
        <v>1643</v>
      </c>
      <c r="AF238" s="213" t="s">
        <v>1643</v>
      </c>
      <c r="AG238" s="214" t="s">
        <v>1643</v>
      </c>
      <c r="AH238" s="212" t="s">
        <v>1644</v>
      </c>
      <c r="AI238" s="213" t="s">
        <v>1644</v>
      </c>
      <c r="AJ238" s="213" t="s">
        <v>1644</v>
      </c>
      <c r="AK238" s="213" t="s">
        <v>1644</v>
      </c>
      <c r="AL238" s="213" t="s">
        <v>1644</v>
      </c>
      <c r="AM238" s="213" t="s">
        <v>1644</v>
      </c>
      <c r="AN238" s="213" t="s">
        <v>1644</v>
      </c>
      <c r="AO238" s="213" t="s">
        <v>1643</v>
      </c>
      <c r="AP238" s="213" t="s">
        <v>1643</v>
      </c>
      <c r="AQ238" s="213" t="s">
        <v>1644</v>
      </c>
      <c r="AR238" s="213" t="s">
        <v>1643</v>
      </c>
      <c r="AS238" s="214" t="s">
        <v>1643</v>
      </c>
    </row>
    <row r="239" spans="1:45" ht="15.75" thickBot="1" x14ac:dyDescent="0.3">
      <c r="A239" s="212" t="s">
        <v>949</v>
      </c>
      <c r="B239" s="48" t="s">
        <v>950</v>
      </c>
      <c r="C239" s="214" t="s">
        <v>803</v>
      </c>
      <c r="D239" s="218">
        <v>40</v>
      </c>
      <c r="E239" s="219">
        <v>36000</v>
      </c>
      <c r="F239" s="219">
        <v>45000</v>
      </c>
      <c r="G239" s="220" t="s">
        <v>850</v>
      </c>
      <c r="H239" s="220" t="s">
        <v>850</v>
      </c>
      <c r="I239" s="220" t="s">
        <v>850</v>
      </c>
      <c r="J239" s="221">
        <v>40</v>
      </c>
      <c r="K239" s="219">
        <v>36000</v>
      </c>
      <c r="L239" s="219">
        <v>42000</v>
      </c>
      <c r="M239" s="220" t="s">
        <v>850</v>
      </c>
      <c r="N239" s="220" t="s">
        <v>850</v>
      </c>
      <c r="O239" s="220" t="s">
        <v>850</v>
      </c>
      <c r="P239" s="220" t="s">
        <v>850</v>
      </c>
      <c r="Q239" s="220" t="s">
        <v>850</v>
      </c>
      <c r="R239" s="220" t="s">
        <v>850</v>
      </c>
      <c r="S239" s="221">
        <v>24</v>
      </c>
      <c r="T239" s="219">
        <v>12000</v>
      </c>
      <c r="U239" s="222">
        <v>20000</v>
      </c>
      <c r="V239" s="212" t="s">
        <v>1643</v>
      </c>
      <c r="W239" s="213" t="s">
        <v>1643</v>
      </c>
      <c r="X239" s="213" t="s">
        <v>1643</v>
      </c>
      <c r="Y239" s="213" t="s">
        <v>1643</v>
      </c>
      <c r="Z239" s="213" t="s">
        <v>1643</v>
      </c>
      <c r="AA239" s="213" t="s">
        <v>1643</v>
      </c>
      <c r="AB239" s="213" t="s">
        <v>1643</v>
      </c>
      <c r="AC239" s="213" t="s">
        <v>1643</v>
      </c>
      <c r="AD239" s="213" t="s">
        <v>1644</v>
      </c>
      <c r="AE239" s="213" t="s">
        <v>1644</v>
      </c>
      <c r="AF239" s="213" t="s">
        <v>1644</v>
      </c>
      <c r="AG239" s="214" t="s">
        <v>1643</v>
      </c>
      <c r="AH239" s="212" t="s">
        <v>1644</v>
      </c>
      <c r="AI239" s="213" t="s">
        <v>1644</v>
      </c>
      <c r="AJ239" s="213" t="s">
        <v>1644</v>
      </c>
      <c r="AK239" s="213" t="s">
        <v>1643</v>
      </c>
      <c r="AL239" s="213" t="s">
        <v>1644</v>
      </c>
      <c r="AM239" s="213" t="s">
        <v>1643</v>
      </c>
      <c r="AN239" s="213" t="s">
        <v>1643</v>
      </c>
      <c r="AO239" s="213" t="s">
        <v>1643</v>
      </c>
      <c r="AP239" s="213" t="s">
        <v>1644</v>
      </c>
      <c r="AQ239" s="213" t="s">
        <v>1644</v>
      </c>
      <c r="AR239" s="213" t="s">
        <v>1644</v>
      </c>
      <c r="AS239" s="214" t="s">
        <v>1643</v>
      </c>
    </row>
    <row r="240" spans="1:45" ht="15.75" thickBot="1" x14ac:dyDescent="0.3">
      <c r="A240" s="212" t="s">
        <v>951</v>
      </c>
      <c r="B240" s="48" t="s">
        <v>952</v>
      </c>
      <c r="C240" s="214" t="s">
        <v>803</v>
      </c>
      <c r="D240" s="218">
        <v>40</v>
      </c>
      <c r="E240" s="219">
        <v>51741</v>
      </c>
      <c r="F240" s="219">
        <v>68427</v>
      </c>
      <c r="G240" s="221">
        <v>40</v>
      </c>
      <c r="H240" s="219">
        <v>45822</v>
      </c>
      <c r="I240" s="219">
        <v>60599</v>
      </c>
      <c r="J240" s="221">
        <v>40</v>
      </c>
      <c r="K240" s="219">
        <v>36456</v>
      </c>
      <c r="L240" s="219">
        <v>48213</v>
      </c>
      <c r="M240" s="221">
        <v>40</v>
      </c>
      <c r="N240" s="219">
        <v>36456</v>
      </c>
      <c r="O240" s="219">
        <v>48213</v>
      </c>
      <c r="P240" s="221">
        <v>40</v>
      </c>
      <c r="Q240" s="219">
        <v>43841</v>
      </c>
      <c r="R240" s="219">
        <v>57980</v>
      </c>
      <c r="S240" s="221">
        <v>40</v>
      </c>
      <c r="T240" s="219">
        <v>23254</v>
      </c>
      <c r="U240" s="222">
        <v>30763</v>
      </c>
      <c r="V240" s="212" t="s">
        <v>1643</v>
      </c>
      <c r="W240" s="213" t="s">
        <v>1644</v>
      </c>
      <c r="X240" s="213" t="s">
        <v>1643</v>
      </c>
      <c r="Y240" s="213" t="s">
        <v>1643</v>
      </c>
      <c r="Z240" s="213" t="s">
        <v>1644</v>
      </c>
      <c r="AA240" s="213" t="s">
        <v>1643</v>
      </c>
      <c r="AB240" s="213" t="s">
        <v>1643</v>
      </c>
      <c r="AC240" s="213" t="s">
        <v>1643</v>
      </c>
      <c r="AD240" s="213" t="s">
        <v>1643</v>
      </c>
      <c r="AE240" s="213" t="s">
        <v>1643</v>
      </c>
      <c r="AF240" s="213" t="s">
        <v>1643</v>
      </c>
      <c r="AG240" s="214" t="s">
        <v>1644</v>
      </c>
      <c r="AH240" s="212" t="s">
        <v>1644</v>
      </c>
      <c r="AI240" s="213" t="s">
        <v>1644</v>
      </c>
      <c r="AJ240" s="213" t="s">
        <v>1644</v>
      </c>
      <c r="AK240" s="213" t="s">
        <v>1644</v>
      </c>
      <c r="AL240" s="213" t="s">
        <v>1644</v>
      </c>
      <c r="AM240" s="213" t="s">
        <v>1643</v>
      </c>
      <c r="AN240" s="213" t="s">
        <v>1643</v>
      </c>
      <c r="AO240" s="213" t="s">
        <v>1643</v>
      </c>
      <c r="AP240" s="213" t="s">
        <v>1643</v>
      </c>
      <c r="AQ240" s="213" t="s">
        <v>1643</v>
      </c>
      <c r="AR240" s="213" t="s">
        <v>1643</v>
      </c>
      <c r="AS240" s="214" t="s">
        <v>1644</v>
      </c>
    </row>
    <row r="241" spans="1:45" ht="15.75" thickBot="1" x14ac:dyDescent="0.3">
      <c r="A241" s="212" t="s">
        <v>965</v>
      </c>
      <c r="B241" s="48" t="s">
        <v>966</v>
      </c>
      <c r="C241" s="214" t="s">
        <v>803</v>
      </c>
      <c r="D241" s="218">
        <v>40</v>
      </c>
      <c r="E241" s="219">
        <v>33280</v>
      </c>
      <c r="F241" s="219">
        <v>51000</v>
      </c>
      <c r="G241" s="220" t="s">
        <v>850</v>
      </c>
      <c r="H241" s="220" t="s">
        <v>850</v>
      </c>
      <c r="I241" s="220" t="s">
        <v>850</v>
      </c>
      <c r="J241" s="220" t="s">
        <v>850</v>
      </c>
      <c r="K241" s="220" t="s">
        <v>850</v>
      </c>
      <c r="L241" s="220" t="s">
        <v>850</v>
      </c>
      <c r="M241" s="220" t="s">
        <v>850</v>
      </c>
      <c r="N241" s="220" t="s">
        <v>850</v>
      </c>
      <c r="O241" s="220" t="s">
        <v>850</v>
      </c>
      <c r="P241" s="220" t="s">
        <v>850</v>
      </c>
      <c r="Q241" s="220" t="s">
        <v>850</v>
      </c>
      <c r="R241" s="220" t="s">
        <v>850</v>
      </c>
      <c r="S241" s="221">
        <v>38</v>
      </c>
      <c r="T241" s="219">
        <v>13520</v>
      </c>
      <c r="U241" s="222">
        <v>28275</v>
      </c>
      <c r="V241" s="212" t="s">
        <v>1643</v>
      </c>
      <c r="W241" s="213" t="s">
        <v>1644</v>
      </c>
      <c r="X241" s="213" t="s">
        <v>1644</v>
      </c>
      <c r="Y241" s="213" t="s">
        <v>1644</v>
      </c>
      <c r="Z241" s="213" t="s">
        <v>1644</v>
      </c>
      <c r="AA241" s="213" t="s">
        <v>1643</v>
      </c>
      <c r="AB241" s="213" t="s">
        <v>1643</v>
      </c>
      <c r="AC241" s="213" t="s">
        <v>1643</v>
      </c>
      <c r="AD241" s="213" t="s">
        <v>1644</v>
      </c>
      <c r="AE241" s="213" t="s">
        <v>1644</v>
      </c>
      <c r="AF241" s="213" t="s">
        <v>1643</v>
      </c>
      <c r="AG241" s="214" t="s">
        <v>1644</v>
      </c>
      <c r="AH241" s="212" t="s">
        <v>1643</v>
      </c>
      <c r="AI241" s="213" t="s">
        <v>1644</v>
      </c>
      <c r="AJ241" s="213" t="s">
        <v>1644</v>
      </c>
      <c r="AK241" s="213" t="s">
        <v>1644</v>
      </c>
      <c r="AL241" s="213" t="s">
        <v>1644</v>
      </c>
      <c r="AM241" s="213" t="s">
        <v>1643</v>
      </c>
      <c r="AN241" s="213" t="s">
        <v>1643</v>
      </c>
      <c r="AO241" s="213" t="s">
        <v>1643</v>
      </c>
      <c r="AP241" s="213" t="s">
        <v>1644</v>
      </c>
      <c r="AQ241" s="213" t="s">
        <v>1644</v>
      </c>
      <c r="AR241" s="213" t="s">
        <v>1643</v>
      </c>
      <c r="AS241" s="214" t="s">
        <v>1644</v>
      </c>
    </row>
    <row r="242" spans="1:45" ht="15.75" thickBot="1" x14ac:dyDescent="0.3">
      <c r="A242" s="212" t="s">
        <v>975</v>
      </c>
      <c r="B242" s="48" t="s">
        <v>976</v>
      </c>
      <c r="C242" s="214" t="s">
        <v>803</v>
      </c>
      <c r="D242" s="225"/>
      <c r="E242" s="226"/>
      <c r="F242" s="226"/>
      <c r="G242" s="221">
        <v>38</v>
      </c>
      <c r="H242" s="219">
        <v>39000</v>
      </c>
      <c r="I242" s="219">
        <v>46000</v>
      </c>
      <c r="J242" s="227"/>
      <c r="K242" s="226"/>
      <c r="L242" s="226"/>
      <c r="M242" s="221">
        <v>20</v>
      </c>
      <c r="N242" s="219">
        <v>16598</v>
      </c>
      <c r="O242" s="219">
        <v>18000</v>
      </c>
      <c r="P242" s="227"/>
      <c r="Q242" s="226"/>
      <c r="R242" s="226"/>
      <c r="S242" s="221">
        <v>20</v>
      </c>
      <c r="T242" s="219">
        <v>11000</v>
      </c>
      <c r="U242" s="222">
        <v>12000</v>
      </c>
      <c r="V242" s="212" t="s">
        <v>1643</v>
      </c>
      <c r="W242" s="213" t="s">
        <v>1643</v>
      </c>
      <c r="X242" s="213" t="s">
        <v>1644</v>
      </c>
      <c r="Y242" s="213" t="s">
        <v>1643</v>
      </c>
      <c r="Z242" s="213" t="s">
        <v>1643</v>
      </c>
      <c r="AA242" s="213" t="s">
        <v>1643</v>
      </c>
      <c r="AB242" s="213" t="s">
        <v>1643</v>
      </c>
      <c r="AC242" s="213" t="s">
        <v>1643</v>
      </c>
      <c r="AD242" s="213" t="s">
        <v>1643</v>
      </c>
      <c r="AE242" s="213" t="s">
        <v>1643</v>
      </c>
      <c r="AF242" s="213" t="s">
        <v>1643</v>
      </c>
      <c r="AG242" s="214" t="s">
        <v>1644</v>
      </c>
      <c r="AH242" s="212" t="s">
        <v>1644</v>
      </c>
      <c r="AI242" s="213" t="s">
        <v>1644</v>
      </c>
      <c r="AJ242" s="213" t="s">
        <v>1644</v>
      </c>
      <c r="AK242" s="213" t="s">
        <v>1644</v>
      </c>
      <c r="AL242" s="213" t="s">
        <v>1644</v>
      </c>
      <c r="AM242" s="213" t="s">
        <v>1643</v>
      </c>
      <c r="AN242" s="213" t="s">
        <v>1643</v>
      </c>
      <c r="AO242" s="213" t="s">
        <v>1643</v>
      </c>
      <c r="AP242" s="213" t="s">
        <v>1644</v>
      </c>
      <c r="AQ242" s="213" t="s">
        <v>1643</v>
      </c>
      <c r="AR242" s="213" t="s">
        <v>1643</v>
      </c>
      <c r="AS242" s="214" t="s">
        <v>1644</v>
      </c>
    </row>
    <row r="243" spans="1:45" ht="15.75" thickBot="1" x14ac:dyDescent="0.3">
      <c r="A243" s="212" t="s">
        <v>981</v>
      </c>
      <c r="B243" s="48" t="s">
        <v>982</v>
      </c>
      <c r="C243" s="214" t="s">
        <v>803</v>
      </c>
      <c r="D243" s="225"/>
      <c r="E243" s="226"/>
      <c r="F243" s="226"/>
      <c r="G243" s="221">
        <v>40</v>
      </c>
      <c r="H243" s="219">
        <v>25000</v>
      </c>
      <c r="I243" s="219">
        <v>35000</v>
      </c>
      <c r="J243" s="227"/>
      <c r="K243" s="226"/>
      <c r="L243" s="226"/>
      <c r="M243" s="221">
        <v>20</v>
      </c>
      <c r="N243" s="219">
        <v>10500</v>
      </c>
      <c r="O243" s="219">
        <v>13500</v>
      </c>
      <c r="P243" s="221">
        <v>40</v>
      </c>
      <c r="Q243" s="219">
        <v>25000</v>
      </c>
      <c r="R243" s="219">
        <v>35000</v>
      </c>
      <c r="S243" s="221">
        <v>20</v>
      </c>
      <c r="T243" s="219">
        <v>10400</v>
      </c>
      <c r="U243" s="222">
        <v>12480</v>
      </c>
      <c r="V243" s="212" t="s">
        <v>1643</v>
      </c>
      <c r="W243" s="213" t="s">
        <v>1643</v>
      </c>
      <c r="X243" s="213" t="s">
        <v>1643</v>
      </c>
      <c r="Y243" s="213" t="s">
        <v>1643</v>
      </c>
      <c r="Z243" s="213" t="s">
        <v>1643</v>
      </c>
      <c r="AA243" s="213" t="s">
        <v>1643</v>
      </c>
      <c r="AB243" s="213" t="s">
        <v>1643</v>
      </c>
      <c r="AC243" s="213" t="s">
        <v>1643</v>
      </c>
      <c r="AD243" s="213" t="s">
        <v>1643</v>
      </c>
      <c r="AE243" s="213" t="s">
        <v>1644</v>
      </c>
      <c r="AF243" s="213" t="s">
        <v>1643</v>
      </c>
      <c r="AG243" s="214" t="s">
        <v>1643</v>
      </c>
      <c r="AH243" s="212" t="s">
        <v>1644</v>
      </c>
      <c r="AI243" s="213" t="s">
        <v>1644</v>
      </c>
      <c r="AJ243" s="213" t="s">
        <v>1644</v>
      </c>
      <c r="AK243" s="213" t="s">
        <v>1644</v>
      </c>
      <c r="AL243" s="213" t="s">
        <v>1644</v>
      </c>
      <c r="AM243" s="213" t="s">
        <v>1643</v>
      </c>
      <c r="AN243" s="213" t="s">
        <v>1643</v>
      </c>
      <c r="AO243" s="213" t="s">
        <v>1644</v>
      </c>
      <c r="AP243" s="213" t="s">
        <v>1644</v>
      </c>
      <c r="AQ243" s="213" t="s">
        <v>1644</v>
      </c>
      <c r="AR243" s="213" t="s">
        <v>1643</v>
      </c>
      <c r="AS243" s="214" t="s">
        <v>1644</v>
      </c>
    </row>
    <row r="244" spans="1:45" ht="15.75" thickBot="1" x14ac:dyDescent="0.3">
      <c r="A244" s="212" t="s">
        <v>1007</v>
      </c>
      <c r="B244" s="48" t="s">
        <v>1008</v>
      </c>
      <c r="C244" s="214" t="s">
        <v>803</v>
      </c>
      <c r="D244" s="218" t="s">
        <v>3453</v>
      </c>
      <c r="E244" s="219">
        <v>47278</v>
      </c>
      <c r="F244" s="219">
        <v>54000</v>
      </c>
      <c r="G244" s="220" t="s">
        <v>850</v>
      </c>
      <c r="H244" s="220" t="s">
        <v>850</v>
      </c>
      <c r="I244" s="220" t="s">
        <v>850</v>
      </c>
      <c r="J244" s="220" t="s">
        <v>850</v>
      </c>
      <c r="K244" s="220" t="s">
        <v>850</v>
      </c>
      <c r="L244" s="220" t="s">
        <v>850</v>
      </c>
      <c r="M244" s="227"/>
      <c r="N244" s="226"/>
      <c r="O244" s="226"/>
      <c r="P244" s="220" t="s">
        <v>850</v>
      </c>
      <c r="Q244" s="220" t="s">
        <v>850</v>
      </c>
      <c r="R244" s="220" t="s">
        <v>850</v>
      </c>
      <c r="S244" s="227"/>
      <c r="T244" s="226"/>
      <c r="U244" s="228"/>
      <c r="V244" s="212" t="s">
        <v>1643</v>
      </c>
      <c r="W244" s="213" t="s">
        <v>1643</v>
      </c>
      <c r="X244" s="213" t="s">
        <v>1643</v>
      </c>
      <c r="Y244" s="210" t="s">
        <v>1644</v>
      </c>
      <c r="Z244" s="213" t="s">
        <v>1643</v>
      </c>
      <c r="AA244" s="213" t="s">
        <v>1643</v>
      </c>
      <c r="AB244" s="213" t="s">
        <v>1643</v>
      </c>
      <c r="AC244" s="213" t="s">
        <v>1643</v>
      </c>
      <c r="AD244" s="213" t="s">
        <v>1644</v>
      </c>
      <c r="AE244" s="213" t="s">
        <v>1644</v>
      </c>
      <c r="AF244" s="213" t="s">
        <v>1644</v>
      </c>
      <c r="AG244" s="214" t="s">
        <v>1644</v>
      </c>
      <c r="AH244" s="209" t="s">
        <v>1644</v>
      </c>
      <c r="AI244" s="210" t="s">
        <v>1644</v>
      </c>
      <c r="AJ244" s="210" t="s">
        <v>1644</v>
      </c>
      <c r="AK244" s="210" t="s">
        <v>1644</v>
      </c>
      <c r="AL244" s="210" t="s">
        <v>1644</v>
      </c>
      <c r="AM244" s="210" t="s">
        <v>1644</v>
      </c>
      <c r="AN244" s="210" t="s">
        <v>1644</v>
      </c>
      <c r="AO244" s="210" t="s">
        <v>1644</v>
      </c>
      <c r="AP244" s="210" t="s">
        <v>1644</v>
      </c>
      <c r="AQ244" s="210" t="s">
        <v>1644</v>
      </c>
      <c r="AR244" s="210" t="s">
        <v>1644</v>
      </c>
      <c r="AS244" s="211" t="s">
        <v>1644</v>
      </c>
    </row>
    <row r="245" spans="1:45" ht="15.75" thickBot="1" x14ac:dyDescent="0.3">
      <c r="A245" s="212" t="s">
        <v>1009</v>
      </c>
      <c r="B245" s="48" t="s">
        <v>1010</v>
      </c>
      <c r="C245" s="214" t="s">
        <v>803</v>
      </c>
      <c r="D245" s="223" t="s">
        <v>850</v>
      </c>
      <c r="E245" s="220" t="s">
        <v>850</v>
      </c>
      <c r="F245" s="220" t="s">
        <v>850</v>
      </c>
      <c r="G245" s="221">
        <v>40</v>
      </c>
      <c r="H245" s="219">
        <v>50000</v>
      </c>
      <c r="I245" s="219">
        <v>65000</v>
      </c>
      <c r="J245" s="221">
        <v>40</v>
      </c>
      <c r="K245" s="219">
        <v>43888</v>
      </c>
      <c r="L245" s="219">
        <v>55000</v>
      </c>
      <c r="M245" s="221">
        <v>20</v>
      </c>
      <c r="N245" s="219">
        <v>18980</v>
      </c>
      <c r="O245" s="219">
        <v>30000</v>
      </c>
      <c r="P245" s="221">
        <v>40</v>
      </c>
      <c r="Q245" s="219">
        <v>50000</v>
      </c>
      <c r="R245" s="219">
        <v>65000</v>
      </c>
      <c r="S245" s="221">
        <v>15</v>
      </c>
      <c r="T245" s="219">
        <v>9375</v>
      </c>
      <c r="U245" s="222">
        <v>12500</v>
      </c>
      <c r="V245" s="212" t="s">
        <v>1643</v>
      </c>
      <c r="W245" s="213" t="s">
        <v>1644</v>
      </c>
      <c r="X245" s="213" t="s">
        <v>1643</v>
      </c>
      <c r="Y245" s="213" t="s">
        <v>1644</v>
      </c>
      <c r="Z245" s="213" t="s">
        <v>1644</v>
      </c>
      <c r="AA245" s="213" t="s">
        <v>1643</v>
      </c>
      <c r="AB245" s="213" t="s">
        <v>1643</v>
      </c>
      <c r="AC245" s="213" t="s">
        <v>1643</v>
      </c>
      <c r="AD245" s="213" t="s">
        <v>1643</v>
      </c>
      <c r="AE245" s="213" t="s">
        <v>1643</v>
      </c>
      <c r="AF245" s="213" t="s">
        <v>1644</v>
      </c>
      <c r="AG245" s="214" t="s">
        <v>1643</v>
      </c>
      <c r="AH245" s="212" t="s">
        <v>1644</v>
      </c>
      <c r="AI245" s="213" t="s">
        <v>1644</v>
      </c>
      <c r="AJ245" s="213" t="s">
        <v>1644</v>
      </c>
      <c r="AK245" s="213" t="s">
        <v>1644</v>
      </c>
      <c r="AL245" s="213" t="s">
        <v>1644</v>
      </c>
      <c r="AM245" s="213" t="s">
        <v>1644</v>
      </c>
      <c r="AN245" s="213" t="s">
        <v>1644</v>
      </c>
      <c r="AO245" s="213" t="s">
        <v>1644</v>
      </c>
      <c r="AP245" s="213" t="s">
        <v>1643</v>
      </c>
      <c r="AQ245" s="213" t="s">
        <v>1644</v>
      </c>
      <c r="AR245" s="213" t="s">
        <v>1644</v>
      </c>
      <c r="AS245" s="214" t="s">
        <v>1643</v>
      </c>
    </row>
    <row r="246" spans="1:45" ht="15.75" thickBot="1" x14ac:dyDescent="0.3">
      <c r="A246" s="212" t="s">
        <v>1017</v>
      </c>
      <c r="B246" s="48" t="s">
        <v>1018</v>
      </c>
      <c r="C246" s="214" t="s">
        <v>803</v>
      </c>
      <c r="D246" s="223" t="s">
        <v>850</v>
      </c>
      <c r="E246" s="220" t="s">
        <v>850</v>
      </c>
      <c r="F246" s="220" t="s">
        <v>850</v>
      </c>
      <c r="G246" s="221">
        <v>40</v>
      </c>
      <c r="H246" s="219">
        <v>29500</v>
      </c>
      <c r="I246" s="219">
        <v>39798</v>
      </c>
      <c r="J246" s="220" t="s">
        <v>850</v>
      </c>
      <c r="K246" s="220" t="s">
        <v>850</v>
      </c>
      <c r="L246" s="220" t="s">
        <v>850</v>
      </c>
      <c r="M246" s="220" t="s">
        <v>850</v>
      </c>
      <c r="N246" s="220" t="s">
        <v>850</v>
      </c>
      <c r="O246" s="220" t="s">
        <v>850</v>
      </c>
      <c r="P246" s="220" t="s">
        <v>850</v>
      </c>
      <c r="Q246" s="220" t="s">
        <v>850</v>
      </c>
      <c r="R246" s="220" t="s">
        <v>850</v>
      </c>
      <c r="S246" s="221">
        <v>18</v>
      </c>
      <c r="T246" s="219">
        <v>7163</v>
      </c>
      <c r="U246" s="222">
        <v>16913</v>
      </c>
      <c r="V246" s="212" t="s">
        <v>1643</v>
      </c>
      <c r="W246" s="213" t="s">
        <v>1643</v>
      </c>
      <c r="X246" s="213" t="s">
        <v>1644</v>
      </c>
      <c r="Y246" s="213" t="s">
        <v>1643</v>
      </c>
      <c r="Z246" s="213" t="s">
        <v>1643</v>
      </c>
      <c r="AA246" s="213" t="s">
        <v>1643</v>
      </c>
      <c r="AB246" s="213" t="s">
        <v>1643</v>
      </c>
      <c r="AC246" s="213" t="s">
        <v>1643</v>
      </c>
      <c r="AD246" s="213" t="s">
        <v>1643</v>
      </c>
      <c r="AE246" s="213" t="s">
        <v>1644</v>
      </c>
      <c r="AF246" s="213" t="s">
        <v>1643</v>
      </c>
      <c r="AG246" s="214" t="s">
        <v>1644</v>
      </c>
      <c r="AH246" s="212" t="s">
        <v>1644</v>
      </c>
      <c r="AI246" s="213" t="s">
        <v>1644</v>
      </c>
      <c r="AJ246" s="213" t="s">
        <v>1644</v>
      </c>
      <c r="AK246" s="213" t="s">
        <v>1644</v>
      </c>
      <c r="AL246" s="213" t="s">
        <v>1644</v>
      </c>
      <c r="AM246" s="213" t="s">
        <v>1643</v>
      </c>
      <c r="AN246" s="213" t="s">
        <v>1644</v>
      </c>
      <c r="AO246" s="213" t="s">
        <v>1643</v>
      </c>
      <c r="AP246" s="213" t="s">
        <v>1643</v>
      </c>
      <c r="AQ246" s="213" t="s">
        <v>1644</v>
      </c>
      <c r="AR246" s="213" t="s">
        <v>1644</v>
      </c>
      <c r="AS246" s="214" t="s">
        <v>1644</v>
      </c>
    </row>
    <row r="247" spans="1:45" ht="15.75" thickBot="1" x14ac:dyDescent="0.3">
      <c r="A247" s="212" t="s">
        <v>1027</v>
      </c>
      <c r="B247" s="48" t="s">
        <v>1028</v>
      </c>
      <c r="C247" s="214" t="s">
        <v>803</v>
      </c>
      <c r="D247" s="225"/>
      <c r="E247" s="226"/>
      <c r="F247" s="226"/>
      <c r="G247" s="227"/>
      <c r="H247" s="226"/>
      <c r="I247" s="226"/>
      <c r="J247" s="227"/>
      <c r="K247" s="226"/>
      <c r="L247" s="226"/>
      <c r="M247" s="221">
        <v>26</v>
      </c>
      <c r="N247" s="219">
        <v>20150</v>
      </c>
      <c r="O247" s="219">
        <v>23957</v>
      </c>
      <c r="P247" s="221">
        <v>27</v>
      </c>
      <c r="Q247" s="219">
        <v>20150</v>
      </c>
      <c r="R247" s="219">
        <v>23957</v>
      </c>
      <c r="S247" s="221">
        <v>24</v>
      </c>
      <c r="T247" s="219">
        <v>10621</v>
      </c>
      <c r="U247" s="222">
        <v>24140</v>
      </c>
      <c r="V247" s="212" t="s">
        <v>1643</v>
      </c>
      <c r="W247" s="213" t="s">
        <v>1643</v>
      </c>
      <c r="X247" s="213" t="s">
        <v>1644</v>
      </c>
      <c r="Y247" s="213" t="s">
        <v>1644</v>
      </c>
      <c r="Z247" s="213" t="s">
        <v>1643</v>
      </c>
      <c r="AA247" s="213" t="s">
        <v>1643</v>
      </c>
      <c r="AB247" s="213" t="s">
        <v>1643</v>
      </c>
      <c r="AC247" s="213" t="s">
        <v>1643</v>
      </c>
      <c r="AD247" s="213" t="s">
        <v>1643</v>
      </c>
      <c r="AE247" s="213" t="s">
        <v>1644</v>
      </c>
      <c r="AF247" s="213" t="s">
        <v>1643</v>
      </c>
      <c r="AG247" s="214" t="s">
        <v>1644</v>
      </c>
      <c r="AH247" s="212" t="s">
        <v>1643</v>
      </c>
      <c r="AI247" s="213" t="s">
        <v>1643</v>
      </c>
      <c r="AJ247" s="213" t="s">
        <v>1644</v>
      </c>
      <c r="AK247" s="213" t="s">
        <v>1644</v>
      </c>
      <c r="AL247" s="213" t="s">
        <v>1643</v>
      </c>
      <c r="AM247" s="213" t="s">
        <v>1643</v>
      </c>
      <c r="AN247" s="213" t="s">
        <v>1643</v>
      </c>
      <c r="AO247" s="213" t="s">
        <v>1643</v>
      </c>
      <c r="AP247" s="213" t="s">
        <v>1643</v>
      </c>
      <c r="AQ247" s="213" t="s">
        <v>1644</v>
      </c>
      <c r="AR247" s="213" t="s">
        <v>1643</v>
      </c>
      <c r="AS247" s="214" t="s">
        <v>1644</v>
      </c>
    </row>
    <row r="248" spans="1:45" ht="15.75" thickBot="1" x14ac:dyDescent="0.3">
      <c r="A248" s="212" t="s">
        <v>1043</v>
      </c>
      <c r="B248" s="48" t="s">
        <v>1044</v>
      </c>
      <c r="C248" s="214" t="s">
        <v>803</v>
      </c>
      <c r="D248" s="223" t="s">
        <v>850</v>
      </c>
      <c r="E248" s="220" t="s">
        <v>850</v>
      </c>
      <c r="F248" s="220" t="s">
        <v>850</v>
      </c>
      <c r="G248" s="221">
        <v>40</v>
      </c>
      <c r="H248" s="219">
        <v>40000</v>
      </c>
      <c r="I248" s="219">
        <v>45918</v>
      </c>
      <c r="J248" s="221">
        <v>40</v>
      </c>
      <c r="K248" s="219">
        <v>30000</v>
      </c>
      <c r="L248" s="219">
        <v>40902</v>
      </c>
      <c r="M248" s="220" t="s">
        <v>850</v>
      </c>
      <c r="N248" s="220" t="s">
        <v>850</v>
      </c>
      <c r="O248" s="220" t="s">
        <v>850</v>
      </c>
      <c r="P248" s="220" t="s">
        <v>850</v>
      </c>
      <c r="Q248" s="220" t="s">
        <v>850</v>
      </c>
      <c r="R248" s="220" t="s">
        <v>850</v>
      </c>
      <c r="S248" s="221">
        <v>40</v>
      </c>
      <c r="T248" s="219">
        <v>30000</v>
      </c>
      <c r="U248" s="222">
        <v>36295</v>
      </c>
      <c r="V248" s="212" t="s">
        <v>1643</v>
      </c>
      <c r="W248" s="213" t="s">
        <v>1643</v>
      </c>
      <c r="X248" s="213" t="s">
        <v>1643</v>
      </c>
      <c r="Y248" s="213" t="s">
        <v>1643</v>
      </c>
      <c r="Z248" s="213" t="s">
        <v>1643</v>
      </c>
      <c r="AA248" s="213" t="s">
        <v>1643</v>
      </c>
      <c r="AB248" s="213" t="s">
        <v>1643</v>
      </c>
      <c r="AC248" s="213" t="s">
        <v>1643</v>
      </c>
      <c r="AD248" s="213" t="s">
        <v>1644</v>
      </c>
      <c r="AE248" s="213" t="s">
        <v>1644</v>
      </c>
      <c r="AF248" s="213" t="s">
        <v>1643</v>
      </c>
      <c r="AG248" s="214" t="s">
        <v>1643</v>
      </c>
      <c r="AH248" s="212" t="s">
        <v>1644</v>
      </c>
      <c r="AI248" s="213" t="s">
        <v>1644</v>
      </c>
      <c r="AJ248" s="213" t="s">
        <v>1644</v>
      </c>
      <c r="AK248" s="213" t="s">
        <v>1643</v>
      </c>
      <c r="AL248" s="213" t="s">
        <v>1644</v>
      </c>
      <c r="AM248" s="213" t="s">
        <v>1644</v>
      </c>
      <c r="AN248" s="213" t="s">
        <v>1644</v>
      </c>
      <c r="AO248" s="213" t="s">
        <v>1643</v>
      </c>
      <c r="AP248" s="213" t="s">
        <v>1644</v>
      </c>
      <c r="AQ248" s="213" t="s">
        <v>1644</v>
      </c>
      <c r="AR248" s="213" t="s">
        <v>1644</v>
      </c>
      <c r="AS248" s="214" t="s">
        <v>1643</v>
      </c>
    </row>
    <row r="249" spans="1:45" ht="15.75" thickBot="1" x14ac:dyDescent="0.3">
      <c r="A249" s="212" t="s">
        <v>1053</v>
      </c>
      <c r="B249" s="48" t="s">
        <v>1054</v>
      </c>
      <c r="C249" s="214" t="s">
        <v>803</v>
      </c>
      <c r="D249" s="223" t="s">
        <v>850</v>
      </c>
      <c r="E249" s="220" t="s">
        <v>850</v>
      </c>
      <c r="F249" s="220" t="s">
        <v>850</v>
      </c>
      <c r="G249" s="220" t="s">
        <v>850</v>
      </c>
      <c r="H249" s="220" t="s">
        <v>850</v>
      </c>
      <c r="I249" s="220" t="s">
        <v>850</v>
      </c>
      <c r="J249" s="220" t="s">
        <v>850</v>
      </c>
      <c r="K249" s="220" t="s">
        <v>850</v>
      </c>
      <c r="L249" s="220" t="s">
        <v>850</v>
      </c>
      <c r="M249" s="220" t="s">
        <v>850</v>
      </c>
      <c r="N249" s="220" t="s">
        <v>850</v>
      </c>
      <c r="O249" s="220" t="s">
        <v>850</v>
      </c>
      <c r="P249" s="220" t="s">
        <v>850</v>
      </c>
      <c r="Q249" s="220" t="s">
        <v>850</v>
      </c>
      <c r="R249" s="220" t="s">
        <v>850</v>
      </c>
      <c r="S249" s="221">
        <v>28</v>
      </c>
      <c r="T249" s="219">
        <v>18928</v>
      </c>
      <c r="U249" s="222">
        <v>21767</v>
      </c>
      <c r="V249" s="212" t="s">
        <v>1644</v>
      </c>
      <c r="W249" s="213" t="s">
        <v>1644</v>
      </c>
      <c r="X249" s="213" t="s">
        <v>1644</v>
      </c>
      <c r="Y249" s="213" t="s">
        <v>1644</v>
      </c>
      <c r="Z249" s="213" t="s">
        <v>1644</v>
      </c>
      <c r="AA249" s="213" t="s">
        <v>1643</v>
      </c>
      <c r="AB249" s="213" t="s">
        <v>1643</v>
      </c>
      <c r="AC249" s="213" t="s">
        <v>1643</v>
      </c>
      <c r="AD249" s="213" t="s">
        <v>1644</v>
      </c>
      <c r="AE249" s="213" t="s">
        <v>1644</v>
      </c>
      <c r="AF249" s="213" t="s">
        <v>1643</v>
      </c>
      <c r="AG249" s="214" t="s">
        <v>1644</v>
      </c>
      <c r="AH249" s="212" t="s">
        <v>1644</v>
      </c>
      <c r="AI249" s="213" t="s">
        <v>1644</v>
      </c>
      <c r="AJ249" s="213" t="s">
        <v>1644</v>
      </c>
      <c r="AK249" s="213" t="s">
        <v>1644</v>
      </c>
      <c r="AL249" s="213" t="s">
        <v>1644</v>
      </c>
      <c r="AM249" s="213" t="s">
        <v>1643</v>
      </c>
      <c r="AN249" s="213" t="s">
        <v>1643</v>
      </c>
      <c r="AO249" s="213" t="s">
        <v>1643</v>
      </c>
      <c r="AP249" s="213" t="s">
        <v>1644</v>
      </c>
      <c r="AQ249" s="213" t="s">
        <v>1644</v>
      </c>
      <c r="AR249" s="213" t="s">
        <v>1643</v>
      </c>
      <c r="AS249" s="214" t="s">
        <v>1644</v>
      </c>
    </row>
    <row r="250" spans="1:45" ht="15.75" thickBot="1" x14ac:dyDescent="0.3">
      <c r="A250" s="212" t="s">
        <v>1055</v>
      </c>
      <c r="B250" s="48" t="s">
        <v>1056</v>
      </c>
      <c r="C250" s="214" t="s">
        <v>803</v>
      </c>
      <c r="D250" s="218">
        <v>40</v>
      </c>
      <c r="E250" s="219">
        <v>50000</v>
      </c>
      <c r="F250" s="219">
        <v>62000</v>
      </c>
      <c r="G250" s="221">
        <v>40</v>
      </c>
      <c r="H250" s="219">
        <v>38000</v>
      </c>
      <c r="I250" s="219">
        <v>52000</v>
      </c>
      <c r="J250" s="220" t="s">
        <v>850</v>
      </c>
      <c r="K250" s="220" t="s">
        <v>850</v>
      </c>
      <c r="L250" s="220" t="s">
        <v>850</v>
      </c>
      <c r="M250" s="221">
        <v>40</v>
      </c>
      <c r="N250" s="219">
        <v>34000</v>
      </c>
      <c r="O250" s="219">
        <v>45000</v>
      </c>
      <c r="P250" s="220" t="s">
        <v>850</v>
      </c>
      <c r="Q250" s="220" t="s">
        <v>850</v>
      </c>
      <c r="R250" s="220" t="s">
        <v>850</v>
      </c>
      <c r="S250" s="221">
        <v>25</v>
      </c>
      <c r="T250" s="219">
        <v>15600</v>
      </c>
      <c r="U250" s="222">
        <v>22750</v>
      </c>
      <c r="V250" s="212" t="s">
        <v>1643</v>
      </c>
      <c r="W250" s="213" t="s">
        <v>1643</v>
      </c>
      <c r="X250" s="213" t="s">
        <v>1643</v>
      </c>
      <c r="Y250" s="213" t="s">
        <v>1644</v>
      </c>
      <c r="Z250" s="213" t="s">
        <v>1643</v>
      </c>
      <c r="AA250" s="213" t="s">
        <v>1643</v>
      </c>
      <c r="AB250" s="213" t="s">
        <v>1643</v>
      </c>
      <c r="AC250" s="213" t="s">
        <v>1643</v>
      </c>
      <c r="AD250" s="213" t="s">
        <v>1644</v>
      </c>
      <c r="AE250" s="213" t="s">
        <v>1643</v>
      </c>
      <c r="AF250" s="213" t="s">
        <v>1643</v>
      </c>
      <c r="AG250" s="214" t="s">
        <v>1644</v>
      </c>
      <c r="AH250" s="212" t="s">
        <v>1644</v>
      </c>
      <c r="AI250" s="213" t="s">
        <v>1644</v>
      </c>
      <c r="AJ250" s="213" t="s">
        <v>1644</v>
      </c>
      <c r="AK250" s="213" t="s">
        <v>1644</v>
      </c>
      <c r="AL250" s="213" t="s">
        <v>1644</v>
      </c>
      <c r="AM250" s="213" t="s">
        <v>1643</v>
      </c>
      <c r="AN250" s="213" t="s">
        <v>1643</v>
      </c>
      <c r="AO250" s="213" t="s">
        <v>1643</v>
      </c>
      <c r="AP250" s="213" t="s">
        <v>1644</v>
      </c>
      <c r="AQ250" s="213" t="s">
        <v>1644</v>
      </c>
      <c r="AR250" s="213" t="s">
        <v>1643</v>
      </c>
      <c r="AS250" s="214" t="s">
        <v>1644</v>
      </c>
    </row>
    <row r="251" spans="1:45" ht="15.75" thickBot="1" x14ac:dyDescent="0.3">
      <c r="A251" s="212" t="s">
        <v>1059</v>
      </c>
      <c r="B251" s="48" t="s">
        <v>1060</v>
      </c>
      <c r="C251" s="214" t="s">
        <v>803</v>
      </c>
      <c r="D251" s="223" t="s">
        <v>850</v>
      </c>
      <c r="E251" s="220" t="s">
        <v>850</v>
      </c>
      <c r="F251" s="220" t="s">
        <v>850</v>
      </c>
      <c r="G251" s="221">
        <v>40</v>
      </c>
      <c r="H251" s="219">
        <v>30000</v>
      </c>
      <c r="I251" s="219">
        <v>35000</v>
      </c>
      <c r="J251" s="221">
        <v>40</v>
      </c>
      <c r="K251" s="219">
        <v>40000</v>
      </c>
      <c r="L251" s="219">
        <v>45000</v>
      </c>
      <c r="M251" s="221">
        <v>40</v>
      </c>
      <c r="N251" s="219">
        <v>35000</v>
      </c>
      <c r="O251" s="219">
        <v>40000</v>
      </c>
      <c r="P251" s="220" t="s">
        <v>850</v>
      </c>
      <c r="Q251" s="220" t="s">
        <v>850</v>
      </c>
      <c r="R251" s="220" t="s">
        <v>850</v>
      </c>
      <c r="S251" s="221">
        <v>25</v>
      </c>
      <c r="T251" s="219">
        <v>8500</v>
      </c>
      <c r="U251" s="222">
        <v>20000</v>
      </c>
      <c r="V251" s="212" t="s">
        <v>1643</v>
      </c>
      <c r="W251" s="213" t="s">
        <v>1643</v>
      </c>
      <c r="X251" s="213" t="s">
        <v>1643</v>
      </c>
      <c r="Y251" s="213" t="s">
        <v>1644</v>
      </c>
      <c r="Z251" s="213" t="s">
        <v>1643</v>
      </c>
      <c r="AA251" s="213" t="s">
        <v>1643</v>
      </c>
      <c r="AB251" s="213" t="s">
        <v>1643</v>
      </c>
      <c r="AC251" s="213" t="s">
        <v>1643</v>
      </c>
      <c r="AD251" s="213" t="s">
        <v>1644</v>
      </c>
      <c r="AE251" s="213" t="s">
        <v>1644</v>
      </c>
      <c r="AF251" s="213" t="s">
        <v>1644</v>
      </c>
      <c r="AG251" s="214" t="s">
        <v>1643</v>
      </c>
      <c r="AH251" s="212" t="s">
        <v>1644</v>
      </c>
      <c r="AI251" s="213" t="s">
        <v>1644</v>
      </c>
      <c r="AJ251" s="213" t="s">
        <v>1644</v>
      </c>
      <c r="AK251" s="213" t="s">
        <v>1644</v>
      </c>
      <c r="AL251" s="213" t="s">
        <v>1644</v>
      </c>
      <c r="AM251" s="213" t="s">
        <v>1643</v>
      </c>
      <c r="AN251" s="213" t="s">
        <v>1643</v>
      </c>
      <c r="AO251" s="213" t="s">
        <v>1643</v>
      </c>
      <c r="AP251" s="213" t="s">
        <v>1644</v>
      </c>
      <c r="AQ251" s="213" t="s">
        <v>1644</v>
      </c>
      <c r="AR251" s="213" t="s">
        <v>1644</v>
      </c>
      <c r="AS251" s="214" t="s">
        <v>1644</v>
      </c>
    </row>
    <row r="252" spans="1:45" ht="15.75" thickBot="1" x14ac:dyDescent="0.3">
      <c r="A252" s="212" t="s">
        <v>1061</v>
      </c>
      <c r="B252" s="48" t="s">
        <v>1062</v>
      </c>
      <c r="C252" s="214" t="s">
        <v>803</v>
      </c>
      <c r="D252" s="225"/>
      <c r="E252" s="226"/>
      <c r="F252" s="226"/>
      <c r="G252" s="227"/>
      <c r="H252" s="226"/>
      <c r="I252" s="226"/>
      <c r="J252" s="221">
        <v>40</v>
      </c>
      <c r="K252" s="219">
        <v>46862</v>
      </c>
      <c r="L252" s="219">
        <v>46862</v>
      </c>
      <c r="M252" s="221">
        <v>4</v>
      </c>
      <c r="N252" s="219">
        <v>4672</v>
      </c>
      <c r="O252" s="219">
        <v>4672</v>
      </c>
      <c r="P252" s="221">
        <v>6</v>
      </c>
      <c r="Q252" s="219">
        <v>12810</v>
      </c>
      <c r="R252" s="219">
        <v>12810</v>
      </c>
      <c r="S252" s="221">
        <v>16</v>
      </c>
      <c r="T252" s="219">
        <v>8694</v>
      </c>
      <c r="U252" s="222">
        <v>13752</v>
      </c>
      <c r="V252" s="212" t="s">
        <v>1644</v>
      </c>
      <c r="W252" s="213" t="s">
        <v>1644</v>
      </c>
      <c r="X252" s="213" t="s">
        <v>1643</v>
      </c>
      <c r="Y252" s="213" t="s">
        <v>1644</v>
      </c>
      <c r="Z252" s="213" t="s">
        <v>1644</v>
      </c>
      <c r="AA252" s="213" t="s">
        <v>1643</v>
      </c>
      <c r="AB252" s="213" t="s">
        <v>1643</v>
      </c>
      <c r="AC252" s="213" t="s">
        <v>1643</v>
      </c>
      <c r="AD252" s="213" t="s">
        <v>1644</v>
      </c>
      <c r="AE252" s="213" t="s">
        <v>1644</v>
      </c>
      <c r="AF252" s="213" t="s">
        <v>1644</v>
      </c>
      <c r="AG252" s="214" t="s">
        <v>1644</v>
      </c>
      <c r="AH252" s="212" t="s">
        <v>1644</v>
      </c>
      <c r="AI252" s="213" t="s">
        <v>1644</v>
      </c>
      <c r="AJ252" s="213" t="s">
        <v>1644</v>
      </c>
      <c r="AK252" s="213" t="s">
        <v>1644</v>
      </c>
      <c r="AL252" s="213" t="s">
        <v>1644</v>
      </c>
      <c r="AM252" s="213" t="s">
        <v>1644</v>
      </c>
      <c r="AN252" s="213" t="s">
        <v>1644</v>
      </c>
      <c r="AO252" s="213" t="s">
        <v>1644</v>
      </c>
      <c r="AP252" s="213" t="s">
        <v>1644</v>
      </c>
      <c r="AQ252" s="213" t="s">
        <v>1644</v>
      </c>
      <c r="AR252" s="213" t="s">
        <v>1644</v>
      </c>
      <c r="AS252" s="214" t="s">
        <v>1644</v>
      </c>
    </row>
    <row r="253" spans="1:45" ht="15.75" thickBot="1" x14ac:dyDescent="0.3">
      <c r="A253" s="212" t="s">
        <v>1067</v>
      </c>
      <c r="B253" s="48" t="s">
        <v>1068</v>
      </c>
      <c r="C253" s="214" t="s">
        <v>803</v>
      </c>
      <c r="D253" s="218">
        <v>35</v>
      </c>
      <c r="E253" s="219">
        <v>60000</v>
      </c>
      <c r="F253" s="219">
        <v>70000</v>
      </c>
      <c r="G253" s="221">
        <v>35</v>
      </c>
      <c r="H253" s="220" t="s">
        <v>850</v>
      </c>
      <c r="I253" s="220" t="s">
        <v>850</v>
      </c>
      <c r="J253" s="221">
        <v>35</v>
      </c>
      <c r="K253" s="219">
        <v>40000</v>
      </c>
      <c r="L253" s="219">
        <v>50000</v>
      </c>
      <c r="M253" s="221">
        <v>35</v>
      </c>
      <c r="N253" s="219">
        <v>32000</v>
      </c>
      <c r="O253" s="219">
        <v>40000</v>
      </c>
      <c r="P253" s="220" t="s">
        <v>850</v>
      </c>
      <c r="Q253" s="220" t="s">
        <v>850</v>
      </c>
      <c r="R253" s="220" t="s">
        <v>850</v>
      </c>
      <c r="S253" s="221">
        <v>25</v>
      </c>
      <c r="T253" s="219">
        <v>11700</v>
      </c>
      <c r="U253" s="222">
        <v>25000</v>
      </c>
      <c r="V253" s="212" t="s">
        <v>1643</v>
      </c>
      <c r="W253" s="213" t="s">
        <v>1643</v>
      </c>
      <c r="X253" s="213" t="s">
        <v>1644</v>
      </c>
      <c r="Y253" s="213" t="s">
        <v>1643</v>
      </c>
      <c r="Z253" s="213" t="s">
        <v>1643</v>
      </c>
      <c r="AA253" s="213" t="s">
        <v>1643</v>
      </c>
      <c r="AB253" s="213" t="s">
        <v>1643</v>
      </c>
      <c r="AC253" s="213" t="s">
        <v>1643</v>
      </c>
      <c r="AD253" s="213" t="s">
        <v>1644</v>
      </c>
      <c r="AE253" s="213" t="s">
        <v>1644</v>
      </c>
      <c r="AF253" s="213" t="s">
        <v>1643</v>
      </c>
      <c r="AG253" s="214" t="s">
        <v>1644</v>
      </c>
      <c r="AH253" s="212" t="s">
        <v>1644</v>
      </c>
      <c r="AI253" s="213" t="s">
        <v>1644</v>
      </c>
      <c r="AJ253" s="213" t="s">
        <v>1644</v>
      </c>
      <c r="AK253" s="213" t="s">
        <v>1644</v>
      </c>
      <c r="AL253" s="213" t="s">
        <v>1644</v>
      </c>
      <c r="AM253" s="213" t="s">
        <v>1643</v>
      </c>
      <c r="AN253" s="213" t="s">
        <v>1644</v>
      </c>
      <c r="AO253" s="210" t="s">
        <v>1644</v>
      </c>
      <c r="AP253" s="213" t="s">
        <v>1644</v>
      </c>
      <c r="AQ253" s="213" t="s">
        <v>1644</v>
      </c>
      <c r="AR253" s="213" t="s">
        <v>1643</v>
      </c>
      <c r="AS253" s="214" t="s">
        <v>1644</v>
      </c>
    </row>
    <row r="254" spans="1:45" ht="15.75" thickBot="1" x14ac:dyDescent="0.3">
      <c r="A254" s="212" t="s">
        <v>1073</v>
      </c>
      <c r="B254" s="48" t="s">
        <v>1074</v>
      </c>
      <c r="C254" s="214" t="s">
        <v>803</v>
      </c>
      <c r="D254" s="225"/>
      <c r="E254" s="226"/>
      <c r="F254" s="226"/>
      <c r="G254" s="221">
        <v>38</v>
      </c>
      <c r="H254" s="219">
        <v>37000</v>
      </c>
      <c r="I254" s="219">
        <v>42000</v>
      </c>
      <c r="J254" s="221">
        <v>24</v>
      </c>
      <c r="K254" s="219">
        <v>24000</v>
      </c>
      <c r="L254" s="219">
        <v>26000</v>
      </c>
      <c r="M254" s="221">
        <v>4</v>
      </c>
      <c r="N254" s="219">
        <v>3600</v>
      </c>
      <c r="O254" s="219">
        <v>11000</v>
      </c>
      <c r="P254" s="227"/>
      <c r="Q254" s="226"/>
      <c r="R254" s="226"/>
      <c r="S254" s="221">
        <v>28</v>
      </c>
      <c r="T254" s="219">
        <v>17136</v>
      </c>
      <c r="U254" s="222">
        <v>20384</v>
      </c>
      <c r="V254" s="212" t="s">
        <v>1643</v>
      </c>
      <c r="W254" s="213" t="s">
        <v>1643</v>
      </c>
      <c r="X254" s="213" t="s">
        <v>1643</v>
      </c>
      <c r="Y254" s="213" t="s">
        <v>1644</v>
      </c>
      <c r="Z254" s="213" t="s">
        <v>1643</v>
      </c>
      <c r="AA254" s="213" t="s">
        <v>1643</v>
      </c>
      <c r="AB254" s="213" t="s">
        <v>1643</v>
      </c>
      <c r="AC254" s="213" t="s">
        <v>1643</v>
      </c>
      <c r="AD254" s="213" t="s">
        <v>1643</v>
      </c>
      <c r="AE254" s="213" t="s">
        <v>1643</v>
      </c>
      <c r="AF254" s="213" t="s">
        <v>1644</v>
      </c>
      <c r="AG254" s="214" t="s">
        <v>1644</v>
      </c>
      <c r="AH254" s="212" t="s">
        <v>1644</v>
      </c>
      <c r="AI254" s="213" t="s">
        <v>1644</v>
      </c>
      <c r="AJ254" s="213" t="s">
        <v>1643</v>
      </c>
      <c r="AK254" s="213" t="s">
        <v>1644</v>
      </c>
      <c r="AL254" s="213" t="s">
        <v>1644</v>
      </c>
      <c r="AM254" s="213" t="s">
        <v>1643</v>
      </c>
      <c r="AN254" s="213" t="s">
        <v>1643</v>
      </c>
      <c r="AO254" s="213" t="s">
        <v>1643</v>
      </c>
      <c r="AP254" s="213" t="s">
        <v>1644</v>
      </c>
      <c r="AQ254" s="213" t="s">
        <v>1643</v>
      </c>
      <c r="AR254" s="213" t="s">
        <v>1644</v>
      </c>
      <c r="AS254" s="214" t="s">
        <v>1644</v>
      </c>
    </row>
    <row r="255" spans="1:45" ht="15.75" thickBot="1" x14ac:dyDescent="0.3">
      <c r="A255" s="212" t="s">
        <v>1077</v>
      </c>
      <c r="B255" s="48" t="s">
        <v>1078</v>
      </c>
      <c r="C255" s="214" t="s">
        <v>803</v>
      </c>
      <c r="D255" s="223" t="s">
        <v>850</v>
      </c>
      <c r="E255" s="220" t="s">
        <v>850</v>
      </c>
      <c r="F255" s="220" t="s">
        <v>850</v>
      </c>
      <c r="G255" s="221">
        <v>36</v>
      </c>
      <c r="H255" s="219">
        <v>30684</v>
      </c>
      <c r="I255" s="219">
        <v>50179</v>
      </c>
      <c r="J255" s="221">
        <v>36</v>
      </c>
      <c r="K255" s="219">
        <v>46012</v>
      </c>
      <c r="L255" s="219">
        <v>50179</v>
      </c>
      <c r="M255" s="220" t="s">
        <v>850</v>
      </c>
      <c r="N255" s="220" t="s">
        <v>850</v>
      </c>
      <c r="O255" s="220" t="s">
        <v>850</v>
      </c>
      <c r="P255" s="220" t="s">
        <v>850</v>
      </c>
      <c r="Q255" s="220" t="s">
        <v>850</v>
      </c>
      <c r="R255" s="220" t="s">
        <v>850</v>
      </c>
      <c r="S255" s="221">
        <v>20</v>
      </c>
      <c r="T255" s="219">
        <v>15000</v>
      </c>
      <c r="U255" s="222">
        <v>27000</v>
      </c>
      <c r="V255" s="212" t="s">
        <v>1643</v>
      </c>
      <c r="W255" s="213" t="s">
        <v>1643</v>
      </c>
      <c r="X255" s="213" t="s">
        <v>1643</v>
      </c>
      <c r="Y255" s="213" t="s">
        <v>1643</v>
      </c>
      <c r="Z255" s="213" t="s">
        <v>1644</v>
      </c>
      <c r="AA255" s="213" t="s">
        <v>1643</v>
      </c>
      <c r="AB255" s="213" t="s">
        <v>1643</v>
      </c>
      <c r="AC255" s="213" t="s">
        <v>1643</v>
      </c>
      <c r="AD255" s="213" t="s">
        <v>1643</v>
      </c>
      <c r="AE255" s="213" t="s">
        <v>1644</v>
      </c>
      <c r="AF255" s="213" t="s">
        <v>1643</v>
      </c>
      <c r="AG255" s="214" t="s">
        <v>1644</v>
      </c>
      <c r="AH255" s="212" t="s">
        <v>1644</v>
      </c>
      <c r="AI255" s="213" t="s">
        <v>1644</v>
      </c>
      <c r="AJ255" s="213" t="s">
        <v>1644</v>
      </c>
      <c r="AK255" s="213" t="s">
        <v>1644</v>
      </c>
      <c r="AL255" s="213" t="s">
        <v>1644</v>
      </c>
      <c r="AM255" s="213" t="s">
        <v>1643</v>
      </c>
      <c r="AN255" s="213" t="s">
        <v>1643</v>
      </c>
      <c r="AO255" s="213" t="s">
        <v>1643</v>
      </c>
      <c r="AP255" s="213" t="s">
        <v>1644</v>
      </c>
      <c r="AQ255" s="213" t="s">
        <v>1644</v>
      </c>
      <c r="AR255" s="213" t="s">
        <v>1643</v>
      </c>
      <c r="AS255" s="214" t="s">
        <v>1644</v>
      </c>
    </row>
    <row r="256" spans="1:45" ht="15.75" thickBot="1" x14ac:dyDescent="0.3">
      <c r="A256" s="212" t="s">
        <v>1079</v>
      </c>
      <c r="B256" s="48" t="s">
        <v>1080</v>
      </c>
      <c r="C256" s="214" t="s">
        <v>803</v>
      </c>
      <c r="D256" s="225"/>
      <c r="E256" s="226"/>
      <c r="F256" s="226"/>
      <c r="G256" s="221">
        <v>25</v>
      </c>
      <c r="H256" s="219">
        <v>16640</v>
      </c>
      <c r="I256" s="219">
        <v>24960</v>
      </c>
      <c r="J256" s="227"/>
      <c r="K256" s="226"/>
      <c r="L256" s="226"/>
      <c r="M256" s="227"/>
      <c r="N256" s="226"/>
      <c r="O256" s="226"/>
      <c r="P256" s="227"/>
      <c r="Q256" s="226"/>
      <c r="R256" s="226"/>
      <c r="S256" s="221">
        <v>25</v>
      </c>
      <c r="T256" s="219">
        <v>13520</v>
      </c>
      <c r="U256" s="222">
        <v>20280</v>
      </c>
      <c r="V256" s="212" t="s">
        <v>1644</v>
      </c>
      <c r="W256" s="213" t="s">
        <v>1644</v>
      </c>
      <c r="X256" s="213" t="s">
        <v>1644</v>
      </c>
      <c r="Y256" s="213" t="s">
        <v>1644</v>
      </c>
      <c r="Z256" s="213" t="s">
        <v>1644</v>
      </c>
      <c r="AA256" s="213" t="s">
        <v>1644</v>
      </c>
      <c r="AB256" s="213" t="s">
        <v>1644</v>
      </c>
      <c r="AC256" s="213" t="s">
        <v>1644</v>
      </c>
      <c r="AD256" s="213" t="s">
        <v>1644</v>
      </c>
      <c r="AE256" s="213" t="s">
        <v>1644</v>
      </c>
      <c r="AF256" s="213" t="s">
        <v>1644</v>
      </c>
      <c r="AG256" s="214" t="s">
        <v>1644</v>
      </c>
      <c r="AH256" s="212" t="s">
        <v>1644</v>
      </c>
      <c r="AI256" s="213" t="s">
        <v>1644</v>
      </c>
      <c r="AJ256" s="213" t="s">
        <v>1644</v>
      </c>
      <c r="AK256" s="213" t="s">
        <v>1644</v>
      </c>
      <c r="AL256" s="213" t="s">
        <v>1644</v>
      </c>
      <c r="AM256" s="213" t="s">
        <v>1644</v>
      </c>
      <c r="AN256" s="213" t="s">
        <v>1644</v>
      </c>
      <c r="AO256" s="213" t="s">
        <v>1644</v>
      </c>
      <c r="AP256" s="213" t="s">
        <v>1644</v>
      </c>
      <c r="AQ256" s="213" t="s">
        <v>1644</v>
      </c>
      <c r="AR256" s="213" t="s">
        <v>1644</v>
      </c>
      <c r="AS256" s="214" t="s">
        <v>1644</v>
      </c>
    </row>
    <row r="257" spans="1:45" ht="15.75" thickBot="1" x14ac:dyDescent="0.3">
      <c r="A257" s="212" t="s">
        <v>1097</v>
      </c>
      <c r="B257" s="48" t="s">
        <v>1098</v>
      </c>
      <c r="C257" s="214" t="s">
        <v>803</v>
      </c>
      <c r="D257" s="218">
        <v>40</v>
      </c>
      <c r="E257" s="219">
        <v>41000</v>
      </c>
      <c r="F257" s="219">
        <v>41000</v>
      </c>
      <c r="G257" s="220" t="s">
        <v>850</v>
      </c>
      <c r="H257" s="220" t="s">
        <v>850</v>
      </c>
      <c r="I257" s="220" t="s">
        <v>850</v>
      </c>
      <c r="J257" s="220" t="s">
        <v>850</v>
      </c>
      <c r="K257" s="220" t="s">
        <v>850</v>
      </c>
      <c r="L257" s="220" t="s">
        <v>850</v>
      </c>
      <c r="M257" s="220" t="s">
        <v>850</v>
      </c>
      <c r="N257" s="220" t="s">
        <v>850</v>
      </c>
      <c r="O257" s="220" t="s">
        <v>850</v>
      </c>
      <c r="P257" s="220" t="s">
        <v>850</v>
      </c>
      <c r="Q257" s="220" t="s">
        <v>850</v>
      </c>
      <c r="R257" s="220" t="s">
        <v>850</v>
      </c>
      <c r="S257" s="221">
        <v>37</v>
      </c>
      <c r="T257" s="219">
        <v>11845</v>
      </c>
      <c r="U257" s="222">
        <v>37080</v>
      </c>
      <c r="V257" s="212" t="s">
        <v>1643</v>
      </c>
      <c r="W257" s="213" t="s">
        <v>1643</v>
      </c>
      <c r="X257" s="213" t="s">
        <v>1643</v>
      </c>
      <c r="Y257" s="213" t="s">
        <v>1644</v>
      </c>
      <c r="Z257" s="213" t="s">
        <v>1643</v>
      </c>
      <c r="AA257" s="213" t="s">
        <v>1643</v>
      </c>
      <c r="AB257" s="213" t="s">
        <v>1643</v>
      </c>
      <c r="AC257" s="213" t="s">
        <v>1643</v>
      </c>
      <c r="AD257" s="213" t="s">
        <v>1644</v>
      </c>
      <c r="AE257" s="213" t="s">
        <v>1644</v>
      </c>
      <c r="AF257" s="213" t="s">
        <v>1644</v>
      </c>
      <c r="AG257" s="214" t="s">
        <v>1644</v>
      </c>
      <c r="AH257" s="212" t="s">
        <v>1644</v>
      </c>
      <c r="AI257" s="213" t="s">
        <v>1644</v>
      </c>
      <c r="AJ257" s="213" t="s">
        <v>1644</v>
      </c>
      <c r="AK257" s="213" t="s">
        <v>1644</v>
      </c>
      <c r="AL257" s="213" t="s">
        <v>1644</v>
      </c>
      <c r="AM257" s="213" t="s">
        <v>1643</v>
      </c>
      <c r="AN257" s="213" t="s">
        <v>1643</v>
      </c>
      <c r="AO257" s="213" t="s">
        <v>1643</v>
      </c>
      <c r="AP257" s="213" t="s">
        <v>1644</v>
      </c>
      <c r="AQ257" s="213" t="s">
        <v>1644</v>
      </c>
      <c r="AR257" s="213" t="s">
        <v>1644</v>
      </c>
      <c r="AS257" s="214" t="s">
        <v>1644</v>
      </c>
    </row>
    <row r="258" spans="1:45" ht="15.75" thickBot="1" x14ac:dyDescent="0.3">
      <c r="A258" s="212" t="s">
        <v>1105</v>
      </c>
      <c r="B258" s="48" t="s">
        <v>1106</v>
      </c>
      <c r="C258" s="214" t="s">
        <v>803</v>
      </c>
      <c r="D258" s="223" t="s">
        <v>850</v>
      </c>
      <c r="E258" s="220" t="s">
        <v>850</v>
      </c>
      <c r="F258" s="220" t="s">
        <v>850</v>
      </c>
      <c r="G258" s="220" t="s">
        <v>850</v>
      </c>
      <c r="H258" s="220" t="s">
        <v>850</v>
      </c>
      <c r="I258" s="220" t="s">
        <v>850</v>
      </c>
      <c r="J258" s="220" t="s">
        <v>850</v>
      </c>
      <c r="K258" s="220" t="s">
        <v>850</v>
      </c>
      <c r="L258" s="220" t="s">
        <v>850</v>
      </c>
      <c r="M258" s="220" t="s">
        <v>850</v>
      </c>
      <c r="N258" s="220" t="s">
        <v>850</v>
      </c>
      <c r="O258" s="220" t="s">
        <v>850</v>
      </c>
      <c r="P258" s="221">
        <v>24</v>
      </c>
      <c r="Q258" s="219">
        <v>15000</v>
      </c>
      <c r="R258" s="219">
        <v>21000</v>
      </c>
      <c r="S258" s="221">
        <v>22</v>
      </c>
      <c r="T258" s="219">
        <v>8000</v>
      </c>
      <c r="U258" s="222">
        <v>32000</v>
      </c>
      <c r="V258" s="209" t="s">
        <v>1644</v>
      </c>
      <c r="W258" s="210" t="s">
        <v>1644</v>
      </c>
      <c r="X258" s="210" t="s">
        <v>1644</v>
      </c>
      <c r="Y258" s="210" t="s">
        <v>1644</v>
      </c>
      <c r="Z258" s="210" t="s">
        <v>1644</v>
      </c>
      <c r="AA258" s="210" t="s">
        <v>1644</v>
      </c>
      <c r="AB258" s="210" t="s">
        <v>1644</v>
      </c>
      <c r="AC258" s="210" t="s">
        <v>1644</v>
      </c>
      <c r="AD258" s="210" t="s">
        <v>1644</v>
      </c>
      <c r="AE258" s="210" t="s">
        <v>1644</v>
      </c>
      <c r="AF258" s="210" t="s">
        <v>1644</v>
      </c>
      <c r="AG258" s="211" t="s">
        <v>1644</v>
      </c>
      <c r="AH258" s="212" t="s">
        <v>1644</v>
      </c>
      <c r="AI258" s="213" t="s">
        <v>1644</v>
      </c>
      <c r="AJ258" s="213" t="s">
        <v>1643</v>
      </c>
      <c r="AK258" s="213" t="s">
        <v>1644</v>
      </c>
      <c r="AL258" s="213" t="s">
        <v>1644</v>
      </c>
      <c r="AM258" s="213" t="s">
        <v>1644</v>
      </c>
      <c r="AN258" s="213" t="s">
        <v>1644</v>
      </c>
      <c r="AO258" s="213" t="s">
        <v>1643</v>
      </c>
      <c r="AP258" s="213" t="s">
        <v>1643</v>
      </c>
      <c r="AQ258" s="213" t="s">
        <v>1643</v>
      </c>
      <c r="AR258" s="213" t="s">
        <v>1643</v>
      </c>
      <c r="AS258" s="214" t="s">
        <v>1644</v>
      </c>
    </row>
    <row r="259" spans="1:45" ht="15.75" thickBot="1" x14ac:dyDescent="0.3">
      <c r="A259" s="212" t="s">
        <v>1115</v>
      </c>
      <c r="B259" s="48" t="s">
        <v>1116</v>
      </c>
      <c r="C259" s="214" t="s">
        <v>803</v>
      </c>
      <c r="D259" s="223" t="s">
        <v>850</v>
      </c>
      <c r="E259" s="220" t="s">
        <v>850</v>
      </c>
      <c r="F259" s="220" t="s">
        <v>850</v>
      </c>
      <c r="G259" s="221">
        <v>40</v>
      </c>
      <c r="H259" s="219">
        <v>52915</v>
      </c>
      <c r="I259" s="219">
        <v>52915</v>
      </c>
      <c r="J259" s="220" t="s">
        <v>850</v>
      </c>
      <c r="K259" s="220" t="s">
        <v>850</v>
      </c>
      <c r="L259" s="220" t="s">
        <v>850</v>
      </c>
      <c r="M259" s="220" t="s">
        <v>850</v>
      </c>
      <c r="N259" s="220" t="s">
        <v>850</v>
      </c>
      <c r="O259" s="220" t="s">
        <v>850</v>
      </c>
      <c r="P259" s="220" t="s">
        <v>850</v>
      </c>
      <c r="Q259" s="220" t="s">
        <v>850</v>
      </c>
      <c r="R259" s="220" t="s">
        <v>850</v>
      </c>
      <c r="S259" s="221">
        <v>27</v>
      </c>
      <c r="T259" s="219">
        <v>24079</v>
      </c>
      <c r="U259" s="222">
        <v>24709</v>
      </c>
      <c r="V259" s="212" t="s">
        <v>1643</v>
      </c>
      <c r="W259" s="213" t="s">
        <v>1643</v>
      </c>
      <c r="X259" s="213" t="s">
        <v>1643</v>
      </c>
      <c r="Y259" s="213" t="s">
        <v>1644</v>
      </c>
      <c r="Z259" s="213" t="s">
        <v>1643</v>
      </c>
      <c r="AA259" s="213" t="s">
        <v>1643</v>
      </c>
      <c r="AB259" s="213" t="s">
        <v>1643</v>
      </c>
      <c r="AC259" s="213" t="s">
        <v>1643</v>
      </c>
      <c r="AD259" s="213" t="s">
        <v>1643</v>
      </c>
      <c r="AE259" s="213" t="s">
        <v>1643</v>
      </c>
      <c r="AF259" s="213" t="s">
        <v>1643</v>
      </c>
      <c r="AG259" s="214" t="s">
        <v>1644</v>
      </c>
      <c r="AH259" s="212" t="s">
        <v>1643</v>
      </c>
      <c r="AI259" s="213" t="s">
        <v>1643</v>
      </c>
      <c r="AJ259" s="213" t="s">
        <v>1644</v>
      </c>
      <c r="AK259" s="213" t="s">
        <v>1644</v>
      </c>
      <c r="AL259" s="213" t="s">
        <v>1643</v>
      </c>
      <c r="AM259" s="213" t="s">
        <v>1643</v>
      </c>
      <c r="AN259" s="213" t="s">
        <v>1643</v>
      </c>
      <c r="AO259" s="213" t="s">
        <v>1643</v>
      </c>
      <c r="AP259" s="213" t="s">
        <v>1644</v>
      </c>
      <c r="AQ259" s="213" t="s">
        <v>1644</v>
      </c>
      <c r="AR259" s="213" t="s">
        <v>1644</v>
      </c>
      <c r="AS259" s="214" t="s">
        <v>1643</v>
      </c>
    </row>
    <row r="260" spans="1:45" ht="15.75" thickBot="1" x14ac:dyDescent="0.3">
      <c r="A260" s="212" t="s">
        <v>1117</v>
      </c>
      <c r="B260" s="48" t="s">
        <v>1118</v>
      </c>
      <c r="C260" s="214" t="s">
        <v>803</v>
      </c>
      <c r="D260" s="225"/>
      <c r="E260" s="226"/>
      <c r="F260" s="226"/>
      <c r="G260" s="227"/>
      <c r="H260" s="226"/>
      <c r="I260" s="226"/>
      <c r="J260" s="221">
        <v>20</v>
      </c>
      <c r="K260" s="219">
        <v>0</v>
      </c>
      <c r="L260" s="219">
        <v>0</v>
      </c>
      <c r="M260" s="221">
        <v>20</v>
      </c>
      <c r="N260" s="219">
        <v>40000</v>
      </c>
      <c r="O260" s="219">
        <v>46000</v>
      </c>
      <c r="P260" s="221">
        <v>29</v>
      </c>
      <c r="Q260" s="219">
        <v>30000</v>
      </c>
      <c r="R260" s="219">
        <v>42000</v>
      </c>
      <c r="S260" s="221">
        <v>40</v>
      </c>
      <c r="T260" s="219">
        <v>32000</v>
      </c>
      <c r="U260" s="222">
        <v>39000</v>
      </c>
      <c r="V260" s="212" t="s">
        <v>1643</v>
      </c>
      <c r="W260" s="213" t="s">
        <v>1644</v>
      </c>
      <c r="X260" s="213" t="s">
        <v>1643</v>
      </c>
      <c r="Y260" s="213" t="s">
        <v>1643</v>
      </c>
      <c r="Z260" s="213" t="s">
        <v>1643</v>
      </c>
      <c r="AA260" s="213" t="s">
        <v>1643</v>
      </c>
      <c r="AB260" s="213" t="s">
        <v>1643</v>
      </c>
      <c r="AC260" s="213" t="s">
        <v>1643</v>
      </c>
      <c r="AD260" s="213" t="s">
        <v>1644</v>
      </c>
      <c r="AE260" s="213" t="s">
        <v>1644</v>
      </c>
      <c r="AF260" s="213" t="s">
        <v>1643</v>
      </c>
      <c r="AG260" s="214" t="s">
        <v>1644</v>
      </c>
      <c r="AH260" s="212" t="s">
        <v>1644</v>
      </c>
      <c r="AI260" s="213" t="s">
        <v>1644</v>
      </c>
      <c r="AJ260" s="213" t="s">
        <v>1644</v>
      </c>
      <c r="AK260" s="213" t="s">
        <v>1644</v>
      </c>
      <c r="AL260" s="213" t="s">
        <v>1644</v>
      </c>
      <c r="AM260" s="213" t="s">
        <v>1644</v>
      </c>
      <c r="AN260" s="213" t="s">
        <v>1644</v>
      </c>
      <c r="AO260" s="213" t="s">
        <v>1644</v>
      </c>
      <c r="AP260" s="213" t="s">
        <v>1644</v>
      </c>
      <c r="AQ260" s="213" t="s">
        <v>1644</v>
      </c>
      <c r="AR260" s="213" t="s">
        <v>1644</v>
      </c>
      <c r="AS260" s="214" t="s">
        <v>1644</v>
      </c>
    </row>
    <row r="261" spans="1:45" ht="15.75" thickBot="1" x14ac:dyDescent="0.3">
      <c r="A261" s="212" t="s">
        <v>1121</v>
      </c>
      <c r="B261" s="48" t="s">
        <v>1122</v>
      </c>
      <c r="C261" s="214" t="s">
        <v>803</v>
      </c>
      <c r="D261" s="223" t="s">
        <v>850</v>
      </c>
      <c r="E261" s="220" t="s">
        <v>850</v>
      </c>
      <c r="F261" s="220" t="s">
        <v>850</v>
      </c>
      <c r="G261" s="220" t="s">
        <v>850</v>
      </c>
      <c r="H261" s="220" t="s">
        <v>850</v>
      </c>
      <c r="I261" s="220" t="s">
        <v>850</v>
      </c>
      <c r="J261" s="221">
        <v>38</v>
      </c>
      <c r="K261" s="219">
        <v>35000</v>
      </c>
      <c r="L261" s="219">
        <v>50000</v>
      </c>
      <c r="M261" s="221">
        <v>20</v>
      </c>
      <c r="N261" s="219">
        <v>18000</v>
      </c>
      <c r="O261" s="219">
        <v>20000</v>
      </c>
      <c r="P261" s="221">
        <v>38</v>
      </c>
      <c r="Q261" s="219">
        <v>35000</v>
      </c>
      <c r="R261" s="219">
        <v>40000</v>
      </c>
      <c r="S261" s="221">
        <v>20</v>
      </c>
      <c r="T261" s="219">
        <v>10000</v>
      </c>
      <c r="U261" s="222">
        <v>13000</v>
      </c>
      <c r="V261" s="212" t="s">
        <v>1643</v>
      </c>
      <c r="W261" s="213" t="s">
        <v>1643</v>
      </c>
      <c r="X261" s="213" t="s">
        <v>1643</v>
      </c>
      <c r="Y261" s="213" t="s">
        <v>1643</v>
      </c>
      <c r="Z261" s="213" t="s">
        <v>1643</v>
      </c>
      <c r="AA261" s="213" t="s">
        <v>1643</v>
      </c>
      <c r="AB261" s="213" t="s">
        <v>1643</v>
      </c>
      <c r="AC261" s="213" t="s">
        <v>1643</v>
      </c>
      <c r="AD261" s="213" t="s">
        <v>1643</v>
      </c>
      <c r="AE261" s="213" t="s">
        <v>1644</v>
      </c>
      <c r="AF261" s="213" t="s">
        <v>1643</v>
      </c>
      <c r="AG261" s="214" t="s">
        <v>1643</v>
      </c>
      <c r="AH261" s="212" t="s">
        <v>1644</v>
      </c>
      <c r="AI261" s="213" t="s">
        <v>1644</v>
      </c>
      <c r="AJ261" s="213" t="s">
        <v>1644</v>
      </c>
      <c r="AK261" s="213" t="s">
        <v>1644</v>
      </c>
      <c r="AL261" s="213" t="s">
        <v>1644</v>
      </c>
      <c r="AM261" s="213" t="s">
        <v>1644</v>
      </c>
      <c r="AN261" s="213" t="s">
        <v>1644</v>
      </c>
      <c r="AO261" s="213" t="s">
        <v>1644</v>
      </c>
      <c r="AP261" s="213" t="s">
        <v>1644</v>
      </c>
      <c r="AQ261" s="213" t="s">
        <v>1644</v>
      </c>
      <c r="AR261" s="213" t="s">
        <v>1644</v>
      </c>
      <c r="AS261" s="214" t="s">
        <v>1644</v>
      </c>
    </row>
    <row r="262" spans="1:45" ht="15.75" thickBot="1" x14ac:dyDescent="0.3">
      <c r="A262" s="212" t="s">
        <v>1123</v>
      </c>
      <c r="B262" s="48" t="s">
        <v>1124</v>
      </c>
      <c r="C262" s="214" t="s">
        <v>803</v>
      </c>
      <c r="D262" s="218">
        <v>20</v>
      </c>
      <c r="E262" s="219">
        <v>20000</v>
      </c>
      <c r="F262" s="219">
        <v>30000</v>
      </c>
      <c r="G262" s="221">
        <v>32</v>
      </c>
      <c r="H262" s="219">
        <v>24000</v>
      </c>
      <c r="I262" s="219">
        <v>40000</v>
      </c>
      <c r="J262" s="227"/>
      <c r="K262" s="226"/>
      <c r="L262" s="226"/>
      <c r="M262" s="227"/>
      <c r="N262" s="226"/>
      <c r="O262" s="226"/>
      <c r="P262" s="221">
        <v>20</v>
      </c>
      <c r="Q262" s="219">
        <v>16640</v>
      </c>
      <c r="R262" s="219">
        <v>22000</v>
      </c>
      <c r="S262" s="221">
        <v>20</v>
      </c>
      <c r="T262" s="219">
        <v>10400</v>
      </c>
      <c r="U262" s="222">
        <v>14000</v>
      </c>
      <c r="V262" s="212" t="s">
        <v>1644</v>
      </c>
      <c r="W262" s="213" t="s">
        <v>1644</v>
      </c>
      <c r="X262" s="213" t="s">
        <v>1644</v>
      </c>
      <c r="Y262" s="213" t="s">
        <v>1644</v>
      </c>
      <c r="Z262" s="213" t="s">
        <v>1644</v>
      </c>
      <c r="AA262" s="213" t="s">
        <v>1643</v>
      </c>
      <c r="AB262" s="213" t="s">
        <v>1643</v>
      </c>
      <c r="AC262" s="213" t="s">
        <v>1643</v>
      </c>
      <c r="AD262" s="213" t="s">
        <v>1644</v>
      </c>
      <c r="AE262" s="213" t="s">
        <v>1644</v>
      </c>
      <c r="AF262" s="213" t="s">
        <v>1643</v>
      </c>
      <c r="AG262" s="214" t="s">
        <v>1644</v>
      </c>
      <c r="AH262" s="212" t="s">
        <v>1644</v>
      </c>
      <c r="AI262" s="213" t="s">
        <v>1644</v>
      </c>
      <c r="AJ262" s="213" t="s">
        <v>1644</v>
      </c>
      <c r="AK262" s="213" t="s">
        <v>1644</v>
      </c>
      <c r="AL262" s="213" t="s">
        <v>1644</v>
      </c>
      <c r="AM262" s="213" t="s">
        <v>1644</v>
      </c>
      <c r="AN262" s="213" t="s">
        <v>1644</v>
      </c>
      <c r="AO262" s="213" t="s">
        <v>1643</v>
      </c>
      <c r="AP262" s="213" t="s">
        <v>1644</v>
      </c>
      <c r="AQ262" s="213" t="s">
        <v>1644</v>
      </c>
      <c r="AR262" s="213" t="s">
        <v>1643</v>
      </c>
      <c r="AS262" s="214" t="s">
        <v>1644</v>
      </c>
    </row>
    <row r="263" spans="1:45" ht="15.75" thickBot="1" x14ac:dyDescent="0.3">
      <c r="A263" s="212" t="s">
        <v>1125</v>
      </c>
      <c r="B263" s="48" t="s">
        <v>1126</v>
      </c>
      <c r="C263" s="214" t="s">
        <v>803</v>
      </c>
      <c r="D263" s="223" t="s">
        <v>850</v>
      </c>
      <c r="E263" s="220" t="s">
        <v>850</v>
      </c>
      <c r="F263" s="220" t="s">
        <v>850</v>
      </c>
      <c r="G263" s="221">
        <v>15</v>
      </c>
      <c r="H263" s="219">
        <v>16380</v>
      </c>
      <c r="I263" s="219">
        <v>16380</v>
      </c>
      <c r="J263" s="221">
        <v>25</v>
      </c>
      <c r="K263" s="219">
        <v>26000</v>
      </c>
      <c r="L263" s="219">
        <v>26000</v>
      </c>
      <c r="M263" s="220" t="s">
        <v>850</v>
      </c>
      <c r="N263" s="220" t="s">
        <v>850</v>
      </c>
      <c r="O263" s="220" t="s">
        <v>850</v>
      </c>
      <c r="P263" s="221">
        <v>1</v>
      </c>
      <c r="Q263" s="219">
        <v>4200</v>
      </c>
      <c r="R263" s="219">
        <v>4200</v>
      </c>
      <c r="S263" s="221">
        <v>15</v>
      </c>
      <c r="T263" s="219">
        <v>8190</v>
      </c>
      <c r="U263" s="222">
        <v>8190</v>
      </c>
      <c r="V263" s="209" t="s">
        <v>1644</v>
      </c>
      <c r="W263" s="210" t="s">
        <v>1644</v>
      </c>
      <c r="X263" s="210" t="s">
        <v>1644</v>
      </c>
      <c r="Y263" s="210" t="s">
        <v>1644</v>
      </c>
      <c r="Z263" s="210" t="s">
        <v>1644</v>
      </c>
      <c r="AA263" s="210" t="s">
        <v>1644</v>
      </c>
      <c r="AB263" s="210" t="s">
        <v>1644</v>
      </c>
      <c r="AC263" s="210" t="s">
        <v>1644</v>
      </c>
      <c r="AD263" s="210" t="s">
        <v>1644</v>
      </c>
      <c r="AE263" s="210" t="s">
        <v>1644</v>
      </c>
      <c r="AF263" s="210" t="s">
        <v>1644</v>
      </c>
      <c r="AG263" s="211" t="s">
        <v>1644</v>
      </c>
      <c r="AH263" s="212" t="s">
        <v>1644</v>
      </c>
      <c r="AI263" s="213" t="s">
        <v>1644</v>
      </c>
      <c r="AJ263" s="213" t="s">
        <v>1644</v>
      </c>
      <c r="AK263" s="213" t="s">
        <v>1644</v>
      </c>
      <c r="AL263" s="213" t="s">
        <v>1644</v>
      </c>
      <c r="AM263" s="213" t="s">
        <v>1644</v>
      </c>
      <c r="AN263" s="213" t="s">
        <v>1644</v>
      </c>
      <c r="AO263" s="213" t="s">
        <v>1643</v>
      </c>
      <c r="AP263" s="213" t="s">
        <v>1644</v>
      </c>
      <c r="AQ263" s="213" t="s">
        <v>1644</v>
      </c>
      <c r="AR263" s="213" t="s">
        <v>1644</v>
      </c>
      <c r="AS263" s="214" t="s">
        <v>1644</v>
      </c>
    </row>
    <row r="264" spans="1:45" ht="15.75" thickBot="1" x14ac:dyDescent="0.3">
      <c r="A264" s="212" t="s">
        <v>1131</v>
      </c>
      <c r="B264" s="48" t="s">
        <v>1132</v>
      </c>
      <c r="C264" s="214" t="s">
        <v>803</v>
      </c>
      <c r="D264" s="218">
        <v>28</v>
      </c>
      <c r="E264" s="219">
        <v>24000</v>
      </c>
      <c r="F264" s="219">
        <v>25000</v>
      </c>
      <c r="G264" s="220" t="s">
        <v>850</v>
      </c>
      <c r="H264" s="220" t="s">
        <v>850</v>
      </c>
      <c r="I264" s="220" t="s">
        <v>850</v>
      </c>
      <c r="J264" s="221">
        <v>40</v>
      </c>
      <c r="K264" s="219">
        <v>25000</v>
      </c>
      <c r="L264" s="219">
        <v>33200</v>
      </c>
      <c r="M264" s="220" t="s">
        <v>850</v>
      </c>
      <c r="N264" s="220" t="s">
        <v>850</v>
      </c>
      <c r="O264" s="220" t="s">
        <v>850</v>
      </c>
      <c r="P264" s="220" t="s">
        <v>850</v>
      </c>
      <c r="Q264" s="220" t="s">
        <v>850</v>
      </c>
      <c r="R264" s="220" t="s">
        <v>850</v>
      </c>
      <c r="S264" s="221">
        <v>15</v>
      </c>
      <c r="T264" s="219">
        <v>7800</v>
      </c>
      <c r="U264" s="222">
        <v>8100</v>
      </c>
      <c r="V264" s="212" t="s">
        <v>1643</v>
      </c>
      <c r="W264" s="213" t="s">
        <v>1643</v>
      </c>
      <c r="X264" s="213" t="s">
        <v>1643</v>
      </c>
      <c r="Y264" s="213" t="s">
        <v>1643</v>
      </c>
      <c r="Z264" s="213" t="s">
        <v>1644</v>
      </c>
      <c r="AA264" s="213" t="s">
        <v>1643</v>
      </c>
      <c r="AB264" s="213" t="s">
        <v>1643</v>
      </c>
      <c r="AC264" s="213" t="s">
        <v>1643</v>
      </c>
      <c r="AD264" s="213" t="s">
        <v>1644</v>
      </c>
      <c r="AE264" s="213" t="s">
        <v>1644</v>
      </c>
      <c r="AF264" s="213" t="s">
        <v>1643</v>
      </c>
      <c r="AG264" s="214" t="s">
        <v>1644</v>
      </c>
      <c r="AH264" s="212" t="s">
        <v>1644</v>
      </c>
      <c r="AI264" s="213" t="s">
        <v>1644</v>
      </c>
      <c r="AJ264" s="213" t="s">
        <v>1644</v>
      </c>
      <c r="AK264" s="213" t="s">
        <v>1644</v>
      </c>
      <c r="AL264" s="213" t="s">
        <v>1644</v>
      </c>
      <c r="AM264" s="213" t="s">
        <v>1644</v>
      </c>
      <c r="AN264" s="213" t="s">
        <v>1644</v>
      </c>
      <c r="AO264" s="213" t="s">
        <v>1644</v>
      </c>
      <c r="AP264" s="213" t="s">
        <v>1644</v>
      </c>
      <c r="AQ264" s="213" t="s">
        <v>1644</v>
      </c>
      <c r="AR264" s="213" t="s">
        <v>1644</v>
      </c>
      <c r="AS264" s="214" t="s">
        <v>1644</v>
      </c>
    </row>
    <row r="265" spans="1:45" ht="15.75" thickBot="1" x14ac:dyDescent="0.3">
      <c r="A265" s="212" t="s">
        <v>1133</v>
      </c>
      <c r="B265" s="48" t="s">
        <v>1134</v>
      </c>
      <c r="C265" s="214" t="s">
        <v>803</v>
      </c>
      <c r="D265" s="225"/>
      <c r="E265" s="226"/>
      <c r="F265" s="226"/>
      <c r="G265" s="227"/>
      <c r="H265" s="226"/>
      <c r="I265" s="226"/>
      <c r="J265" s="221">
        <v>40</v>
      </c>
      <c r="K265" s="219">
        <v>40000</v>
      </c>
      <c r="L265" s="219">
        <v>45000</v>
      </c>
      <c r="M265" s="221">
        <v>4</v>
      </c>
      <c r="N265" s="219">
        <v>3744</v>
      </c>
      <c r="O265" s="219">
        <v>28080</v>
      </c>
      <c r="P265" s="221">
        <v>14</v>
      </c>
      <c r="Q265" s="219">
        <v>15000</v>
      </c>
      <c r="R265" s="219">
        <v>17472</v>
      </c>
      <c r="S265" s="221">
        <v>16</v>
      </c>
      <c r="T265" s="219">
        <v>10000</v>
      </c>
      <c r="U265" s="222">
        <v>34000</v>
      </c>
      <c r="V265" s="212" t="s">
        <v>1643</v>
      </c>
      <c r="W265" s="213" t="s">
        <v>1643</v>
      </c>
      <c r="X265" s="213" t="s">
        <v>1643</v>
      </c>
      <c r="Y265" s="213" t="s">
        <v>1643</v>
      </c>
      <c r="Z265" s="213" t="s">
        <v>1643</v>
      </c>
      <c r="AA265" s="213" t="s">
        <v>1643</v>
      </c>
      <c r="AB265" s="213" t="s">
        <v>1643</v>
      </c>
      <c r="AC265" s="213" t="s">
        <v>1643</v>
      </c>
      <c r="AD265" s="213" t="s">
        <v>1643</v>
      </c>
      <c r="AE265" s="213" t="s">
        <v>1643</v>
      </c>
      <c r="AF265" s="213" t="s">
        <v>1644</v>
      </c>
      <c r="AG265" s="214" t="s">
        <v>1644</v>
      </c>
      <c r="AH265" s="212" t="s">
        <v>1644</v>
      </c>
      <c r="AI265" s="213" t="s">
        <v>1644</v>
      </c>
      <c r="AJ265" s="213" t="s">
        <v>1644</v>
      </c>
      <c r="AK265" s="213" t="s">
        <v>1644</v>
      </c>
      <c r="AL265" s="213" t="s">
        <v>1644</v>
      </c>
      <c r="AM265" s="213" t="s">
        <v>1644</v>
      </c>
      <c r="AN265" s="213" t="s">
        <v>1644</v>
      </c>
      <c r="AO265" s="213" t="s">
        <v>1644</v>
      </c>
      <c r="AP265" s="213" t="s">
        <v>1644</v>
      </c>
      <c r="AQ265" s="213" t="s">
        <v>1644</v>
      </c>
      <c r="AR265" s="213" t="s">
        <v>1644</v>
      </c>
      <c r="AS265" s="214" t="s">
        <v>1644</v>
      </c>
    </row>
    <row r="266" spans="1:45" ht="15.75" thickBot="1" x14ac:dyDescent="0.3">
      <c r="A266" s="212" t="s">
        <v>1141</v>
      </c>
      <c r="B266" s="48" t="s">
        <v>1142</v>
      </c>
      <c r="C266" s="214" t="s">
        <v>803</v>
      </c>
      <c r="D266" s="223" t="s">
        <v>850</v>
      </c>
      <c r="E266" s="220" t="s">
        <v>850</v>
      </c>
      <c r="F266" s="220" t="s">
        <v>850</v>
      </c>
      <c r="G266" s="221">
        <v>38</v>
      </c>
      <c r="H266" s="219">
        <v>39312</v>
      </c>
      <c r="I266" s="219">
        <v>51811</v>
      </c>
      <c r="J266" s="220" t="s">
        <v>850</v>
      </c>
      <c r="K266" s="220" t="s">
        <v>850</v>
      </c>
      <c r="L266" s="220" t="s">
        <v>850</v>
      </c>
      <c r="M266" s="221">
        <v>38</v>
      </c>
      <c r="N266" s="219">
        <v>36563</v>
      </c>
      <c r="O266" s="219">
        <v>49121</v>
      </c>
      <c r="P266" s="220" t="s">
        <v>850</v>
      </c>
      <c r="Q266" s="220" t="s">
        <v>850</v>
      </c>
      <c r="R266" s="220" t="s">
        <v>850</v>
      </c>
      <c r="S266" s="220" t="s">
        <v>850</v>
      </c>
      <c r="T266" s="219">
        <v>20504</v>
      </c>
      <c r="U266" s="222">
        <v>26988</v>
      </c>
      <c r="V266" s="212" t="s">
        <v>1643</v>
      </c>
      <c r="W266" s="213" t="s">
        <v>1643</v>
      </c>
      <c r="X266" s="213" t="s">
        <v>1643</v>
      </c>
      <c r="Y266" s="213" t="s">
        <v>1643</v>
      </c>
      <c r="Z266" s="213" t="s">
        <v>1643</v>
      </c>
      <c r="AA266" s="213" t="s">
        <v>1643</v>
      </c>
      <c r="AB266" s="213" t="s">
        <v>1643</v>
      </c>
      <c r="AC266" s="213" t="s">
        <v>1643</v>
      </c>
      <c r="AD266" s="213" t="s">
        <v>1643</v>
      </c>
      <c r="AE266" s="213" t="s">
        <v>1644</v>
      </c>
      <c r="AF266" s="213" t="s">
        <v>1643</v>
      </c>
      <c r="AG266" s="214" t="s">
        <v>1644</v>
      </c>
      <c r="AH266" s="212" t="s">
        <v>1644</v>
      </c>
      <c r="AI266" s="213" t="s">
        <v>1644</v>
      </c>
      <c r="AJ266" s="213" t="s">
        <v>1644</v>
      </c>
      <c r="AK266" s="213" t="s">
        <v>1644</v>
      </c>
      <c r="AL266" s="213" t="s">
        <v>1644</v>
      </c>
      <c r="AM266" s="213" t="s">
        <v>1643</v>
      </c>
      <c r="AN266" s="213" t="s">
        <v>1643</v>
      </c>
      <c r="AO266" s="213" t="s">
        <v>1643</v>
      </c>
      <c r="AP266" s="210" t="s">
        <v>1644</v>
      </c>
      <c r="AQ266" s="213" t="s">
        <v>1644</v>
      </c>
      <c r="AR266" s="213" t="s">
        <v>1643</v>
      </c>
      <c r="AS266" s="214" t="s">
        <v>1644</v>
      </c>
    </row>
    <row r="267" spans="1:45" ht="15.75" thickBot="1" x14ac:dyDescent="0.3">
      <c r="A267" s="212" t="s">
        <v>1145</v>
      </c>
      <c r="B267" s="48" t="s">
        <v>1146</v>
      </c>
      <c r="C267" s="214" t="s">
        <v>803</v>
      </c>
      <c r="D267" s="225"/>
      <c r="E267" s="226"/>
      <c r="F267" s="226"/>
      <c r="G267" s="221">
        <v>40</v>
      </c>
      <c r="H267" s="219">
        <v>25000</v>
      </c>
      <c r="I267" s="219">
        <v>31000</v>
      </c>
      <c r="J267" s="227"/>
      <c r="K267" s="226"/>
      <c r="L267" s="226"/>
      <c r="M267" s="221">
        <v>38</v>
      </c>
      <c r="N267" s="219">
        <v>23700</v>
      </c>
      <c r="O267" s="219">
        <v>35000</v>
      </c>
      <c r="P267" s="227"/>
      <c r="Q267" s="226"/>
      <c r="R267" s="226"/>
      <c r="S267" s="221">
        <v>24</v>
      </c>
      <c r="T267" s="219">
        <v>7200</v>
      </c>
      <c r="U267" s="222">
        <v>29120</v>
      </c>
      <c r="V267" s="212" t="s">
        <v>1644</v>
      </c>
      <c r="W267" s="213" t="s">
        <v>1644</v>
      </c>
      <c r="X267" s="213" t="s">
        <v>1644</v>
      </c>
      <c r="Y267" s="213" t="s">
        <v>1644</v>
      </c>
      <c r="Z267" s="213" t="s">
        <v>1644</v>
      </c>
      <c r="AA267" s="213" t="s">
        <v>1643</v>
      </c>
      <c r="AB267" s="213" t="s">
        <v>1643</v>
      </c>
      <c r="AC267" s="213" t="s">
        <v>1643</v>
      </c>
      <c r="AD267" s="213" t="s">
        <v>1644</v>
      </c>
      <c r="AE267" s="213" t="s">
        <v>1644</v>
      </c>
      <c r="AF267" s="213" t="s">
        <v>1643</v>
      </c>
      <c r="AG267" s="214" t="s">
        <v>1643</v>
      </c>
      <c r="AH267" s="212" t="s">
        <v>1644</v>
      </c>
      <c r="AI267" s="213" t="s">
        <v>1644</v>
      </c>
      <c r="AJ267" s="213" t="s">
        <v>1644</v>
      </c>
      <c r="AK267" s="213" t="s">
        <v>1644</v>
      </c>
      <c r="AL267" s="213" t="s">
        <v>1644</v>
      </c>
      <c r="AM267" s="213" t="s">
        <v>1643</v>
      </c>
      <c r="AN267" s="213" t="s">
        <v>1643</v>
      </c>
      <c r="AO267" s="213" t="s">
        <v>1643</v>
      </c>
      <c r="AP267" s="213" t="s">
        <v>1644</v>
      </c>
      <c r="AQ267" s="213" t="s">
        <v>1644</v>
      </c>
      <c r="AR267" s="213" t="s">
        <v>1643</v>
      </c>
      <c r="AS267" s="214" t="s">
        <v>1643</v>
      </c>
    </row>
    <row r="268" spans="1:45" ht="15.75" thickBot="1" x14ac:dyDescent="0.3">
      <c r="A268" s="212" t="s">
        <v>1153</v>
      </c>
      <c r="B268" s="48" t="s">
        <v>1154</v>
      </c>
      <c r="C268" s="214" t="s">
        <v>803</v>
      </c>
      <c r="D268" s="223" t="s">
        <v>850</v>
      </c>
      <c r="E268" s="220" t="s">
        <v>850</v>
      </c>
      <c r="F268" s="220" t="s">
        <v>850</v>
      </c>
      <c r="G268" s="221">
        <v>40</v>
      </c>
      <c r="H268" s="219">
        <v>35360</v>
      </c>
      <c r="I268" s="219">
        <v>45760</v>
      </c>
      <c r="J268" s="220" t="s">
        <v>850</v>
      </c>
      <c r="K268" s="220" t="s">
        <v>850</v>
      </c>
      <c r="L268" s="220" t="s">
        <v>850</v>
      </c>
      <c r="M268" s="221">
        <v>40</v>
      </c>
      <c r="N268" s="219">
        <v>31200</v>
      </c>
      <c r="O268" s="219">
        <v>45760</v>
      </c>
      <c r="P268" s="221">
        <v>40</v>
      </c>
      <c r="Q268" s="219">
        <v>35360</v>
      </c>
      <c r="R268" s="219">
        <v>45760</v>
      </c>
      <c r="S268" s="221">
        <v>40</v>
      </c>
      <c r="T268" s="219">
        <v>24960</v>
      </c>
      <c r="U268" s="222">
        <v>34320</v>
      </c>
      <c r="V268" s="212" t="s">
        <v>1643</v>
      </c>
      <c r="W268" s="213" t="s">
        <v>1643</v>
      </c>
      <c r="X268" s="213" t="s">
        <v>1643</v>
      </c>
      <c r="Y268" s="213" t="s">
        <v>1643</v>
      </c>
      <c r="Z268" s="213" t="s">
        <v>1643</v>
      </c>
      <c r="AA268" s="213" t="s">
        <v>1643</v>
      </c>
      <c r="AB268" s="213" t="s">
        <v>1643</v>
      </c>
      <c r="AC268" s="213" t="s">
        <v>1643</v>
      </c>
      <c r="AD268" s="213" t="s">
        <v>1644</v>
      </c>
      <c r="AE268" s="213" t="s">
        <v>1643</v>
      </c>
      <c r="AF268" s="213" t="s">
        <v>1643</v>
      </c>
      <c r="AG268" s="214" t="s">
        <v>1644</v>
      </c>
      <c r="AH268" s="212" t="s">
        <v>1644</v>
      </c>
      <c r="AI268" s="213" t="s">
        <v>1644</v>
      </c>
      <c r="AJ268" s="213" t="s">
        <v>1644</v>
      </c>
      <c r="AK268" s="213" t="s">
        <v>1644</v>
      </c>
      <c r="AL268" s="213" t="s">
        <v>1644</v>
      </c>
      <c r="AM268" s="213" t="s">
        <v>1644</v>
      </c>
      <c r="AN268" s="213" t="s">
        <v>1644</v>
      </c>
      <c r="AO268" s="213" t="s">
        <v>1644</v>
      </c>
      <c r="AP268" s="213" t="s">
        <v>1644</v>
      </c>
      <c r="AQ268" s="213" t="s">
        <v>1644</v>
      </c>
      <c r="AR268" s="213" t="s">
        <v>1644</v>
      </c>
      <c r="AS268" s="214" t="s">
        <v>1644</v>
      </c>
    </row>
    <row r="269" spans="1:45" ht="15.75" thickBot="1" x14ac:dyDescent="0.3">
      <c r="A269" s="212" t="s">
        <v>1155</v>
      </c>
      <c r="B269" s="48" t="s">
        <v>1156</v>
      </c>
      <c r="C269" s="214" t="s">
        <v>803</v>
      </c>
      <c r="D269" s="218">
        <v>40</v>
      </c>
      <c r="E269" s="219">
        <v>39399</v>
      </c>
      <c r="F269" s="219">
        <v>51218</v>
      </c>
      <c r="G269" s="227"/>
      <c r="H269" s="226"/>
      <c r="I269" s="226"/>
      <c r="J269" s="221">
        <v>40</v>
      </c>
      <c r="K269" s="219">
        <v>39399</v>
      </c>
      <c r="L269" s="219">
        <v>49969</v>
      </c>
      <c r="M269" s="221">
        <v>18</v>
      </c>
      <c r="N269" s="219">
        <v>12262</v>
      </c>
      <c r="O269" s="219">
        <v>16343</v>
      </c>
      <c r="P269" s="221">
        <v>22</v>
      </c>
      <c r="Q269" s="219">
        <v>14986</v>
      </c>
      <c r="R269" s="219">
        <v>19974</v>
      </c>
      <c r="S269" s="221">
        <v>15</v>
      </c>
      <c r="T269" s="219">
        <v>7215</v>
      </c>
      <c r="U269" s="222">
        <v>9126</v>
      </c>
      <c r="V269" s="212" t="s">
        <v>1643</v>
      </c>
      <c r="W269" s="213" t="s">
        <v>1643</v>
      </c>
      <c r="X269" s="213" t="s">
        <v>1643</v>
      </c>
      <c r="Y269" s="213" t="s">
        <v>1643</v>
      </c>
      <c r="Z269" s="213" t="s">
        <v>1644</v>
      </c>
      <c r="AA269" s="213" t="s">
        <v>1643</v>
      </c>
      <c r="AB269" s="213" t="s">
        <v>1643</v>
      </c>
      <c r="AC269" s="213" t="s">
        <v>1643</v>
      </c>
      <c r="AD269" s="213" t="s">
        <v>1643</v>
      </c>
      <c r="AE269" s="213" t="s">
        <v>1643</v>
      </c>
      <c r="AF269" s="213" t="s">
        <v>1643</v>
      </c>
      <c r="AG269" s="214" t="s">
        <v>1643</v>
      </c>
      <c r="AH269" s="212" t="s">
        <v>1644</v>
      </c>
      <c r="AI269" s="213" t="s">
        <v>1644</v>
      </c>
      <c r="AJ269" s="213" t="s">
        <v>1644</v>
      </c>
      <c r="AK269" s="213" t="s">
        <v>1644</v>
      </c>
      <c r="AL269" s="213" t="s">
        <v>1644</v>
      </c>
      <c r="AM269" s="213" t="s">
        <v>1644</v>
      </c>
      <c r="AN269" s="213" t="s">
        <v>1644</v>
      </c>
      <c r="AO269" s="213" t="s">
        <v>1644</v>
      </c>
      <c r="AP269" s="213" t="s">
        <v>1644</v>
      </c>
      <c r="AQ269" s="213" t="s">
        <v>1644</v>
      </c>
      <c r="AR269" s="213" t="s">
        <v>1644</v>
      </c>
      <c r="AS269" s="214" t="s">
        <v>1644</v>
      </c>
    </row>
    <row r="270" spans="1:45" ht="15.75" thickBot="1" x14ac:dyDescent="0.3">
      <c r="A270" s="212" t="s">
        <v>1169</v>
      </c>
      <c r="B270" s="48" t="s">
        <v>1170</v>
      </c>
      <c r="C270" s="214" t="s">
        <v>803</v>
      </c>
      <c r="D270" s="223" t="s">
        <v>850</v>
      </c>
      <c r="E270" s="220" t="s">
        <v>850</v>
      </c>
      <c r="F270" s="220" t="s">
        <v>850</v>
      </c>
      <c r="G270" s="221">
        <v>40</v>
      </c>
      <c r="H270" s="219">
        <v>45781</v>
      </c>
      <c r="I270" s="219">
        <v>45781</v>
      </c>
      <c r="J270" s="221">
        <v>40</v>
      </c>
      <c r="K270" s="219">
        <v>41475</v>
      </c>
      <c r="L270" s="219">
        <v>41475</v>
      </c>
      <c r="M270" s="221">
        <v>32</v>
      </c>
      <c r="N270" s="219">
        <v>33180</v>
      </c>
      <c r="O270" s="219">
        <v>33180</v>
      </c>
      <c r="P270" s="221">
        <v>32</v>
      </c>
      <c r="Q270" s="219">
        <v>28421</v>
      </c>
      <c r="R270" s="219">
        <v>28421</v>
      </c>
      <c r="S270" s="221">
        <v>40</v>
      </c>
      <c r="T270" s="219">
        <v>30867</v>
      </c>
      <c r="U270" s="222">
        <v>30867</v>
      </c>
      <c r="V270" s="212" t="s">
        <v>1643</v>
      </c>
      <c r="W270" s="213" t="s">
        <v>1643</v>
      </c>
      <c r="X270" s="213" t="s">
        <v>1643</v>
      </c>
      <c r="Y270" s="213" t="s">
        <v>1643</v>
      </c>
      <c r="Z270" s="213" t="s">
        <v>1643</v>
      </c>
      <c r="AA270" s="213" t="s">
        <v>1643</v>
      </c>
      <c r="AB270" s="213" t="s">
        <v>1643</v>
      </c>
      <c r="AC270" s="213" t="s">
        <v>1643</v>
      </c>
      <c r="AD270" s="213" t="s">
        <v>1643</v>
      </c>
      <c r="AE270" s="213" t="s">
        <v>1644</v>
      </c>
      <c r="AF270" s="213" t="s">
        <v>1643</v>
      </c>
      <c r="AG270" s="214" t="s">
        <v>1643</v>
      </c>
      <c r="AH270" s="212" t="s">
        <v>1644</v>
      </c>
      <c r="AI270" s="213" t="s">
        <v>1644</v>
      </c>
      <c r="AJ270" s="213" t="s">
        <v>1643</v>
      </c>
      <c r="AK270" s="213" t="s">
        <v>1644</v>
      </c>
      <c r="AL270" s="213" t="s">
        <v>1644</v>
      </c>
      <c r="AM270" s="213" t="s">
        <v>1643</v>
      </c>
      <c r="AN270" s="213" t="s">
        <v>1643</v>
      </c>
      <c r="AO270" s="213" t="s">
        <v>1643</v>
      </c>
      <c r="AP270" s="213" t="s">
        <v>1643</v>
      </c>
      <c r="AQ270" s="213" t="s">
        <v>1643</v>
      </c>
      <c r="AR270" s="213" t="s">
        <v>1643</v>
      </c>
      <c r="AS270" s="214" t="s">
        <v>1643</v>
      </c>
    </row>
    <row r="271" spans="1:45" ht="15.75" thickBot="1" x14ac:dyDescent="0.3">
      <c r="A271" s="212" t="s">
        <v>1175</v>
      </c>
      <c r="B271" s="48" t="s">
        <v>1176</v>
      </c>
      <c r="C271" s="214" t="s">
        <v>803</v>
      </c>
      <c r="D271" s="223" t="s">
        <v>850</v>
      </c>
      <c r="E271" s="220" t="s">
        <v>850</v>
      </c>
      <c r="F271" s="220" t="s">
        <v>850</v>
      </c>
      <c r="G271" s="220" t="s">
        <v>850</v>
      </c>
      <c r="H271" s="220" t="s">
        <v>850</v>
      </c>
      <c r="I271" s="220" t="s">
        <v>850</v>
      </c>
      <c r="J271" s="221">
        <v>40</v>
      </c>
      <c r="K271" s="219">
        <v>43035</v>
      </c>
      <c r="L271" s="219">
        <v>43971</v>
      </c>
      <c r="M271" s="221">
        <v>27</v>
      </c>
      <c r="N271" s="219">
        <v>28023</v>
      </c>
      <c r="O271" s="219">
        <v>28654</v>
      </c>
      <c r="P271" s="220" t="s">
        <v>850</v>
      </c>
      <c r="Q271" s="220" t="s">
        <v>850</v>
      </c>
      <c r="R271" s="220" t="s">
        <v>850</v>
      </c>
      <c r="S271" s="221">
        <v>10</v>
      </c>
      <c r="T271" s="219">
        <v>5231</v>
      </c>
      <c r="U271" s="222">
        <v>5231</v>
      </c>
      <c r="V271" s="212" t="s">
        <v>1643</v>
      </c>
      <c r="W271" s="213" t="s">
        <v>1643</v>
      </c>
      <c r="X271" s="213" t="s">
        <v>1643</v>
      </c>
      <c r="Y271" s="213" t="s">
        <v>1643</v>
      </c>
      <c r="Z271" s="213" t="s">
        <v>1643</v>
      </c>
      <c r="AA271" s="213" t="s">
        <v>1643</v>
      </c>
      <c r="AB271" s="213" t="s">
        <v>1643</v>
      </c>
      <c r="AC271" s="213" t="s">
        <v>1643</v>
      </c>
      <c r="AD271" s="213" t="s">
        <v>1644</v>
      </c>
      <c r="AE271" s="213" t="s">
        <v>1644</v>
      </c>
      <c r="AF271" s="213" t="s">
        <v>1643</v>
      </c>
      <c r="AG271" s="214" t="s">
        <v>1643</v>
      </c>
      <c r="AH271" s="212" t="s">
        <v>1644</v>
      </c>
      <c r="AI271" s="213" t="s">
        <v>1644</v>
      </c>
      <c r="AJ271" s="213" t="s">
        <v>1644</v>
      </c>
      <c r="AK271" s="213" t="s">
        <v>1644</v>
      </c>
      <c r="AL271" s="213" t="s">
        <v>1644</v>
      </c>
      <c r="AM271" s="213" t="s">
        <v>1644</v>
      </c>
      <c r="AN271" s="213" t="s">
        <v>1644</v>
      </c>
      <c r="AO271" s="213" t="s">
        <v>1644</v>
      </c>
      <c r="AP271" s="213" t="s">
        <v>1644</v>
      </c>
      <c r="AQ271" s="213" t="s">
        <v>1644</v>
      </c>
      <c r="AR271" s="213" t="s">
        <v>1644</v>
      </c>
      <c r="AS271" s="214" t="s">
        <v>1644</v>
      </c>
    </row>
    <row r="272" spans="1:45" ht="15.75" thickBot="1" x14ac:dyDescent="0.3">
      <c r="A272" s="212" t="s">
        <v>1189</v>
      </c>
      <c r="B272" s="48" t="s">
        <v>1190</v>
      </c>
      <c r="C272" s="214" t="s">
        <v>803</v>
      </c>
      <c r="D272" s="225"/>
      <c r="E272" s="226"/>
      <c r="F272" s="226"/>
      <c r="G272" s="227"/>
      <c r="H272" s="226"/>
      <c r="I272" s="226"/>
      <c r="J272" s="221">
        <v>35</v>
      </c>
      <c r="K272" s="219">
        <v>37440</v>
      </c>
      <c r="L272" s="219">
        <v>44512</v>
      </c>
      <c r="M272" s="221">
        <v>35</v>
      </c>
      <c r="N272" s="219">
        <v>31200</v>
      </c>
      <c r="O272" s="219">
        <v>37086</v>
      </c>
      <c r="P272" s="221">
        <v>19</v>
      </c>
      <c r="Q272" s="219">
        <v>22880</v>
      </c>
      <c r="R272" s="219">
        <v>27206</v>
      </c>
      <c r="S272" s="221">
        <v>17</v>
      </c>
      <c r="T272" s="219">
        <v>19240</v>
      </c>
      <c r="U272" s="222">
        <v>22838</v>
      </c>
      <c r="V272" s="212" t="s">
        <v>1643</v>
      </c>
      <c r="W272" s="213" t="s">
        <v>1643</v>
      </c>
      <c r="X272" s="213" t="s">
        <v>1643</v>
      </c>
      <c r="Y272" s="213" t="s">
        <v>1643</v>
      </c>
      <c r="Z272" s="213" t="s">
        <v>1643</v>
      </c>
      <c r="AA272" s="213" t="s">
        <v>1643</v>
      </c>
      <c r="AB272" s="213" t="s">
        <v>1643</v>
      </c>
      <c r="AC272" s="213" t="s">
        <v>1643</v>
      </c>
      <c r="AD272" s="213" t="s">
        <v>1643</v>
      </c>
      <c r="AE272" s="213" t="s">
        <v>1643</v>
      </c>
      <c r="AF272" s="213" t="s">
        <v>1644</v>
      </c>
      <c r="AG272" s="214" t="s">
        <v>1644</v>
      </c>
      <c r="AH272" s="212" t="s">
        <v>1644</v>
      </c>
      <c r="AI272" s="213" t="s">
        <v>1644</v>
      </c>
      <c r="AJ272" s="213" t="s">
        <v>1644</v>
      </c>
      <c r="AK272" s="213" t="s">
        <v>1644</v>
      </c>
      <c r="AL272" s="213" t="s">
        <v>1644</v>
      </c>
      <c r="AM272" s="213" t="s">
        <v>1643</v>
      </c>
      <c r="AN272" s="213" t="s">
        <v>1643</v>
      </c>
      <c r="AO272" s="213" t="s">
        <v>1643</v>
      </c>
      <c r="AP272" s="213" t="s">
        <v>1643</v>
      </c>
      <c r="AQ272" s="213" t="s">
        <v>1643</v>
      </c>
      <c r="AR272" s="213" t="s">
        <v>1644</v>
      </c>
      <c r="AS272" s="214" t="s">
        <v>1644</v>
      </c>
    </row>
    <row r="273" spans="1:45" ht="15.75" thickBot="1" x14ac:dyDescent="0.3">
      <c r="A273" s="212" t="s">
        <v>1207</v>
      </c>
      <c r="B273" s="48" t="s">
        <v>1208</v>
      </c>
      <c r="C273" s="214" t="s">
        <v>803</v>
      </c>
      <c r="D273" s="223" t="s">
        <v>850</v>
      </c>
      <c r="E273" s="220" t="s">
        <v>850</v>
      </c>
      <c r="F273" s="220" t="s">
        <v>850</v>
      </c>
      <c r="G273" s="220" t="s">
        <v>850</v>
      </c>
      <c r="H273" s="220" t="s">
        <v>850</v>
      </c>
      <c r="I273" s="220" t="s">
        <v>850</v>
      </c>
      <c r="J273" s="220" t="s">
        <v>850</v>
      </c>
      <c r="K273" s="220" t="s">
        <v>850</v>
      </c>
      <c r="L273" s="220" t="s">
        <v>850</v>
      </c>
      <c r="M273" s="227"/>
      <c r="N273" s="226"/>
      <c r="O273" s="226"/>
      <c r="P273" s="220" t="s">
        <v>850</v>
      </c>
      <c r="Q273" s="220" t="s">
        <v>850</v>
      </c>
      <c r="R273" s="220" t="s">
        <v>850</v>
      </c>
      <c r="S273" s="221">
        <v>26</v>
      </c>
      <c r="T273" s="219">
        <v>12501</v>
      </c>
      <c r="U273" s="222">
        <v>15289</v>
      </c>
      <c r="V273" s="209" t="s">
        <v>1644</v>
      </c>
      <c r="W273" s="210" t="s">
        <v>1644</v>
      </c>
      <c r="X273" s="210" t="s">
        <v>1644</v>
      </c>
      <c r="Y273" s="210" t="s">
        <v>1644</v>
      </c>
      <c r="Z273" s="210" t="s">
        <v>1644</v>
      </c>
      <c r="AA273" s="210" t="s">
        <v>1644</v>
      </c>
      <c r="AB273" s="210" t="s">
        <v>1644</v>
      </c>
      <c r="AC273" s="210" t="s">
        <v>1644</v>
      </c>
      <c r="AD273" s="210" t="s">
        <v>1644</v>
      </c>
      <c r="AE273" s="210" t="s">
        <v>1644</v>
      </c>
      <c r="AF273" s="210" t="s">
        <v>1644</v>
      </c>
      <c r="AG273" s="211" t="s">
        <v>1644</v>
      </c>
      <c r="AH273" s="209" t="s">
        <v>1644</v>
      </c>
      <c r="AI273" s="210" t="s">
        <v>1644</v>
      </c>
      <c r="AJ273" s="210" t="s">
        <v>1644</v>
      </c>
      <c r="AK273" s="210" t="s">
        <v>1644</v>
      </c>
      <c r="AL273" s="210" t="s">
        <v>1644</v>
      </c>
      <c r="AM273" s="210" t="s">
        <v>1644</v>
      </c>
      <c r="AN273" s="210" t="s">
        <v>1644</v>
      </c>
      <c r="AO273" s="210" t="s">
        <v>1644</v>
      </c>
      <c r="AP273" s="210" t="s">
        <v>1644</v>
      </c>
      <c r="AQ273" s="210" t="s">
        <v>1644</v>
      </c>
      <c r="AR273" s="210" t="s">
        <v>1644</v>
      </c>
      <c r="AS273" s="211" t="s">
        <v>1644</v>
      </c>
    </row>
    <row r="274" spans="1:45" ht="15.75" thickBot="1" x14ac:dyDescent="0.3">
      <c r="A274" s="212" t="s">
        <v>1223</v>
      </c>
      <c r="B274" s="48" t="s">
        <v>1224</v>
      </c>
      <c r="C274" s="214" t="s">
        <v>803</v>
      </c>
      <c r="D274" s="223" t="s">
        <v>850</v>
      </c>
      <c r="E274" s="220" t="s">
        <v>850</v>
      </c>
      <c r="F274" s="220" t="s">
        <v>850</v>
      </c>
      <c r="G274" s="221">
        <v>40</v>
      </c>
      <c r="H274" s="219">
        <v>43000</v>
      </c>
      <c r="I274" s="219">
        <v>55000</v>
      </c>
      <c r="J274" s="221">
        <v>40</v>
      </c>
      <c r="K274" s="219">
        <v>37440</v>
      </c>
      <c r="L274" s="219">
        <v>50000</v>
      </c>
      <c r="M274" s="221">
        <v>40</v>
      </c>
      <c r="N274" s="219">
        <v>30000</v>
      </c>
      <c r="O274" s="219">
        <v>45000</v>
      </c>
      <c r="P274" s="221">
        <v>40</v>
      </c>
      <c r="Q274" s="219">
        <v>33280</v>
      </c>
      <c r="R274" s="219">
        <v>50000</v>
      </c>
      <c r="S274" s="221">
        <v>20</v>
      </c>
      <c r="T274" s="219">
        <v>10400</v>
      </c>
      <c r="U274" s="222">
        <v>16982</v>
      </c>
      <c r="V274" s="212" t="s">
        <v>1643</v>
      </c>
      <c r="W274" s="213" t="s">
        <v>1644</v>
      </c>
      <c r="X274" s="213" t="s">
        <v>1643</v>
      </c>
      <c r="Y274" s="213" t="s">
        <v>1644</v>
      </c>
      <c r="Z274" s="213" t="s">
        <v>1644</v>
      </c>
      <c r="AA274" s="213" t="s">
        <v>1643</v>
      </c>
      <c r="AB274" s="213" t="s">
        <v>1643</v>
      </c>
      <c r="AC274" s="213" t="s">
        <v>1643</v>
      </c>
      <c r="AD274" s="213" t="s">
        <v>1643</v>
      </c>
      <c r="AE274" s="213" t="s">
        <v>1644</v>
      </c>
      <c r="AF274" s="213" t="s">
        <v>1644</v>
      </c>
      <c r="AG274" s="214" t="s">
        <v>1644</v>
      </c>
      <c r="AH274" s="212" t="s">
        <v>1644</v>
      </c>
      <c r="AI274" s="213" t="s">
        <v>1644</v>
      </c>
      <c r="AJ274" s="213" t="s">
        <v>1644</v>
      </c>
      <c r="AK274" s="213" t="s">
        <v>1644</v>
      </c>
      <c r="AL274" s="213" t="s">
        <v>1644</v>
      </c>
      <c r="AM274" s="213" t="s">
        <v>1643</v>
      </c>
      <c r="AN274" s="213" t="s">
        <v>1643</v>
      </c>
      <c r="AO274" s="213" t="s">
        <v>1643</v>
      </c>
      <c r="AP274" s="213" t="s">
        <v>1644</v>
      </c>
      <c r="AQ274" s="213" t="s">
        <v>1644</v>
      </c>
      <c r="AR274" s="213" t="s">
        <v>1644</v>
      </c>
      <c r="AS274" s="214" t="s">
        <v>1644</v>
      </c>
    </row>
    <row r="275" spans="1:45" ht="15.75" thickBot="1" x14ac:dyDescent="0.3">
      <c r="A275" s="212" t="s">
        <v>1235</v>
      </c>
      <c r="B275" s="48" t="s">
        <v>1236</v>
      </c>
      <c r="C275" s="214" t="s">
        <v>803</v>
      </c>
      <c r="D275" s="225"/>
      <c r="E275" s="226"/>
      <c r="F275" s="226"/>
      <c r="G275" s="227"/>
      <c r="H275" s="226"/>
      <c r="I275" s="226"/>
      <c r="J275" s="221" t="s">
        <v>3453</v>
      </c>
      <c r="K275" s="219">
        <v>38000</v>
      </c>
      <c r="L275" s="219">
        <v>48200</v>
      </c>
      <c r="M275" s="227"/>
      <c r="N275" s="226"/>
      <c r="O275" s="226"/>
      <c r="P275" s="221">
        <v>40</v>
      </c>
      <c r="Q275" s="219">
        <v>45000</v>
      </c>
      <c r="R275" s="219">
        <v>50100</v>
      </c>
      <c r="S275" s="221">
        <v>35</v>
      </c>
      <c r="T275" s="219">
        <v>15000</v>
      </c>
      <c r="U275" s="222">
        <v>32200</v>
      </c>
      <c r="V275" s="212" t="s">
        <v>1643</v>
      </c>
      <c r="W275" s="213" t="s">
        <v>1643</v>
      </c>
      <c r="X275" s="213" t="s">
        <v>1644</v>
      </c>
      <c r="Y275" s="213" t="s">
        <v>1643</v>
      </c>
      <c r="Z275" s="213" t="s">
        <v>1643</v>
      </c>
      <c r="AA275" s="213" t="s">
        <v>1643</v>
      </c>
      <c r="AB275" s="213" t="s">
        <v>1643</v>
      </c>
      <c r="AC275" s="213" t="s">
        <v>1643</v>
      </c>
      <c r="AD275" s="213" t="s">
        <v>1643</v>
      </c>
      <c r="AE275" s="213" t="s">
        <v>1644</v>
      </c>
      <c r="AF275" s="213" t="s">
        <v>1643</v>
      </c>
      <c r="AG275" s="214" t="s">
        <v>1644</v>
      </c>
      <c r="AH275" s="212" t="s">
        <v>1644</v>
      </c>
      <c r="AI275" s="213" t="s">
        <v>1644</v>
      </c>
      <c r="AJ275" s="213" t="s">
        <v>1644</v>
      </c>
      <c r="AK275" s="213" t="s">
        <v>1644</v>
      </c>
      <c r="AL275" s="213" t="s">
        <v>1644</v>
      </c>
      <c r="AM275" s="213" t="s">
        <v>1643</v>
      </c>
      <c r="AN275" s="213" t="s">
        <v>1643</v>
      </c>
      <c r="AO275" s="213" t="s">
        <v>1643</v>
      </c>
      <c r="AP275" s="213" t="s">
        <v>1643</v>
      </c>
      <c r="AQ275" s="213" t="s">
        <v>1644</v>
      </c>
      <c r="AR275" s="213" t="s">
        <v>1643</v>
      </c>
      <c r="AS275" s="214" t="s">
        <v>1644</v>
      </c>
    </row>
    <row r="276" spans="1:45" ht="15.75" thickBot="1" x14ac:dyDescent="0.3">
      <c r="A276" s="212" t="s">
        <v>1241</v>
      </c>
      <c r="B276" s="48" t="s">
        <v>1242</v>
      </c>
      <c r="C276" s="214" t="s">
        <v>803</v>
      </c>
      <c r="D276" s="218">
        <v>40</v>
      </c>
      <c r="E276" s="219">
        <v>32000</v>
      </c>
      <c r="F276" s="219">
        <v>54600</v>
      </c>
      <c r="G276" s="227"/>
      <c r="H276" s="226"/>
      <c r="I276" s="226"/>
      <c r="J276" s="221">
        <v>40</v>
      </c>
      <c r="K276" s="219">
        <v>32000</v>
      </c>
      <c r="L276" s="219">
        <v>54600</v>
      </c>
      <c r="M276" s="221">
        <v>40</v>
      </c>
      <c r="N276" s="219">
        <v>33000</v>
      </c>
      <c r="O276" s="219">
        <v>39520</v>
      </c>
      <c r="P276" s="227"/>
      <c r="Q276" s="226"/>
      <c r="R276" s="226"/>
      <c r="S276" s="221">
        <v>20</v>
      </c>
      <c r="T276" s="219">
        <v>10000</v>
      </c>
      <c r="U276" s="222">
        <v>14500</v>
      </c>
      <c r="V276" s="212" t="s">
        <v>1643</v>
      </c>
      <c r="W276" s="213" t="s">
        <v>1643</v>
      </c>
      <c r="X276" s="213" t="s">
        <v>1643</v>
      </c>
      <c r="Y276" s="213" t="s">
        <v>1643</v>
      </c>
      <c r="Z276" s="213" t="s">
        <v>1643</v>
      </c>
      <c r="AA276" s="213" t="s">
        <v>1643</v>
      </c>
      <c r="AB276" s="213" t="s">
        <v>1643</v>
      </c>
      <c r="AC276" s="213" t="s">
        <v>1643</v>
      </c>
      <c r="AD276" s="213" t="s">
        <v>1644</v>
      </c>
      <c r="AE276" s="213" t="s">
        <v>1643</v>
      </c>
      <c r="AF276" s="213" t="s">
        <v>1644</v>
      </c>
      <c r="AG276" s="214" t="s">
        <v>1644</v>
      </c>
      <c r="AH276" s="212" t="s">
        <v>1644</v>
      </c>
      <c r="AI276" s="213" t="s">
        <v>1644</v>
      </c>
      <c r="AJ276" s="213" t="s">
        <v>1644</v>
      </c>
      <c r="AK276" s="213" t="s">
        <v>1644</v>
      </c>
      <c r="AL276" s="213" t="s">
        <v>1644</v>
      </c>
      <c r="AM276" s="213" t="s">
        <v>1644</v>
      </c>
      <c r="AN276" s="213" t="s">
        <v>1644</v>
      </c>
      <c r="AO276" s="213" t="s">
        <v>1643</v>
      </c>
      <c r="AP276" s="213" t="s">
        <v>1644</v>
      </c>
      <c r="AQ276" s="213" t="s">
        <v>1644</v>
      </c>
      <c r="AR276" s="213" t="s">
        <v>1644</v>
      </c>
      <c r="AS276" s="214" t="s">
        <v>1644</v>
      </c>
    </row>
    <row r="277" spans="1:45" ht="15.75" thickBot="1" x14ac:dyDescent="0.3">
      <c r="A277" s="212" t="s">
        <v>1255</v>
      </c>
      <c r="B277" s="48" t="s">
        <v>1256</v>
      </c>
      <c r="C277" s="214" t="s">
        <v>803</v>
      </c>
      <c r="D277" s="218">
        <v>40</v>
      </c>
      <c r="E277" s="219">
        <v>41168</v>
      </c>
      <c r="F277" s="219">
        <v>44944</v>
      </c>
      <c r="G277" s="221">
        <v>38</v>
      </c>
      <c r="H277" s="219">
        <v>28020</v>
      </c>
      <c r="I277" s="219">
        <v>36417</v>
      </c>
      <c r="J277" s="221">
        <v>38</v>
      </c>
      <c r="K277" s="219">
        <v>36457</v>
      </c>
      <c r="L277" s="219">
        <v>47424</v>
      </c>
      <c r="M277" s="221">
        <v>38</v>
      </c>
      <c r="N277" s="219">
        <v>30173</v>
      </c>
      <c r="O277" s="219">
        <v>39224</v>
      </c>
      <c r="P277" s="221">
        <v>38</v>
      </c>
      <c r="Q277" s="219">
        <v>28711</v>
      </c>
      <c r="R277" s="219">
        <v>37827</v>
      </c>
      <c r="S277" s="221">
        <v>38</v>
      </c>
      <c r="T277" s="219">
        <v>22230</v>
      </c>
      <c r="U277" s="222">
        <v>28830</v>
      </c>
      <c r="V277" s="212" t="s">
        <v>1643</v>
      </c>
      <c r="W277" s="213" t="s">
        <v>1643</v>
      </c>
      <c r="X277" s="213" t="s">
        <v>1643</v>
      </c>
      <c r="Y277" s="213" t="s">
        <v>1643</v>
      </c>
      <c r="Z277" s="213" t="s">
        <v>1643</v>
      </c>
      <c r="AA277" s="213" t="s">
        <v>1644</v>
      </c>
      <c r="AB277" s="213" t="s">
        <v>1643</v>
      </c>
      <c r="AC277" s="213" t="s">
        <v>1643</v>
      </c>
      <c r="AD277" s="213" t="s">
        <v>1643</v>
      </c>
      <c r="AE277" s="213" t="s">
        <v>1643</v>
      </c>
      <c r="AF277" s="213" t="s">
        <v>1643</v>
      </c>
      <c r="AG277" s="214" t="s">
        <v>1644</v>
      </c>
      <c r="AH277" s="212" t="s">
        <v>1644</v>
      </c>
      <c r="AI277" s="213" t="s">
        <v>1644</v>
      </c>
      <c r="AJ277" s="213" t="s">
        <v>1644</v>
      </c>
      <c r="AK277" s="213" t="s">
        <v>1643</v>
      </c>
      <c r="AL277" s="213" t="s">
        <v>1644</v>
      </c>
      <c r="AM277" s="213" t="s">
        <v>1644</v>
      </c>
      <c r="AN277" s="213" t="s">
        <v>1643</v>
      </c>
      <c r="AO277" s="213" t="s">
        <v>1643</v>
      </c>
      <c r="AP277" s="213" t="s">
        <v>1643</v>
      </c>
      <c r="AQ277" s="213" t="s">
        <v>1644</v>
      </c>
      <c r="AR277" s="213" t="s">
        <v>1643</v>
      </c>
      <c r="AS277" s="214" t="s">
        <v>1644</v>
      </c>
    </row>
    <row r="278" spans="1:45" ht="15.75" thickBot="1" x14ac:dyDescent="0.3">
      <c r="A278" s="212" t="s">
        <v>1265</v>
      </c>
      <c r="B278" s="48" t="s">
        <v>1266</v>
      </c>
      <c r="C278" s="214" t="s">
        <v>803</v>
      </c>
      <c r="D278" s="218">
        <v>40</v>
      </c>
      <c r="E278" s="219">
        <v>49724</v>
      </c>
      <c r="F278" s="219">
        <v>64145</v>
      </c>
      <c r="G278" s="221">
        <v>40</v>
      </c>
      <c r="H278" s="219">
        <v>39639</v>
      </c>
      <c r="I278" s="219">
        <v>53685</v>
      </c>
      <c r="J278" s="220" t="s">
        <v>850</v>
      </c>
      <c r="K278" s="220" t="s">
        <v>850</v>
      </c>
      <c r="L278" s="220" t="s">
        <v>850</v>
      </c>
      <c r="M278" s="221">
        <v>40</v>
      </c>
      <c r="N278" s="219">
        <v>34216</v>
      </c>
      <c r="O278" s="219">
        <v>44491</v>
      </c>
      <c r="P278" s="221">
        <v>40</v>
      </c>
      <c r="Q278" s="219">
        <v>39639</v>
      </c>
      <c r="R278" s="219">
        <v>51697</v>
      </c>
      <c r="S278" s="221">
        <v>30</v>
      </c>
      <c r="T278" s="219">
        <v>17176</v>
      </c>
      <c r="U278" s="222">
        <v>29063</v>
      </c>
      <c r="V278" s="212" t="s">
        <v>1643</v>
      </c>
      <c r="W278" s="213" t="s">
        <v>1643</v>
      </c>
      <c r="X278" s="213" t="s">
        <v>1644</v>
      </c>
      <c r="Y278" s="213" t="s">
        <v>1644</v>
      </c>
      <c r="Z278" s="213" t="s">
        <v>1643</v>
      </c>
      <c r="AA278" s="213" t="s">
        <v>1643</v>
      </c>
      <c r="AB278" s="213" t="s">
        <v>1643</v>
      </c>
      <c r="AC278" s="213" t="s">
        <v>1643</v>
      </c>
      <c r="AD278" s="213" t="s">
        <v>1643</v>
      </c>
      <c r="AE278" s="213" t="s">
        <v>1644</v>
      </c>
      <c r="AF278" s="213" t="s">
        <v>1644</v>
      </c>
      <c r="AG278" s="214" t="s">
        <v>1644</v>
      </c>
      <c r="AH278" s="212" t="s">
        <v>1643</v>
      </c>
      <c r="AI278" s="213" t="s">
        <v>1643</v>
      </c>
      <c r="AJ278" s="213" t="s">
        <v>1644</v>
      </c>
      <c r="AK278" s="213" t="s">
        <v>1644</v>
      </c>
      <c r="AL278" s="213" t="s">
        <v>1643</v>
      </c>
      <c r="AM278" s="213" t="s">
        <v>1643</v>
      </c>
      <c r="AN278" s="213" t="s">
        <v>1643</v>
      </c>
      <c r="AO278" s="213" t="s">
        <v>1643</v>
      </c>
      <c r="AP278" s="213" t="s">
        <v>1643</v>
      </c>
      <c r="AQ278" s="213" t="s">
        <v>1644</v>
      </c>
      <c r="AR278" s="213" t="s">
        <v>1644</v>
      </c>
      <c r="AS278" s="214" t="s">
        <v>1644</v>
      </c>
    </row>
    <row r="279" spans="1:45" ht="15.75" thickBot="1" x14ac:dyDescent="0.3">
      <c r="A279" s="212" t="s">
        <v>1269</v>
      </c>
      <c r="B279" s="48" t="s">
        <v>1270</v>
      </c>
      <c r="C279" s="214" t="s">
        <v>803</v>
      </c>
      <c r="D279" s="218">
        <v>32</v>
      </c>
      <c r="E279" s="219">
        <v>27400</v>
      </c>
      <c r="F279" s="219">
        <v>37200</v>
      </c>
      <c r="G279" s="221">
        <v>40</v>
      </c>
      <c r="H279" s="219">
        <v>30300</v>
      </c>
      <c r="I279" s="219">
        <v>41200</v>
      </c>
      <c r="J279" s="221">
        <v>40</v>
      </c>
      <c r="K279" s="219">
        <v>24700</v>
      </c>
      <c r="L279" s="219">
        <v>33500</v>
      </c>
      <c r="M279" s="221">
        <v>20</v>
      </c>
      <c r="N279" s="219">
        <v>12300</v>
      </c>
      <c r="O279" s="219">
        <v>16800</v>
      </c>
      <c r="P279" s="221">
        <v>40</v>
      </c>
      <c r="Q279" s="219">
        <v>24700</v>
      </c>
      <c r="R279" s="219">
        <v>33500</v>
      </c>
      <c r="S279" s="220" t="s">
        <v>850</v>
      </c>
      <c r="T279" s="220" t="s">
        <v>850</v>
      </c>
      <c r="U279" s="224" t="s">
        <v>850</v>
      </c>
      <c r="V279" s="212" t="s">
        <v>1643</v>
      </c>
      <c r="W279" s="213" t="s">
        <v>1643</v>
      </c>
      <c r="X279" s="213" t="s">
        <v>1643</v>
      </c>
      <c r="Y279" s="213" t="s">
        <v>1643</v>
      </c>
      <c r="Z279" s="213" t="s">
        <v>1643</v>
      </c>
      <c r="AA279" s="213" t="s">
        <v>1643</v>
      </c>
      <c r="AB279" s="213" t="s">
        <v>1643</v>
      </c>
      <c r="AC279" s="213" t="s">
        <v>1643</v>
      </c>
      <c r="AD279" s="213" t="s">
        <v>1643</v>
      </c>
      <c r="AE279" s="213" t="s">
        <v>1643</v>
      </c>
      <c r="AF279" s="213" t="s">
        <v>1643</v>
      </c>
      <c r="AG279" s="214" t="s">
        <v>1644</v>
      </c>
      <c r="AH279" s="212" t="s">
        <v>1644</v>
      </c>
      <c r="AI279" s="213" t="s">
        <v>1644</v>
      </c>
      <c r="AJ279" s="213" t="s">
        <v>1644</v>
      </c>
      <c r="AK279" s="213" t="s">
        <v>1644</v>
      </c>
      <c r="AL279" s="213" t="s">
        <v>1644</v>
      </c>
      <c r="AM279" s="213" t="s">
        <v>1643</v>
      </c>
      <c r="AN279" s="213" t="s">
        <v>1643</v>
      </c>
      <c r="AO279" s="213" t="s">
        <v>1643</v>
      </c>
      <c r="AP279" s="213" t="s">
        <v>1644</v>
      </c>
      <c r="AQ279" s="213" t="s">
        <v>1643</v>
      </c>
      <c r="AR279" s="213" t="s">
        <v>1643</v>
      </c>
      <c r="AS279" s="214" t="s">
        <v>1644</v>
      </c>
    </row>
    <row r="280" spans="1:45" ht="15.75" thickBot="1" x14ac:dyDescent="0.3">
      <c r="A280" s="212" t="s">
        <v>1281</v>
      </c>
      <c r="B280" s="48" t="s">
        <v>1282</v>
      </c>
      <c r="C280" s="214" t="s">
        <v>803</v>
      </c>
      <c r="D280" s="223" t="s">
        <v>850</v>
      </c>
      <c r="E280" s="220" t="s">
        <v>850</v>
      </c>
      <c r="F280" s="220" t="s">
        <v>850</v>
      </c>
      <c r="G280" s="220" t="s">
        <v>850</v>
      </c>
      <c r="H280" s="220" t="s">
        <v>850</v>
      </c>
      <c r="I280" s="220" t="s">
        <v>850</v>
      </c>
      <c r="J280" s="220" t="s">
        <v>850</v>
      </c>
      <c r="K280" s="220" t="s">
        <v>850</v>
      </c>
      <c r="L280" s="220" t="s">
        <v>850</v>
      </c>
      <c r="M280" s="221">
        <v>40</v>
      </c>
      <c r="N280" s="219">
        <v>34986</v>
      </c>
      <c r="O280" s="219">
        <v>41984</v>
      </c>
      <c r="P280" s="220" t="s">
        <v>850</v>
      </c>
      <c r="Q280" s="220" t="s">
        <v>850</v>
      </c>
      <c r="R280" s="220" t="s">
        <v>850</v>
      </c>
      <c r="S280" s="221">
        <v>24</v>
      </c>
      <c r="T280" s="219">
        <v>17497</v>
      </c>
      <c r="U280" s="222">
        <v>21004</v>
      </c>
      <c r="V280" s="212" t="s">
        <v>1643</v>
      </c>
      <c r="W280" s="213" t="s">
        <v>1643</v>
      </c>
      <c r="X280" s="213" t="s">
        <v>1643</v>
      </c>
      <c r="Y280" s="213" t="s">
        <v>1643</v>
      </c>
      <c r="Z280" s="213" t="s">
        <v>1643</v>
      </c>
      <c r="AA280" s="213" t="s">
        <v>1643</v>
      </c>
      <c r="AB280" s="213" t="s">
        <v>1643</v>
      </c>
      <c r="AC280" s="213" t="s">
        <v>1643</v>
      </c>
      <c r="AD280" s="213" t="s">
        <v>1643</v>
      </c>
      <c r="AE280" s="213" t="s">
        <v>1643</v>
      </c>
      <c r="AF280" s="213" t="s">
        <v>1643</v>
      </c>
      <c r="AG280" s="214" t="s">
        <v>1643</v>
      </c>
      <c r="AH280" s="212" t="s">
        <v>1644</v>
      </c>
      <c r="AI280" s="213" t="s">
        <v>1644</v>
      </c>
      <c r="AJ280" s="213" t="s">
        <v>1644</v>
      </c>
      <c r="AK280" s="213" t="s">
        <v>1644</v>
      </c>
      <c r="AL280" s="213" t="s">
        <v>1644</v>
      </c>
      <c r="AM280" s="213" t="s">
        <v>1644</v>
      </c>
      <c r="AN280" s="213" t="s">
        <v>1644</v>
      </c>
      <c r="AO280" s="213" t="s">
        <v>1644</v>
      </c>
      <c r="AP280" s="213" t="s">
        <v>1644</v>
      </c>
      <c r="AQ280" s="213" t="s">
        <v>1644</v>
      </c>
      <c r="AR280" s="213" t="s">
        <v>1644</v>
      </c>
      <c r="AS280" s="214" t="s">
        <v>1643</v>
      </c>
    </row>
    <row r="281" spans="1:45" ht="15.75" thickBot="1" x14ac:dyDescent="0.3">
      <c r="A281" s="212" t="s">
        <v>1285</v>
      </c>
      <c r="B281" s="48" t="s">
        <v>1286</v>
      </c>
      <c r="C281" s="214" t="s">
        <v>803</v>
      </c>
      <c r="D281" s="218">
        <v>24</v>
      </c>
      <c r="E281" s="219">
        <v>15000</v>
      </c>
      <c r="F281" s="219">
        <v>25000</v>
      </c>
      <c r="G281" s="227"/>
      <c r="H281" s="226"/>
      <c r="I281" s="226"/>
      <c r="J281" s="221">
        <v>24</v>
      </c>
      <c r="K281" s="219">
        <v>15000</v>
      </c>
      <c r="L281" s="219">
        <v>25000</v>
      </c>
      <c r="M281" s="221">
        <v>16</v>
      </c>
      <c r="N281" s="219">
        <v>15000</v>
      </c>
      <c r="O281" s="219">
        <v>25000</v>
      </c>
      <c r="P281" s="227"/>
      <c r="Q281" s="226"/>
      <c r="R281" s="226"/>
      <c r="S281" s="221">
        <v>29</v>
      </c>
      <c r="T281" s="219">
        <v>8500</v>
      </c>
      <c r="U281" s="222">
        <v>13500</v>
      </c>
      <c r="V281" s="212" t="s">
        <v>1643</v>
      </c>
      <c r="W281" s="213" t="s">
        <v>1643</v>
      </c>
      <c r="X281" s="213" t="s">
        <v>1643</v>
      </c>
      <c r="Y281" s="213" t="s">
        <v>1643</v>
      </c>
      <c r="Z281" s="213" t="s">
        <v>1643</v>
      </c>
      <c r="AA281" s="213" t="s">
        <v>1643</v>
      </c>
      <c r="AB281" s="213" t="s">
        <v>1643</v>
      </c>
      <c r="AC281" s="213" t="s">
        <v>1643</v>
      </c>
      <c r="AD281" s="213" t="s">
        <v>1644</v>
      </c>
      <c r="AE281" s="213" t="s">
        <v>1643</v>
      </c>
      <c r="AF281" s="213" t="s">
        <v>1643</v>
      </c>
      <c r="AG281" s="214" t="s">
        <v>1644</v>
      </c>
      <c r="AH281" s="212" t="s">
        <v>1644</v>
      </c>
      <c r="AI281" s="213" t="s">
        <v>1644</v>
      </c>
      <c r="AJ281" s="213" t="s">
        <v>1644</v>
      </c>
      <c r="AK281" s="213" t="s">
        <v>1644</v>
      </c>
      <c r="AL281" s="213" t="s">
        <v>1644</v>
      </c>
      <c r="AM281" s="213" t="s">
        <v>1643</v>
      </c>
      <c r="AN281" s="213" t="s">
        <v>1643</v>
      </c>
      <c r="AO281" s="213" t="s">
        <v>1644</v>
      </c>
      <c r="AP281" s="213" t="s">
        <v>1644</v>
      </c>
      <c r="AQ281" s="213" t="s">
        <v>1644</v>
      </c>
      <c r="AR281" s="213" t="s">
        <v>1643</v>
      </c>
      <c r="AS281" s="214" t="s">
        <v>1644</v>
      </c>
    </row>
    <row r="282" spans="1:45" ht="15.75" thickBot="1" x14ac:dyDescent="0.3">
      <c r="A282" s="212" t="s">
        <v>1287</v>
      </c>
      <c r="B282" s="48" t="s">
        <v>1288</v>
      </c>
      <c r="C282" s="214" t="s">
        <v>803</v>
      </c>
      <c r="D282" s="225"/>
      <c r="E282" s="226"/>
      <c r="F282" s="226"/>
      <c r="G282" s="221">
        <v>38</v>
      </c>
      <c r="H282" s="219">
        <v>42000</v>
      </c>
      <c r="I282" s="219">
        <v>54505</v>
      </c>
      <c r="J282" s="227"/>
      <c r="K282" s="226"/>
      <c r="L282" s="226"/>
      <c r="M282" s="221" t="s">
        <v>3453</v>
      </c>
      <c r="N282" s="219">
        <v>36500</v>
      </c>
      <c r="O282" s="219">
        <v>50000</v>
      </c>
      <c r="P282" s="227"/>
      <c r="Q282" s="226"/>
      <c r="R282" s="226"/>
      <c r="S282" s="221">
        <v>38</v>
      </c>
      <c r="T282" s="219">
        <v>22700</v>
      </c>
      <c r="U282" s="222">
        <v>32500</v>
      </c>
      <c r="V282" s="212" t="s">
        <v>1643</v>
      </c>
      <c r="W282" s="213" t="s">
        <v>1643</v>
      </c>
      <c r="X282" s="213" t="s">
        <v>1644</v>
      </c>
      <c r="Y282" s="213" t="s">
        <v>1643</v>
      </c>
      <c r="Z282" s="213" t="s">
        <v>1643</v>
      </c>
      <c r="AA282" s="213" t="s">
        <v>1643</v>
      </c>
      <c r="AB282" s="213" t="s">
        <v>1643</v>
      </c>
      <c r="AC282" s="213" t="s">
        <v>1643</v>
      </c>
      <c r="AD282" s="213" t="s">
        <v>1644</v>
      </c>
      <c r="AE282" s="213" t="s">
        <v>1644</v>
      </c>
      <c r="AF282" s="213" t="s">
        <v>1643</v>
      </c>
      <c r="AG282" s="214" t="s">
        <v>1644</v>
      </c>
      <c r="AH282" s="212" t="s">
        <v>1644</v>
      </c>
      <c r="AI282" s="213" t="s">
        <v>1644</v>
      </c>
      <c r="AJ282" s="213" t="s">
        <v>1644</v>
      </c>
      <c r="AK282" s="213" t="s">
        <v>1644</v>
      </c>
      <c r="AL282" s="213" t="s">
        <v>1644</v>
      </c>
      <c r="AM282" s="213" t="s">
        <v>1644</v>
      </c>
      <c r="AN282" s="213" t="s">
        <v>1644</v>
      </c>
      <c r="AO282" s="213" t="s">
        <v>1644</v>
      </c>
      <c r="AP282" s="213" t="s">
        <v>1644</v>
      </c>
      <c r="AQ282" s="213" t="s">
        <v>1644</v>
      </c>
      <c r="AR282" s="213" t="s">
        <v>1644</v>
      </c>
      <c r="AS282" s="214" t="s">
        <v>1644</v>
      </c>
    </row>
    <row r="283" spans="1:45" ht="15.75" thickBot="1" x14ac:dyDescent="0.3">
      <c r="A283" s="212" t="s">
        <v>1291</v>
      </c>
      <c r="B283" s="48" t="s">
        <v>1292</v>
      </c>
      <c r="C283" s="214" t="s">
        <v>803</v>
      </c>
      <c r="D283" s="223" t="s">
        <v>850</v>
      </c>
      <c r="E283" s="220" t="s">
        <v>850</v>
      </c>
      <c r="F283" s="220" t="s">
        <v>850</v>
      </c>
      <c r="G283" s="220" t="s">
        <v>850</v>
      </c>
      <c r="H283" s="220" t="s">
        <v>850</v>
      </c>
      <c r="I283" s="220" t="s">
        <v>850</v>
      </c>
      <c r="J283" s="220" t="s">
        <v>850</v>
      </c>
      <c r="K283" s="220" t="s">
        <v>850</v>
      </c>
      <c r="L283" s="220" t="s">
        <v>850</v>
      </c>
      <c r="M283" s="220" t="s">
        <v>850</v>
      </c>
      <c r="N283" s="220" t="s">
        <v>850</v>
      </c>
      <c r="O283" s="220" t="s">
        <v>850</v>
      </c>
      <c r="P283" s="220" t="s">
        <v>850</v>
      </c>
      <c r="Q283" s="220" t="s">
        <v>850</v>
      </c>
      <c r="R283" s="220" t="s">
        <v>850</v>
      </c>
      <c r="S283" s="221">
        <v>20</v>
      </c>
      <c r="T283" s="219">
        <v>10000</v>
      </c>
      <c r="U283" s="222">
        <v>18000</v>
      </c>
      <c r="V283" s="209" t="s">
        <v>1644</v>
      </c>
      <c r="W283" s="210" t="s">
        <v>1644</v>
      </c>
      <c r="X283" s="210" t="s">
        <v>1644</v>
      </c>
      <c r="Y283" s="210" t="s">
        <v>1644</v>
      </c>
      <c r="Z283" s="210" t="s">
        <v>1644</v>
      </c>
      <c r="AA283" s="210" t="s">
        <v>1644</v>
      </c>
      <c r="AB283" s="210" t="s">
        <v>1644</v>
      </c>
      <c r="AC283" s="210" t="s">
        <v>1644</v>
      </c>
      <c r="AD283" s="210" t="s">
        <v>1644</v>
      </c>
      <c r="AE283" s="210" t="s">
        <v>1644</v>
      </c>
      <c r="AF283" s="210" t="s">
        <v>1644</v>
      </c>
      <c r="AG283" s="211" t="s">
        <v>1644</v>
      </c>
      <c r="AH283" s="209" t="s">
        <v>1644</v>
      </c>
      <c r="AI283" s="210" t="s">
        <v>1644</v>
      </c>
      <c r="AJ283" s="210" t="s">
        <v>1644</v>
      </c>
      <c r="AK283" s="210" t="s">
        <v>1644</v>
      </c>
      <c r="AL283" s="210" t="s">
        <v>1644</v>
      </c>
      <c r="AM283" s="210" t="s">
        <v>1644</v>
      </c>
      <c r="AN283" s="210" t="s">
        <v>1644</v>
      </c>
      <c r="AO283" s="210" t="s">
        <v>1644</v>
      </c>
      <c r="AP283" s="210" t="s">
        <v>1644</v>
      </c>
      <c r="AQ283" s="210" t="s">
        <v>1644</v>
      </c>
      <c r="AR283" s="210" t="s">
        <v>1644</v>
      </c>
      <c r="AS283" s="211" t="s">
        <v>1644</v>
      </c>
    </row>
    <row r="284" spans="1:45" ht="15.75" thickBot="1" x14ac:dyDescent="0.3">
      <c r="A284" s="212" t="s">
        <v>1301</v>
      </c>
      <c r="B284" s="48" t="s">
        <v>1302</v>
      </c>
      <c r="C284" s="214" t="s">
        <v>803</v>
      </c>
      <c r="D284" s="218">
        <v>35</v>
      </c>
      <c r="E284" s="219">
        <v>65000</v>
      </c>
      <c r="F284" s="219">
        <v>80936</v>
      </c>
      <c r="G284" s="220" t="s">
        <v>850</v>
      </c>
      <c r="H284" s="220" t="s">
        <v>850</v>
      </c>
      <c r="I284" s="220" t="s">
        <v>850</v>
      </c>
      <c r="J284" s="220" t="s">
        <v>850</v>
      </c>
      <c r="K284" s="220" t="s">
        <v>850</v>
      </c>
      <c r="L284" s="220" t="s">
        <v>850</v>
      </c>
      <c r="M284" s="221">
        <v>35</v>
      </c>
      <c r="N284" s="219">
        <v>37881</v>
      </c>
      <c r="O284" s="219">
        <v>63068</v>
      </c>
      <c r="P284" s="220" t="s">
        <v>850</v>
      </c>
      <c r="Q284" s="220" t="s">
        <v>850</v>
      </c>
      <c r="R284" s="220" t="s">
        <v>850</v>
      </c>
      <c r="S284" s="221">
        <v>35</v>
      </c>
      <c r="T284" s="219">
        <v>23079</v>
      </c>
      <c r="U284" s="222">
        <v>37412</v>
      </c>
      <c r="V284" s="212" t="s">
        <v>1643</v>
      </c>
      <c r="W284" s="213" t="s">
        <v>1643</v>
      </c>
      <c r="X284" s="213" t="s">
        <v>1643</v>
      </c>
      <c r="Y284" s="213" t="s">
        <v>1643</v>
      </c>
      <c r="Z284" s="213" t="s">
        <v>1643</v>
      </c>
      <c r="AA284" s="213" t="s">
        <v>1643</v>
      </c>
      <c r="AB284" s="213" t="s">
        <v>1643</v>
      </c>
      <c r="AC284" s="213" t="s">
        <v>1643</v>
      </c>
      <c r="AD284" s="213" t="s">
        <v>1643</v>
      </c>
      <c r="AE284" s="213" t="s">
        <v>1643</v>
      </c>
      <c r="AF284" s="213" t="s">
        <v>1643</v>
      </c>
      <c r="AG284" s="214" t="s">
        <v>1643</v>
      </c>
      <c r="AH284" s="212" t="s">
        <v>1644</v>
      </c>
      <c r="AI284" s="213" t="s">
        <v>1644</v>
      </c>
      <c r="AJ284" s="213" t="s">
        <v>1644</v>
      </c>
      <c r="AK284" s="213" t="s">
        <v>1643</v>
      </c>
      <c r="AL284" s="213" t="s">
        <v>1644</v>
      </c>
      <c r="AM284" s="213" t="s">
        <v>1643</v>
      </c>
      <c r="AN284" s="213" t="s">
        <v>1643</v>
      </c>
      <c r="AO284" s="213" t="s">
        <v>1644</v>
      </c>
      <c r="AP284" s="213" t="s">
        <v>1644</v>
      </c>
      <c r="AQ284" s="213" t="s">
        <v>1644</v>
      </c>
      <c r="AR284" s="213" t="s">
        <v>1643</v>
      </c>
      <c r="AS284" s="214" t="s">
        <v>1643</v>
      </c>
    </row>
    <row r="285" spans="1:45" ht="15.75" thickBot="1" x14ac:dyDescent="0.3">
      <c r="A285" s="212" t="s">
        <v>1315</v>
      </c>
      <c r="B285" s="48" t="s">
        <v>1316</v>
      </c>
      <c r="C285" s="214" t="s">
        <v>803</v>
      </c>
      <c r="D285" s="218">
        <v>38</v>
      </c>
      <c r="E285" s="219">
        <v>30000</v>
      </c>
      <c r="F285" s="219">
        <v>45000</v>
      </c>
      <c r="G285" s="221">
        <v>38</v>
      </c>
      <c r="H285" s="219">
        <v>35000</v>
      </c>
      <c r="I285" s="219">
        <v>50000</v>
      </c>
      <c r="J285" s="221">
        <v>38</v>
      </c>
      <c r="K285" s="219">
        <v>30500</v>
      </c>
      <c r="L285" s="219">
        <v>48000</v>
      </c>
      <c r="M285" s="221">
        <v>38</v>
      </c>
      <c r="N285" s="219">
        <v>25350</v>
      </c>
      <c r="O285" s="219">
        <v>32500</v>
      </c>
      <c r="P285" s="221">
        <v>38</v>
      </c>
      <c r="Q285" s="219">
        <v>25000</v>
      </c>
      <c r="R285" s="219">
        <v>38000</v>
      </c>
      <c r="S285" s="221">
        <v>38</v>
      </c>
      <c r="T285" s="219">
        <v>1400</v>
      </c>
      <c r="U285" s="222">
        <v>2200</v>
      </c>
      <c r="V285" s="212" t="s">
        <v>1643</v>
      </c>
      <c r="W285" s="213" t="s">
        <v>1643</v>
      </c>
      <c r="X285" s="213" t="s">
        <v>1643</v>
      </c>
      <c r="Y285" s="213" t="s">
        <v>1643</v>
      </c>
      <c r="Z285" s="213" t="s">
        <v>1644</v>
      </c>
      <c r="AA285" s="213" t="s">
        <v>1643</v>
      </c>
      <c r="AB285" s="213" t="s">
        <v>1643</v>
      </c>
      <c r="AC285" s="213" t="s">
        <v>1643</v>
      </c>
      <c r="AD285" s="213" t="s">
        <v>1644</v>
      </c>
      <c r="AE285" s="213" t="s">
        <v>1644</v>
      </c>
      <c r="AF285" s="213" t="s">
        <v>1644</v>
      </c>
      <c r="AG285" s="214" t="s">
        <v>1644</v>
      </c>
      <c r="AH285" s="212" t="s">
        <v>1644</v>
      </c>
      <c r="AI285" s="213" t="s">
        <v>1644</v>
      </c>
      <c r="AJ285" s="213" t="s">
        <v>1644</v>
      </c>
      <c r="AK285" s="213" t="s">
        <v>1644</v>
      </c>
      <c r="AL285" s="213" t="s">
        <v>1644</v>
      </c>
      <c r="AM285" s="213" t="s">
        <v>1644</v>
      </c>
      <c r="AN285" s="213" t="s">
        <v>1644</v>
      </c>
      <c r="AO285" s="213" t="s">
        <v>1643</v>
      </c>
      <c r="AP285" s="213" t="s">
        <v>1644</v>
      </c>
      <c r="AQ285" s="213" t="s">
        <v>1644</v>
      </c>
      <c r="AR285" s="213" t="s">
        <v>1643</v>
      </c>
      <c r="AS285" s="214" t="s">
        <v>1644</v>
      </c>
    </row>
    <row r="286" spans="1:45" ht="15.75" thickBot="1" x14ac:dyDescent="0.3">
      <c r="A286" s="212" t="s">
        <v>1331</v>
      </c>
      <c r="B286" s="48" t="s">
        <v>1332</v>
      </c>
      <c r="C286" s="214" t="s">
        <v>803</v>
      </c>
      <c r="D286" s="218">
        <v>40</v>
      </c>
      <c r="E286" s="219">
        <v>24000</v>
      </c>
      <c r="F286" s="219">
        <v>29000</v>
      </c>
      <c r="G286" s="221">
        <v>35</v>
      </c>
      <c r="H286" s="219">
        <v>19000</v>
      </c>
      <c r="I286" s="219">
        <v>28000</v>
      </c>
      <c r="J286" s="221">
        <v>35</v>
      </c>
      <c r="K286" s="219">
        <v>18000</v>
      </c>
      <c r="L286" s="219">
        <v>27000</v>
      </c>
      <c r="M286" s="221">
        <v>10</v>
      </c>
      <c r="N286" s="219">
        <v>4200</v>
      </c>
      <c r="O286" s="219">
        <v>6500</v>
      </c>
      <c r="P286" s="227"/>
      <c r="Q286" s="226"/>
      <c r="R286" s="226"/>
      <c r="S286" s="221" t="s">
        <v>3453</v>
      </c>
      <c r="T286" s="219">
        <v>13000</v>
      </c>
      <c r="U286" s="222">
        <v>17000</v>
      </c>
      <c r="V286" s="212" t="s">
        <v>1644</v>
      </c>
      <c r="W286" s="213" t="s">
        <v>1644</v>
      </c>
      <c r="X286" s="213" t="s">
        <v>1644</v>
      </c>
      <c r="Y286" s="213" t="s">
        <v>1644</v>
      </c>
      <c r="Z286" s="213" t="s">
        <v>1644</v>
      </c>
      <c r="AA286" s="213" t="s">
        <v>1643</v>
      </c>
      <c r="AB286" s="213" t="s">
        <v>1643</v>
      </c>
      <c r="AC286" s="213" t="s">
        <v>1643</v>
      </c>
      <c r="AD286" s="213" t="s">
        <v>1644</v>
      </c>
      <c r="AE286" s="213" t="s">
        <v>1644</v>
      </c>
      <c r="AF286" s="213" t="s">
        <v>1643</v>
      </c>
      <c r="AG286" s="214" t="s">
        <v>1644</v>
      </c>
      <c r="AH286" s="212" t="s">
        <v>1644</v>
      </c>
      <c r="AI286" s="213" t="s">
        <v>1644</v>
      </c>
      <c r="AJ286" s="213" t="s">
        <v>1644</v>
      </c>
      <c r="AK286" s="213" t="s">
        <v>1644</v>
      </c>
      <c r="AL286" s="213" t="s">
        <v>1644</v>
      </c>
      <c r="AM286" s="213" t="s">
        <v>1644</v>
      </c>
      <c r="AN286" s="213" t="s">
        <v>1644</v>
      </c>
      <c r="AO286" s="213" t="s">
        <v>1643</v>
      </c>
      <c r="AP286" s="213" t="s">
        <v>1644</v>
      </c>
      <c r="AQ286" s="213" t="s">
        <v>1644</v>
      </c>
      <c r="AR286" s="213" t="s">
        <v>1644</v>
      </c>
      <c r="AS286" s="214" t="s">
        <v>1644</v>
      </c>
    </row>
    <row r="287" spans="1:45" ht="15.75" thickBot="1" x14ac:dyDescent="0.3">
      <c r="A287" s="212" t="s">
        <v>1341</v>
      </c>
      <c r="B287" s="48" t="s">
        <v>1342</v>
      </c>
      <c r="C287" s="214" t="s">
        <v>803</v>
      </c>
      <c r="D287" s="218">
        <v>40</v>
      </c>
      <c r="E287" s="219">
        <v>40000</v>
      </c>
      <c r="F287" s="219">
        <v>54625</v>
      </c>
      <c r="G287" s="221">
        <v>22</v>
      </c>
      <c r="H287" s="219">
        <v>11955</v>
      </c>
      <c r="I287" s="219">
        <v>13538</v>
      </c>
      <c r="J287" s="220" t="s">
        <v>850</v>
      </c>
      <c r="K287" s="220" t="s">
        <v>850</v>
      </c>
      <c r="L287" s="220" t="s">
        <v>850</v>
      </c>
      <c r="M287" s="221">
        <v>40</v>
      </c>
      <c r="N287" s="219">
        <v>35000</v>
      </c>
      <c r="O287" s="219">
        <v>40000</v>
      </c>
      <c r="P287" s="221">
        <v>40</v>
      </c>
      <c r="Q287" s="219">
        <v>31200</v>
      </c>
      <c r="R287" s="219">
        <v>37877</v>
      </c>
      <c r="S287" s="221">
        <v>25</v>
      </c>
      <c r="T287" s="219">
        <v>13585</v>
      </c>
      <c r="U287" s="222">
        <v>16991</v>
      </c>
      <c r="V287" s="212" t="s">
        <v>1643</v>
      </c>
      <c r="W287" s="213" t="s">
        <v>1643</v>
      </c>
      <c r="X287" s="213" t="s">
        <v>1644</v>
      </c>
      <c r="Y287" s="213" t="s">
        <v>1643</v>
      </c>
      <c r="Z287" s="213" t="s">
        <v>1643</v>
      </c>
      <c r="AA287" s="213" t="s">
        <v>1644</v>
      </c>
      <c r="AB287" s="213" t="s">
        <v>1643</v>
      </c>
      <c r="AC287" s="213" t="s">
        <v>1643</v>
      </c>
      <c r="AD287" s="213" t="s">
        <v>1643</v>
      </c>
      <c r="AE287" s="213" t="s">
        <v>1644</v>
      </c>
      <c r="AF287" s="213" t="s">
        <v>1643</v>
      </c>
      <c r="AG287" s="214" t="s">
        <v>1644</v>
      </c>
      <c r="AH287" s="212" t="s">
        <v>1644</v>
      </c>
      <c r="AI287" s="213" t="s">
        <v>1644</v>
      </c>
      <c r="AJ287" s="213" t="s">
        <v>1644</v>
      </c>
      <c r="AK287" s="213" t="s">
        <v>1644</v>
      </c>
      <c r="AL287" s="213" t="s">
        <v>1644</v>
      </c>
      <c r="AM287" s="213" t="s">
        <v>1644</v>
      </c>
      <c r="AN287" s="213" t="s">
        <v>1643</v>
      </c>
      <c r="AO287" s="213" t="s">
        <v>1643</v>
      </c>
      <c r="AP287" s="213" t="s">
        <v>1643</v>
      </c>
      <c r="AQ287" s="213" t="s">
        <v>1644</v>
      </c>
      <c r="AR287" s="213" t="s">
        <v>1643</v>
      </c>
      <c r="AS287" s="214" t="s">
        <v>1644</v>
      </c>
    </row>
    <row r="288" spans="1:45" ht="15.75" thickBot="1" x14ac:dyDescent="0.3">
      <c r="A288" s="212" t="s">
        <v>1343</v>
      </c>
      <c r="B288" s="48" t="s">
        <v>1344</v>
      </c>
      <c r="C288" s="214" t="s">
        <v>803</v>
      </c>
      <c r="D288" s="218">
        <v>40</v>
      </c>
      <c r="E288" s="219">
        <v>33419</v>
      </c>
      <c r="F288" s="219">
        <v>33419</v>
      </c>
      <c r="G288" s="220" t="s">
        <v>850</v>
      </c>
      <c r="H288" s="220" t="s">
        <v>850</v>
      </c>
      <c r="I288" s="220" t="s">
        <v>850</v>
      </c>
      <c r="J288" s="220" t="s">
        <v>850</v>
      </c>
      <c r="K288" s="220" t="s">
        <v>850</v>
      </c>
      <c r="L288" s="220" t="s">
        <v>850</v>
      </c>
      <c r="M288" s="220" t="s">
        <v>850</v>
      </c>
      <c r="N288" s="220" t="s">
        <v>850</v>
      </c>
      <c r="O288" s="220" t="s">
        <v>850</v>
      </c>
      <c r="P288" s="220" t="s">
        <v>850</v>
      </c>
      <c r="Q288" s="220" t="s">
        <v>850</v>
      </c>
      <c r="R288" s="220" t="s">
        <v>850</v>
      </c>
      <c r="S288" s="221">
        <v>20</v>
      </c>
      <c r="T288" s="219">
        <v>3611</v>
      </c>
      <c r="U288" s="222">
        <v>21592</v>
      </c>
      <c r="V288" s="212" t="s">
        <v>1643</v>
      </c>
      <c r="W288" s="213" t="s">
        <v>1643</v>
      </c>
      <c r="X288" s="213" t="s">
        <v>1643</v>
      </c>
      <c r="Y288" s="213" t="s">
        <v>1643</v>
      </c>
      <c r="Z288" s="213" t="s">
        <v>1643</v>
      </c>
      <c r="AA288" s="213" t="s">
        <v>1643</v>
      </c>
      <c r="AB288" s="213" t="s">
        <v>1643</v>
      </c>
      <c r="AC288" s="213" t="s">
        <v>1643</v>
      </c>
      <c r="AD288" s="213" t="s">
        <v>1644</v>
      </c>
      <c r="AE288" s="213" t="s">
        <v>1643</v>
      </c>
      <c r="AF288" s="213" t="s">
        <v>1644</v>
      </c>
      <c r="AG288" s="214" t="s">
        <v>1644</v>
      </c>
      <c r="AH288" s="212" t="s">
        <v>1644</v>
      </c>
      <c r="AI288" s="213" t="s">
        <v>1644</v>
      </c>
      <c r="AJ288" s="213" t="s">
        <v>1644</v>
      </c>
      <c r="AK288" s="213" t="s">
        <v>1644</v>
      </c>
      <c r="AL288" s="213" t="s">
        <v>1643</v>
      </c>
      <c r="AM288" s="213" t="s">
        <v>1643</v>
      </c>
      <c r="AN288" s="213" t="s">
        <v>1643</v>
      </c>
      <c r="AO288" s="213" t="s">
        <v>1644</v>
      </c>
      <c r="AP288" s="213" t="s">
        <v>1644</v>
      </c>
      <c r="AQ288" s="213" t="s">
        <v>1644</v>
      </c>
      <c r="AR288" s="213" t="s">
        <v>1644</v>
      </c>
      <c r="AS288" s="214" t="s">
        <v>1644</v>
      </c>
    </row>
    <row r="289" spans="1:45" ht="15.75" thickBot="1" x14ac:dyDescent="0.3">
      <c r="A289" s="212" t="s">
        <v>1347</v>
      </c>
      <c r="B289" s="48" t="s">
        <v>1348</v>
      </c>
      <c r="C289" s="214" t="s">
        <v>803</v>
      </c>
      <c r="D289" s="223" t="s">
        <v>850</v>
      </c>
      <c r="E289" s="220" t="s">
        <v>850</v>
      </c>
      <c r="F289" s="220" t="s">
        <v>850</v>
      </c>
      <c r="G289" s="221">
        <v>40</v>
      </c>
      <c r="H289" s="219">
        <v>45000</v>
      </c>
      <c r="I289" s="219">
        <v>65000</v>
      </c>
      <c r="J289" s="221">
        <v>40</v>
      </c>
      <c r="K289" s="219">
        <v>37440</v>
      </c>
      <c r="L289" s="219">
        <v>45760</v>
      </c>
      <c r="M289" s="221">
        <v>20</v>
      </c>
      <c r="N289" s="219">
        <v>18720</v>
      </c>
      <c r="O289" s="219">
        <v>22880</v>
      </c>
      <c r="P289" s="220" t="s">
        <v>850</v>
      </c>
      <c r="Q289" s="220" t="s">
        <v>850</v>
      </c>
      <c r="R289" s="220" t="s">
        <v>850</v>
      </c>
      <c r="S289" s="221">
        <v>20</v>
      </c>
      <c r="T289" s="219">
        <v>11440</v>
      </c>
      <c r="U289" s="222">
        <v>14560</v>
      </c>
      <c r="V289" s="212" t="s">
        <v>1643</v>
      </c>
      <c r="W289" s="213" t="s">
        <v>1643</v>
      </c>
      <c r="X289" s="213" t="s">
        <v>1643</v>
      </c>
      <c r="Y289" s="213" t="s">
        <v>1643</v>
      </c>
      <c r="Z289" s="213" t="s">
        <v>1643</v>
      </c>
      <c r="AA289" s="213" t="s">
        <v>1643</v>
      </c>
      <c r="AB289" s="213" t="s">
        <v>1643</v>
      </c>
      <c r="AC289" s="213" t="s">
        <v>1643</v>
      </c>
      <c r="AD289" s="213" t="s">
        <v>1644</v>
      </c>
      <c r="AE289" s="213" t="s">
        <v>1644</v>
      </c>
      <c r="AF289" s="213" t="s">
        <v>1644</v>
      </c>
      <c r="AG289" s="214" t="s">
        <v>1644</v>
      </c>
      <c r="AH289" s="212" t="s">
        <v>1644</v>
      </c>
      <c r="AI289" s="213" t="s">
        <v>1644</v>
      </c>
      <c r="AJ289" s="213" t="s">
        <v>1644</v>
      </c>
      <c r="AK289" s="213" t="s">
        <v>1643</v>
      </c>
      <c r="AL289" s="213" t="s">
        <v>1644</v>
      </c>
      <c r="AM289" s="213" t="s">
        <v>1643</v>
      </c>
      <c r="AN289" s="213" t="s">
        <v>1643</v>
      </c>
      <c r="AO289" s="213" t="s">
        <v>1643</v>
      </c>
      <c r="AP289" s="213" t="s">
        <v>1644</v>
      </c>
      <c r="AQ289" s="213" t="s">
        <v>1644</v>
      </c>
      <c r="AR289" s="213" t="s">
        <v>1644</v>
      </c>
      <c r="AS289" s="214" t="s">
        <v>1644</v>
      </c>
    </row>
    <row r="290" spans="1:45" ht="15.75" thickBot="1" x14ac:dyDescent="0.3">
      <c r="A290" s="212" t="s">
        <v>1355</v>
      </c>
      <c r="B290" s="48" t="s">
        <v>1356</v>
      </c>
      <c r="C290" s="214" t="s">
        <v>803</v>
      </c>
      <c r="D290" s="223" t="s">
        <v>850</v>
      </c>
      <c r="E290" s="220" t="s">
        <v>850</v>
      </c>
      <c r="F290" s="220" t="s">
        <v>850</v>
      </c>
      <c r="G290" s="220" t="s">
        <v>850</v>
      </c>
      <c r="H290" s="220" t="s">
        <v>850</v>
      </c>
      <c r="I290" s="220" t="s">
        <v>850</v>
      </c>
      <c r="J290" s="221">
        <v>35</v>
      </c>
      <c r="K290" s="219">
        <v>32000</v>
      </c>
      <c r="L290" s="219">
        <v>70000</v>
      </c>
      <c r="M290" s="221">
        <v>40</v>
      </c>
      <c r="N290" s="219">
        <v>37000</v>
      </c>
      <c r="O290" s="219">
        <v>42000</v>
      </c>
      <c r="P290" s="220" t="s">
        <v>850</v>
      </c>
      <c r="Q290" s="220" t="s">
        <v>850</v>
      </c>
      <c r="R290" s="220" t="s">
        <v>850</v>
      </c>
      <c r="S290" s="221">
        <v>30</v>
      </c>
      <c r="T290" s="219">
        <v>8000</v>
      </c>
      <c r="U290" s="222">
        <v>48000</v>
      </c>
      <c r="V290" s="212" t="s">
        <v>1644</v>
      </c>
      <c r="W290" s="213" t="s">
        <v>1644</v>
      </c>
      <c r="X290" s="213" t="s">
        <v>1643</v>
      </c>
      <c r="Y290" s="213" t="s">
        <v>1643</v>
      </c>
      <c r="Z290" s="213" t="s">
        <v>1644</v>
      </c>
      <c r="AA290" s="213" t="s">
        <v>1643</v>
      </c>
      <c r="AB290" s="213" t="s">
        <v>1643</v>
      </c>
      <c r="AC290" s="213" t="s">
        <v>1643</v>
      </c>
      <c r="AD290" s="213" t="s">
        <v>1643</v>
      </c>
      <c r="AE290" s="213" t="s">
        <v>1643</v>
      </c>
      <c r="AF290" s="213" t="s">
        <v>1643</v>
      </c>
      <c r="AG290" s="214" t="s">
        <v>1644</v>
      </c>
      <c r="AH290" s="212" t="s">
        <v>1644</v>
      </c>
      <c r="AI290" s="213" t="s">
        <v>1644</v>
      </c>
      <c r="AJ290" s="213" t="s">
        <v>1643</v>
      </c>
      <c r="AK290" s="213" t="s">
        <v>1643</v>
      </c>
      <c r="AL290" s="213" t="s">
        <v>1644</v>
      </c>
      <c r="AM290" s="213" t="s">
        <v>1643</v>
      </c>
      <c r="AN290" s="213" t="s">
        <v>1643</v>
      </c>
      <c r="AO290" s="213" t="s">
        <v>1643</v>
      </c>
      <c r="AP290" s="213" t="s">
        <v>1643</v>
      </c>
      <c r="AQ290" s="213" t="s">
        <v>1643</v>
      </c>
      <c r="AR290" s="213" t="s">
        <v>1643</v>
      </c>
      <c r="AS290" s="214" t="s">
        <v>1644</v>
      </c>
    </row>
    <row r="291" spans="1:45" ht="15.75" thickBot="1" x14ac:dyDescent="0.3">
      <c r="A291" s="212" t="s">
        <v>1365</v>
      </c>
      <c r="B291" s="48" t="s">
        <v>1366</v>
      </c>
      <c r="C291" s="214" t="s">
        <v>803</v>
      </c>
      <c r="D291" s="223" t="s">
        <v>850</v>
      </c>
      <c r="E291" s="220" t="s">
        <v>850</v>
      </c>
      <c r="F291" s="220" t="s">
        <v>850</v>
      </c>
      <c r="G291" s="221">
        <v>40</v>
      </c>
      <c r="H291" s="219">
        <v>37000</v>
      </c>
      <c r="I291" s="219">
        <v>47000</v>
      </c>
      <c r="J291" s="220" t="s">
        <v>850</v>
      </c>
      <c r="K291" s="220" t="s">
        <v>850</v>
      </c>
      <c r="L291" s="220" t="s">
        <v>850</v>
      </c>
      <c r="M291" s="221">
        <v>40</v>
      </c>
      <c r="N291" s="219">
        <v>33000</v>
      </c>
      <c r="O291" s="219">
        <v>43000</v>
      </c>
      <c r="P291" s="221">
        <v>40</v>
      </c>
      <c r="Q291" s="219">
        <v>40000</v>
      </c>
      <c r="R291" s="219">
        <v>50000</v>
      </c>
      <c r="S291" s="221">
        <v>25</v>
      </c>
      <c r="T291" s="219">
        <v>16900</v>
      </c>
      <c r="U291" s="222">
        <v>20800</v>
      </c>
      <c r="V291" s="212" t="s">
        <v>1643</v>
      </c>
      <c r="W291" s="213" t="s">
        <v>1643</v>
      </c>
      <c r="X291" s="213" t="s">
        <v>1643</v>
      </c>
      <c r="Y291" s="213" t="s">
        <v>1643</v>
      </c>
      <c r="Z291" s="213" t="s">
        <v>1643</v>
      </c>
      <c r="AA291" s="213" t="s">
        <v>1644</v>
      </c>
      <c r="AB291" s="213" t="s">
        <v>1643</v>
      </c>
      <c r="AC291" s="213" t="s">
        <v>1643</v>
      </c>
      <c r="AD291" s="213" t="s">
        <v>1643</v>
      </c>
      <c r="AE291" s="213" t="s">
        <v>1643</v>
      </c>
      <c r="AF291" s="213" t="s">
        <v>1643</v>
      </c>
      <c r="AG291" s="214" t="s">
        <v>1643</v>
      </c>
      <c r="AH291" s="212" t="s">
        <v>1644</v>
      </c>
      <c r="AI291" s="213" t="s">
        <v>1644</v>
      </c>
      <c r="AJ291" s="213" t="s">
        <v>1644</v>
      </c>
      <c r="AK291" s="213" t="s">
        <v>1644</v>
      </c>
      <c r="AL291" s="213" t="s">
        <v>1644</v>
      </c>
      <c r="AM291" s="213" t="s">
        <v>1643</v>
      </c>
      <c r="AN291" s="213" t="s">
        <v>1644</v>
      </c>
      <c r="AO291" s="213" t="s">
        <v>1644</v>
      </c>
      <c r="AP291" s="213" t="s">
        <v>1643</v>
      </c>
      <c r="AQ291" s="213" t="s">
        <v>1644</v>
      </c>
      <c r="AR291" s="213" t="s">
        <v>1644</v>
      </c>
      <c r="AS291" s="214" t="s">
        <v>1643</v>
      </c>
    </row>
    <row r="292" spans="1:45" ht="15.75" thickBot="1" x14ac:dyDescent="0.3">
      <c r="A292" s="212" t="s">
        <v>1381</v>
      </c>
      <c r="B292" s="48" t="s">
        <v>1382</v>
      </c>
      <c r="C292" s="214" t="s">
        <v>803</v>
      </c>
      <c r="D292" s="223" t="s">
        <v>850</v>
      </c>
      <c r="E292" s="220" t="s">
        <v>850</v>
      </c>
      <c r="F292" s="220" t="s">
        <v>850</v>
      </c>
      <c r="G292" s="221">
        <v>30</v>
      </c>
      <c r="H292" s="219">
        <v>22386</v>
      </c>
      <c r="I292" s="219">
        <v>22386</v>
      </c>
      <c r="J292" s="221">
        <v>40</v>
      </c>
      <c r="K292" s="219">
        <v>47126</v>
      </c>
      <c r="L292" s="219">
        <v>47126</v>
      </c>
      <c r="M292" s="221">
        <v>20</v>
      </c>
      <c r="N292" s="219">
        <v>10920</v>
      </c>
      <c r="O292" s="219">
        <v>12000</v>
      </c>
      <c r="P292" s="220" t="s">
        <v>850</v>
      </c>
      <c r="Q292" s="220" t="s">
        <v>850</v>
      </c>
      <c r="R292" s="220" t="s">
        <v>850</v>
      </c>
      <c r="S292" s="221">
        <v>10</v>
      </c>
      <c r="T292" s="219">
        <v>4800</v>
      </c>
      <c r="U292" s="222">
        <v>5200</v>
      </c>
      <c r="V292" s="212" t="s">
        <v>1643</v>
      </c>
      <c r="W292" s="213" t="s">
        <v>1644</v>
      </c>
      <c r="X292" s="213" t="s">
        <v>1644</v>
      </c>
      <c r="Y292" s="213" t="s">
        <v>1644</v>
      </c>
      <c r="Z292" s="213" t="s">
        <v>1644</v>
      </c>
      <c r="AA292" s="213" t="s">
        <v>1643</v>
      </c>
      <c r="AB292" s="213" t="s">
        <v>1643</v>
      </c>
      <c r="AC292" s="213" t="s">
        <v>1643</v>
      </c>
      <c r="AD292" s="213" t="s">
        <v>1644</v>
      </c>
      <c r="AE292" s="213" t="s">
        <v>1644</v>
      </c>
      <c r="AF292" s="213" t="s">
        <v>1643</v>
      </c>
      <c r="AG292" s="214" t="s">
        <v>1644</v>
      </c>
      <c r="AH292" s="212" t="s">
        <v>1644</v>
      </c>
      <c r="AI292" s="213" t="s">
        <v>1644</v>
      </c>
      <c r="AJ292" s="213" t="s">
        <v>1644</v>
      </c>
      <c r="AK292" s="213" t="s">
        <v>1644</v>
      </c>
      <c r="AL292" s="213" t="s">
        <v>1644</v>
      </c>
      <c r="AM292" s="213" t="s">
        <v>1643</v>
      </c>
      <c r="AN292" s="213" t="s">
        <v>1643</v>
      </c>
      <c r="AO292" s="213" t="s">
        <v>1643</v>
      </c>
      <c r="AP292" s="213" t="s">
        <v>1644</v>
      </c>
      <c r="AQ292" s="213" t="s">
        <v>1644</v>
      </c>
      <c r="AR292" s="213" t="s">
        <v>1643</v>
      </c>
      <c r="AS292" s="214" t="s">
        <v>1644</v>
      </c>
    </row>
    <row r="293" spans="1:45" ht="15.75" thickBot="1" x14ac:dyDescent="0.3">
      <c r="A293" s="212" t="s">
        <v>1383</v>
      </c>
      <c r="B293" s="48" t="s">
        <v>1384</v>
      </c>
      <c r="C293" s="214" t="s">
        <v>803</v>
      </c>
      <c r="D293" s="223" t="s">
        <v>850</v>
      </c>
      <c r="E293" s="220" t="s">
        <v>850</v>
      </c>
      <c r="F293" s="220" t="s">
        <v>850</v>
      </c>
      <c r="G293" s="221">
        <v>38</v>
      </c>
      <c r="H293" s="219">
        <v>28000</v>
      </c>
      <c r="I293" s="219">
        <v>37625</v>
      </c>
      <c r="J293" s="220" t="s">
        <v>850</v>
      </c>
      <c r="K293" s="220" t="s">
        <v>850</v>
      </c>
      <c r="L293" s="220" t="s">
        <v>850</v>
      </c>
      <c r="M293" s="220" t="s">
        <v>850</v>
      </c>
      <c r="N293" s="220" t="s">
        <v>850</v>
      </c>
      <c r="O293" s="220" t="s">
        <v>850</v>
      </c>
      <c r="P293" s="220" t="s">
        <v>850</v>
      </c>
      <c r="Q293" s="220" t="s">
        <v>850</v>
      </c>
      <c r="R293" s="220" t="s">
        <v>850</v>
      </c>
      <c r="S293" s="221">
        <v>21</v>
      </c>
      <c r="T293" s="219">
        <v>8010</v>
      </c>
      <c r="U293" s="222">
        <v>21153</v>
      </c>
      <c r="V293" s="212" t="s">
        <v>1643</v>
      </c>
      <c r="W293" s="213" t="s">
        <v>1644</v>
      </c>
      <c r="X293" s="213" t="s">
        <v>1644</v>
      </c>
      <c r="Y293" s="213" t="s">
        <v>1644</v>
      </c>
      <c r="Z293" s="213" t="s">
        <v>1644</v>
      </c>
      <c r="AA293" s="213" t="s">
        <v>1643</v>
      </c>
      <c r="AB293" s="213" t="s">
        <v>1643</v>
      </c>
      <c r="AC293" s="213" t="s">
        <v>1643</v>
      </c>
      <c r="AD293" s="213" t="s">
        <v>1644</v>
      </c>
      <c r="AE293" s="213" t="s">
        <v>1644</v>
      </c>
      <c r="AF293" s="213" t="s">
        <v>1644</v>
      </c>
      <c r="AG293" s="214" t="s">
        <v>1643</v>
      </c>
      <c r="AH293" s="212" t="s">
        <v>1644</v>
      </c>
      <c r="AI293" s="213" t="s">
        <v>1644</v>
      </c>
      <c r="AJ293" s="213" t="s">
        <v>1644</v>
      </c>
      <c r="AK293" s="213" t="s">
        <v>1644</v>
      </c>
      <c r="AL293" s="213" t="s">
        <v>1644</v>
      </c>
      <c r="AM293" s="213" t="s">
        <v>1643</v>
      </c>
      <c r="AN293" s="213" t="s">
        <v>1643</v>
      </c>
      <c r="AO293" s="213" t="s">
        <v>1644</v>
      </c>
      <c r="AP293" s="213" t="s">
        <v>1644</v>
      </c>
      <c r="AQ293" s="213" t="s">
        <v>1644</v>
      </c>
      <c r="AR293" s="213" t="s">
        <v>1644</v>
      </c>
      <c r="AS293" s="214" t="s">
        <v>1643</v>
      </c>
    </row>
    <row r="294" spans="1:45" ht="15.75" thickBot="1" x14ac:dyDescent="0.3">
      <c r="A294" s="212" t="s">
        <v>1387</v>
      </c>
      <c r="B294" s="48" t="s">
        <v>1388</v>
      </c>
      <c r="C294" s="214" t="s">
        <v>803</v>
      </c>
      <c r="D294" s="225"/>
      <c r="E294" s="226"/>
      <c r="F294" s="226"/>
      <c r="G294" s="221">
        <v>32</v>
      </c>
      <c r="H294" s="219">
        <v>16590</v>
      </c>
      <c r="I294" s="219">
        <v>30000</v>
      </c>
      <c r="J294" s="221">
        <v>40</v>
      </c>
      <c r="K294" s="219">
        <v>37000</v>
      </c>
      <c r="L294" s="219">
        <v>47000</v>
      </c>
      <c r="M294" s="221">
        <v>40</v>
      </c>
      <c r="N294" s="219">
        <v>28</v>
      </c>
      <c r="O294" s="219">
        <v>45000</v>
      </c>
      <c r="P294" s="220" t="s">
        <v>850</v>
      </c>
      <c r="Q294" s="220" t="s">
        <v>850</v>
      </c>
      <c r="R294" s="220" t="s">
        <v>850</v>
      </c>
      <c r="S294" s="221">
        <v>40</v>
      </c>
      <c r="T294" s="219">
        <v>19240</v>
      </c>
      <c r="U294" s="222">
        <v>37500</v>
      </c>
      <c r="V294" s="212" t="s">
        <v>1644</v>
      </c>
      <c r="W294" s="213" t="s">
        <v>1644</v>
      </c>
      <c r="X294" s="213" t="s">
        <v>1644</v>
      </c>
      <c r="Y294" s="213" t="s">
        <v>1644</v>
      </c>
      <c r="Z294" s="213" t="s">
        <v>1644</v>
      </c>
      <c r="AA294" s="213" t="s">
        <v>1643</v>
      </c>
      <c r="AB294" s="213" t="s">
        <v>1643</v>
      </c>
      <c r="AC294" s="213" t="s">
        <v>1643</v>
      </c>
      <c r="AD294" s="213" t="s">
        <v>1644</v>
      </c>
      <c r="AE294" s="213" t="s">
        <v>1644</v>
      </c>
      <c r="AF294" s="213" t="s">
        <v>1643</v>
      </c>
      <c r="AG294" s="214" t="s">
        <v>1643</v>
      </c>
      <c r="AH294" s="212" t="s">
        <v>1644</v>
      </c>
      <c r="AI294" s="213" t="s">
        <v>1644</v>
      </c>
      <c r="AJ294" s="213" t="s">
        <v>1644</v>
      </c>
      <c r="AK294" s="213" t="s">
        <v>1644</v>
      </c>
      <c r="AL294" s="213" t="s">
        <v>1644</v>
      </c>
      <c r="AM294" s="213" t="s">
        <v>1643</v>
      </c>
      <c r="AN294" s="213" t="s">
        <v>1643</v>
      </c>
      <c r="AO294" s="213" t="s">
        <v>1643</v>
      </c>
      <c r="AP294" s="213" t="s">
        <v>1644</v>
      </c>
      <c r="AQ294" s="213" t="s">
        <v>1644</v>
      </c>
      <c r="AR294" s="213" t="s">
        <v>1643</v>
      </c>
      <c r="AS294" s="214" t="s">
        <v>1643</v>
      </c>
    </row>
    <row r="295" spans="1:45" ht="15.75" thickBot="1" x14ac:dyDescent="0.3">
      <c r="A295" s="212" t="s">
        <v>1421</v>
      </c>
      <c r="B295" s="48" t="s">
        <v>1422</v>
      </c>
      <c r="C295" s="214" t="s">
        <v>803</v>
      </c>
      <c r="D295" s="223" t="s">
        <v>850</v>
      </c>
      <c r="E295" s="220" t="s">
        <v>850</v>
      </c>
      <c r="F295" s="220" t="s">
        <v>850</v>
      </c>
      <c r="G295" s="220" t="s">
        <v>850</v>
      </c>
      <c r="H295" s="220" t="s">
        <v>850</v>
      </c>
      <c r="I295" s="220" t="s">
        <v>850</v>
      </c>
      <c r="J295" s="220" t="s">
        <v>850</v>
      </c>
      <c r="K295" s="220" t="s">
        <v>850</v>
      </c>
      <c r="L295" s="220" t="s">
        <v>850</v>
      </c>
      <c r="M295" s="220" t="s">
        <v>850</v>
      </c>
      <c r="N295" s="220" t="s">
        <v>850</v>
      </c>
      <c r="O295" s="220" t="s">
        <v>850</v>
      </c>
      <c r="P295" s="220" t="s">
        <v>850</v>
      </c>
      <c r="Q295" s="220" t="s">
        <v>850</v>
      </c>
      <c r="R295" s="220" t="s">
        <v>850</v>
      </c>
      <c r="S295" s="220" t="s">
        <v>850</v>
      </c>
      <c r="T295" s="220" t="s">
        <v>850</v>
      </c>
      <c r="U295" s="224" t="s">
        <v>850</v>
      </c>
      <c r="V295" s="209" t="s">
        <v>1644</v>
      </c>
      <c r="W295" s="210" t="s">
        <v>1644</v>
      </c>
      <c r="X295" s="210" t="s">
        <v>1644</v>
      </c>
      <c r="Y295" s="210" t="s">
        <v>1644</v>
      </c>
      <c r="Z295" s="210" t="s">
        <v>1644</v>
      </c>
      <c r="AA295" s="210" t="s">
        <v>1644</v>
      </c>
      <c r="AB295" s="210" t="s">
        <v>1644</v>
      </c>
      <c r="AC295" s="210" t="s">
        <v>1644</v>
      </c>
      <c r="AD295" s="210" t="s">
        <v>1644</v>
      </c>
      <c r="AE295" s="210" t="s">
        <v>1644</v>
      </c>
      <c r="AF295" s="210" t="s">
        <v>1644</v>
      </c>
      <c r="AG295" s="211" t="s">
        <v>1644</v>
      </c>
      <c r="AH295" s="209" t="s">
        <v>1644</v>
      </c>
      <c r="AI295" s="210" t="s">
        <v>1644</v>
      </c>
      <c r="AJ295" s="210" t="s">
        <v>1644</v>
      </c>
      <c r="AK295" s="210" t="s">
        <v>1644</v>
      </c>
      <c r="AL295" s="210" t="s">
        <v>1644</v>
      </c>
      <c r="AM295" s="213" t="s">
        <v>1643</v>
      </c>
      <c r="AN295" s="213" t="s">
        <v>1643</v>
      </c>
      <c r="AO295" s="210" t="s">
        <v>1644</v>
      </c>
      <c r="AP295" s="210" t="s">
        <v>1644</v>
      </c>
      <c r="AQ295" s="210" t="s">
        <v>1644</v>
      </c>
      <c r="AR295" s="213" t="s">
        <v>1643</v>
      </c>
      <c r="AS295" s="211" t="s">
        <v>1644</v>
      </c>
    </row>
    <row r="296" spans="1:45" ht="15.75" thickBot="1" x14ac:dyDescent="0.3">
      <c r="A296" s="212" t="s">
        <v>1447</v>
      </c>
      <c r="B296" s="48" t="s">
        <v>1448</v>
      </c>
      <c r="C296" s="214" t="s">
        <v>803</v>
      </c>
      <c r="D296" s="218">
        <v>40</v>
      </c>
      <c r="E296" s="219">
        <v>51153</v>
      </c>
      <c r="F296" s="219">
        <v>74820</v>
      </c>
      <c r="G296" s="221">
        <v>40</v>
      </c>
      <c r="H296" s="219">
        <v>44692</v>
      </c>
      <c r="I296" s="219">
        <v>52769</v>
      </c>
      <c r="J296" s="221">
        <v>40</v>
      </c>
      <c r="K296" s="219">
        <v>46846</v>
      </c>
      <c r="L296" s="219">
        <v>52180</v>
      </c>
      <c r="M296" s="221">
        <v>40</v>
      </c>
      <c r="N296" s="219">
        <v>36615</v>
      </c>
      <c r="O296" s="219">
        <v>45230</v>
      </c>
      <c r="P296" s="221">
        <v>20</v>
      </c>
      <c r="Q296" s="219">
        <v>30154</v>
      </c>
      <c r="R296" s="219">
        <v>36077</v>
      </c>
      <c r="S296" s="221">
        <v>20</v>
      </c>
      <c r="T296" s="219">
        <v>10078</v>
      </c>
      <c r="U296" s="222">
        <v>16141</v>
      </c>
      <c r="V296" s="212" t="s">
        <v>1643</v>
      </c>
      <c r="W296" s="213" t="s">
        <v>1643</v>
      </c>
      <c r="X296" s="213" t="s">
        <v>1644</v>
      </c>
      <c r="Y296" s="213" t="s">
        <v>1644</v>
      </c>
      <c r="Z296" s="213" t="s">
        <v>1644</v>
      </c>
      <c r="AA296" s="213" t="s">
        <v>1643</v>
      </c>
      <c r="AB296" s="213" t="s">
        <v>1643</v>
      </c>
      <c r="AC296" s="213" t="s">
        <v>1643</v>
      </c>
      <c r="AD296" s="213" t="s">
        <v>1643</v>
      </c>
      <c r="AE296" s="213" t="s">
        <v>1644</v>
      </c>
      <c r="AF296" s="213" t="s">
        <v>1643</v>
      </c>
      <c r="AG296" s="214" t="s">
        <v>1643</v>
      </c>
      <c r="AH296" s="212" t="s">
        <v>1644</v>
      </c>
      <c r="AI296" s="213" t="s">
        <v>1644</v>
      </c>
      <c r="AJ296" s="213" t="s">
        <v>1644</v>
      </c>
      <c r="AK296" s="213" t="s">
        <v>1644</v>
      </c>
      <c r="AL296" s="213" t="s">
        <v>1644</v>
      </c>
      <c r="AM296" s="213" t="s">
        <v>1643</v>
      </c>
      <c r="AN296" s="213" t="s">
        <v>1643</v>
      </c>
      <c r="AO296" s="213" t="s">
        <v>1644</v>
      </c>
      <c r="AP296" s="213" t="s">
        <v>1643</v>
      </c>
      <c r="AQ296" s="213" t="s">
        <v>1644</v>
      </c>
      <c r="AR296" s="213" t="s">
        <v>1643</v>
      </c>
      <c r="AS296" s="214" t="s">
        <v>1643</v>
      </c>
    </row>
    <row r="297" spans="1:45" ht="15.75" thickBot="1" x14ac:dyDescent="0.3">
      <c r="A297" s="212" t="s">
        <v>1490</v>
      </c>
      <c r="B297" s="48" t="s">
        <v>1491</v>
      </c>
      <c r="C297" s="214" t="s">
        <v>803</v>
      </c>
      <c r="D297" s="223" t="s">
        <v>850</v>
      </c>
      <c r="E297" s="220" t="s">
        <v>850</v>
      </c>
      <c r="F297" s="220" t="s">
        <v>850</v>
      </c>
      <c r="G297" s="221">
        <v>40</v>
      </c>
      <c r="H297" s="219">
        <v>40000</v>
      </c>
      <c r="I297" s="220" t="s">
        <v>850</v>
      </c>
      <c r="J297" s="220" t="s">
        <v>850</v>
      </c>
      <c r="K297" s="220" t="s">
        <v>850</v>
      </c>
      <c r="L297" s="220" t="s">
        <v>850</v>
      </c>
      <c r="M297" s="221">
        <v>20</v>
      </c>
      <c r="N297" s="219">
        <v>14</v>
      </c>
      <c r="O297" s="220" t="s">
        <v>850</v>
      </c>
      <c r="P297" s="220" t="s">
        <v>850</v>
      </c>
      <c r="Q297" s="220" t="s">
        <v>850</v>
      </c>
      <c r="R297" s="220" t="s">
        <v>850</v>
      </c>
      <c r="S297" s="221">
        <v>20</v>
      </c>
      <c r="T297" s="219">
        <v>13520</v>
      </c>
      <c r="U297" s="224" t="s">
        <v>850</v>
      </c>
      <c r="V297" s="212" t="s">
        <v>1643</v>
      </c>
      <c r="W297" s="213" t="s">
        <v>1643</v>
      </c>
      <c r="X297" s="213" t="s">
        <v>1644</v>
      </c>
      <c r="Y297" s="213" t="s">
        <v>1644</v>
      </c>
      <c r="Z297" s="213" t="s">
        <v>1643</v>
      </c>
      <c r="AA297" s="213" t="s">
        <v>1643</v>
      </c>
      <c r="AB297" s="213" t="s">
        <v>1643</v>
      </c>
      <c r="AC297" s="213" t="s">
        <v>1643</v>
      </c>
      <c r="AD297" s="213" t="s">
        <v>1643</v>
      </c>
      <c r="AE297" s="213" t="s">
        <v>1643</v>
      </c>
      <c r="AF297" s="213" t="s">
        <v>1643</v>
      </c>
      <c r="AG297" s="214" t="s">
        <v>1644</v>
      </c>
      <c r="AH297" s="212" t="s">
        <v>1644</v>
      </c>
      <c r="AI297" s="213" t="s">
        <v>1644</v>
      </c>
      <c r="AJ297" s="213" t="s">
        <v>1644</v>
      </c>
      <c r="AK297" s="213" t="s">
        <v>1644</v>
      </c>
      <c r="AL297" s="213" t="s">
        <v>1644</v>
      </c>
      <c r="AM297" s="213" t="s">
        <v>1643</v>
      </c>
      <c r="AN297" s="213" t="s">
        <v>1643</v>
      </c>
      <c r="AO297" s="213" t="s">
        <v>1644</v>
      </c>
      <c r="AP297" s="213" t="s">
        <v>1644</v>
      </c>
      <c r="AQ297" s="213" t="s">
        <v>1643</v>
      </c>
      <c r="AR297" s="213" t="s">
        <v>1643</v>
      </c>
      <c r="AS297" s="214" t="s">
        <v>1644</v>
      </c>
    </row>
    <row r="298" spans="1:45" ht="15.75" thickBot="1" x14ac:dyDescent="0.3">
      <c r="A298" s="212" t="s">
        <v>1492</v>
      </c>
      <c r="B298" s="48" t="s">
        <v>1493</v>
      </c>
      <c r="C298" s="214" t="s">
        <v>803</v>
      </c>
      <c r="D298" s="223" t="s">
        <v>850</v>
      </c>
      <c r="E298" s="220" t="s">
        <v>850</v>
      </c>
      <c r="F298" s="220" t="s">
        <v>850</v>
      </c>
      <c r="G298" s="221">
        <v>37</v>
      </c>
      <c r="H298" s="220" t="s">
        <v>850</v>
      </c>
      <c r="I298" s="219">
        <v>48350</v>
      </c>
      <c r="J298" s="221">
        <v>36</v>
      </c>
      <c r="K298" s="220" t="s">
        <v>850</v>
      </c>
      <c r="L298" s="219">
        <v>41500</v>
      </c>
      <c r="M298" s="221">
        <v>35</v>
      </c>
      <c r="N298" s="220" t="s">
        <v>850</v>
      </c>
      <c r="O298" s="219">
        <v>35000</v>
      </c>
      <c r="P298" s="220" t="s">
        <v>850</v>
      </c>
      <c r="Q298" s="220" t="s">
        <v>850</v>
      </c>
      <c r="R298" s="220" t="s">
        <v>850</v>
      </c>
      <c r="S298" s="221">
        <v>25</v>
      </c>
      <c r="T298" s="220" t="s">
        <v>850</v>
      </c>
      <c r="U298" s="222">
        <v>19500</v>
      </c>
      <c r="V298" s="212" t="s">
        <v>1644</v>
      </c>
      <c r="W298" s="213" t="s">
        <v>1644</v>
      </c>
      <c r="X298" s="213" t="s">
        <v>1643</v>
      </c>
      <c r="Y298" s="213" t="s">
        <v>1643</v>
      </c>
      <c r="Z298" s="213" t="s">
        <v>1644</v>
      </c>
      <c r="AA298" s="213" t="s">
        <v>1643</v>
      </c>
      <c r="AB298" s="213" t="s">
        <v>1643</v>
      </c>
      <c r="AC298" s="213" t="s">
        <v>1643</v>
      </c>
      <c r="AD298" s="213" t="s">
        <v>1644</v>
      </c>
      <c r="AE298" s="213" t="s">
        <v>1643</v>
      </c>
      <c r="AF298" s="213" t="s">
        <v>1643</v>
      </c>
      <c r="AG298" s="214" t="s">
        <v>1644</v>
      </c>
      <c r="AH298" s="212" t="s">
        <v>1644</v>
      </c>
      <c r="AI298" s="213" t="s">
        <v>1644</v>
      </c>
      <c r="AJ298" s="213" t="s">
        <v>1644</v>
      </c>
      <c r="AK298" s="213" t="s">
        <v>1644</v>
      </c>
      <c r="AL298" s="213" t="s">
        <v>1644</v>
      </c>
      <c r="AM298" s="213" t="s">
        <v>1643</v>
      </c>
      <c r="AN298" s="213" t="s">
        <v>1643</v>
      </c>
      <c r="AO298" s="213" t="s">
        <v>1643</v>
      </c>
      <c r="AP298" s="213" t="s">
        <v>1644</v>
      </c>
      <c r="AQ298" s="213" t="s">
        <v>1644</v>
      </c>
      <c r="AR298" s="213" t="s">
        <v>1643</v>
      </c>
      <c r="AS298" s="214" t="s">
        <v>1644</v>
      </c>
    </row>
    <row r="299" spans="1:45" ht="15.75" thickBot="1" x14ac:dyDescent="0.3">
      <c r="A299" s="212" t="s">
        <v>1498</v>
      </c>
      <c r="B299" s="48" t="s">
        <v>1499</v>
      </c>
      <c r="C299" s="214" t="s">
        <v>803</v>
      </c>
      <c r="D299" s="225"/>
      <c r="E299" s="226"/>
      <c r="F299" s="226"/>
      <c r="G299" s="221">
        <v>38</v>
      </c>
      <c r="H299" s="219">
        <v>24000</v>
      </c>
      <c r="I299" s="219">
        <v>36000</v>
      </c>
      <c r="J299" s="227"/>
      <c r="K299" s="226"/>
      <c r="L299" s="226"/>
      <c r="M299" s="221">
        <v>38</v>
      </c>
      <c r="N299" s="219">
        <v>24000</v>
      </c>
      <c r="O299" s="219">
        <v>32000</v>
      </c>
      <c r="P299" s="227"/>
      <c r="Q299" s="226"/>
      <c r="R299" s="226"/>
      <c r="S299" s="221">
        <v>22</v>
      </c>
      <c r="T299" s="219">
        <v>9000</v>
      </c>
      <c r="U299" s="222">
        <v>19000</v>
      </c>
      <c r="V299" s="212" t="s">
        <v>1643</v>
      </c>
      <c r="W299" s="213" t="s">
        <v>1643</v>
      </c>
      <c r="X299" s="213" t="s">
        <v>1643</v>
      </c>
      <c r="Y299" s="213" t="s">
        <v>1644</v>
      </c>
      <c r="Z299" s="213" t="s">
        <v>1643</v>
      </c>
      <c r="AA299" s="213" t="s">
        <v>1643</v>
      </c>
      <c r="AB299" s="213" t="s">
        <v>1643</v>
      </c>
      <c r="AC299" s="213" t="s">
        <v>1643</v>
      </c>
      <c r="AD299" s="213" t="s">
        <v>1643</v>
      </c>
      <c r="AE299" s="213" t="s">
        <v>1643</v>
      </c>
      <c r="AF299" s="213" t="s">
        <v>1644</v>
      </c>
      <c r="AG299" s="214" t="s">
        <v>1644</v>
      </c>
      <c r="AH299" s="212" t="s">
        <v>1644</v>
      </c>
      <c r="AI299" s="213" t="s">
        <v>1644</v>
      </c>
      <c r="AJ299" s="213" t="s">
        <v>1644</v>
      </c>
      <c r="AK299" s="213" t="s">
        <v>1644</v>
      </c>
      <c r="AL299" s="213" t="s">
        <v>1644</v>
      </c>
      <c r="AM299" s="213" t="s">
        <v>1644</v>
      </c>
      <c r="AN299" s="213" t="s">
        <v>1644</v>
      </c>
      <c r="AO299" s="213" t="s">
        <v>1644</v>
      </c>
      <c r="AP299" s="213" t="s">
        <v>1644</v>
      </c>
      <c r="AQ299" s="213" t="s">
        <v>1644</v>
      </c>
      <c r="AR299" s="213" t="s">
        <v>1644</v>
      </c>
      <c r="AS299" s="214" t="s">
        <v>1644</v>
      </c>
    </row>
    <row r="300" spans="1:45" ht="15.75" thickBot="1" x14ac:dyDescent="0.3">
      <c r="A300" s="212" t="s">
        <v>1516</v>
      </c>
      <c r="B300" s="48" t="s">
        <v>1517</v>
      </c>
      <c r="C300" s="214" t="s">
        <v>803</v>
      </c>
      <c r="D300" s="223" t="s">
        <v>850</v>
      </c>
      <c r="E300" s="220" t="s">
        <v>850</v>
      </c>
      <c r="F300" s="220" t="s">
        <v>850</v>
      </c>
      <c r="G300" s="220" t="s">
        <v>850</v>
      </c>
      <c r="H300" s="220" t="s">
        <v>850</v>
      </c>
      <c r="I300" s="220" t="s">
        <v>850</v>
      </c>
      <c r="J300" s="221">
        <v>40</v>
      </c>
      <c r="K300" s="219">
        <v>50000</v>
      </c>
      <c r="L300" s="219">
        <v>50806</v>
      </c>
      <c r="M300" s="220" t="s">
        <v>850</v>
      </c>
      <c r="N300" s="220" t="s">
        <v>850</v>
      </c>
      <c r="O300" s="220" t="s">
        <v>850</v>
      </c>
      <c r="P300" s="221">
        <v>40</v>
      </c>
      <c r="Q300" s="219">
        <v>40000</v>
      </c>
      <c r="R300" s="219">
        <v>40000</v>
      </c>
      <c r="S300" s="221">
        <v>20</v>
      </c>
      <c r="T300" s="219">
        <v>12480</v>
      </c>
      <c r="U300" s="222">
        <v>14560</v>
      </c>
      <c r="V300" s="212" t="s">
        <v>1643</v>
      </c>
      <c r="W300" s="213" t="s">
        <v>1643</v>
      </c>
      <c r="X300" s="213" t="s">
        <v>1643</v>
      </c>
      <c r="Y300" s="210" t="s">
        <v>1644</v>
      </c>
      <c r="Z300" s="213" t="s">
        <v>1643</v>
      </c>
      <c r="AA300" s="213" t="s">
        <v>1643</v>
      </c>
      <c r="AB300" s="213" t="s">
        <v>1643</v>
      </c>
      <c r="AC300" s="213" t="s">
        <v>1643</v>
      </c>
      <c r="AD300" s="213" t="s">
        <v>1644</v>
      </c>
      <c r="AE300" s="213" t="s">
        <v>1643</v>
      </c>
      <c r="AF300" s="213" t="s">
        <v>1643</v>
      </c>
      <c r="AG300" s="214" t="s">
        <v>1644</v>
      </c>
      <c r="AH300" s="212" t="s">
        <v>1644</v>
      </c>
      <c r="AI300" s="213" t="s">
        <v>1644</v>
      </c>
      <c r="AJ300" s="213" t="s">
        <v>1644</v>
      </c>
      <c r="AK300" s="213" t="s">
        <v>1644</v>
      </c>
      <c r="AL300" s="213" t="s">
        <v>1644</v>
      </c>
      <c r="AM300" s="213" t="s">
        <v>1643</v>
      </c>
      <c r="AN300" s="213" t="s">
        <v>1643</v>
      </c>
      <c r="AO300" s="213" t="s">
        <v>1643</v>
      </c>
      <c r="AP300" s="213" t="s">
        <v>1644</v>
      </c>
      <c r="AQ300" s="213" t="s">
        <v>1644</v>
      </c>
      <c r="AR300" s="213" t="s">
        <v>1643</v>
      </c>
      <c r="AS300" s="214" t="s">
        <v>1644</v>
      </c>
    </row>
    <row r="301" spans="1:45" ht="15.75" thickBot="1" x14ac:dyDescent="0.3">
      <c r="A301" s="212" t="s">
        <v>1528</v>
      </c>
      <c r="B301" s="48" t="s">
        <v>1529</v>
      </c>
      <c r="C301" s="214" t="s">
        <v>803</v>
      </c>
      <c r="D301" s="223" t="s">
        <v>850</v>
      </c>
      <c r="E301" s="220" t="s">
        <v>850</v>
      </c>
      <c r="F301" s="220" t="s">
        <v>850</v>
      </c>
      <c r="G301" s="220" t="s">
        <v>850</v>
      </c>
      <c r="H301" s="220" t="s">
        <v>850</v>
      </c>
      <c r="I301" s="220" t="s">
        <v>850</v>
      </c>
      <c r="J301" s="221">
        <v>8</v>
      </c>
      <c r="K301" s="219">
        <v>5341</v>
      </c>
      <c r="L301" s="219">
        <v>6691</v>
      </c>
      <c r="M301" s="220" t="s">
        <v>850</v>
      </c>
      <c r="N301" s="220" t="s">
        <v>850</v>
      </c>
      <c r="O301" s="220" t="s">
        <v>850</v>
      </c>
      <c r="P301" s="220" t="s">
        <v>850</v>
      </c>
      <c r="Q301" s="220" t="s">
        <v>850</v>
      </c>
      <c r="R301" s="220" t="s">
        <v>850</v>
      </c>
      <c r="S301" s="221">
        <v>7</v>
      </c>
      <c r="T301" s="219">
        <v>4673</v>
      </c>
      <c r="U301" s="222">
        <v>5855</v>
      </c>
      <c r="V301" s="209" t="s">
        <v>1644</v>
      </c>
      <c r="W301" s="210" t="s">
        <v>1644</v>
      </c>
      <c r="X301" s="210" t="s">
        <v>1644</v>
      </c>
      <c r="Y301" s="210" t="s">
        <v>1644</v>
      </c>
      <c r="Z301" s="210" t="s">
        <v>1644</v>
      </c>
      <c r="AA301" s="210" t="s">
        <v>1644</v>
      </c>
      <c r="AB301" s="210" t="s">
        <v>1644</v>
      </c>
      <c r="AC301" s="210" t="s">
        <v>1644</v>
      </c>
      <c r="AD301" s="210" t="s">
        <v>1644</v>
      </c>
      <c r="AE301" s="210" t="s">
        <v>1644</v>
      </c>
      <c r="AF301" s="210" t="s">
        <v>1644</v>
      </c>
      <c r="AG301" s="211" t="s">
        <v>1644</v>
      </c>
      <c r="AH301" s="209" t="s">
        <v>1644</v>
      </c>
      <c r="AI301" s="210" t="s">
        <v>1644</v>
      </c>
      <c r="AJ301" s="210" t="s">
        <v>1644</v>
      </c>
      <c r="AK301" s="210" t="s">
        <v>1644</v>
      </c>
      <c r="AL301" s="210" t="s">
        <v>1644</v>
      </c>
      <c r="AM301" s="210" t="s">
        <v>1644</v>
      </c>
      <c r="AN301" s="210" t="s">
        <v>1644</v>
      </c>
      <c r="AO301" s="210" t="s">
        <v>1644</v>
      </c>
      <c r="AP301" s="210" t="s">
        <v>1644</v>
      </c>
      <c r="AQ301" s="210" t="s">
        <v>1644</v>
      </c>
      <c r="AR301" s="210" t="s">
        <v>1644</v>
      </c>
      <c r="AS301" s="211" t="s">
        <v>1644</v>
      </c>
    </row>
    <row r="302" spans="1:45" ht="15.75" thickBot="1" x14ac:dyDescent="0.3">
      <c r="A302" s="212" t="s">
        <v>1532</v>
      </c>
      <c r="B302" s="48" t="s">
        <v>1533</v>
      </c>
      <c r="C302" s="214" t="s">
        <v>803</v>
      </c>
      <c r="D302" s="218">
        <v>40</v>
      </c>
      <c r="E302" s="219">
        <v>33280</v>
      </c>
      <c r="F302" s="219">
        <v>36420</v>
      </c>
      <c r="G302" s="220" t="s">
        <v>850</v>
      </c>
      <c r="H302" s="220" t="s">
        <v>850</v>
      </c>
      <c r="I302" s="220" t="s">
        <v>850</v>
      </c>
      <c r="J302" s="221">
        <v>29</v>
      </c>
      <c r="K302" s="219">
        <v>21112</v>
      </c>
      <c r="L302" s="219">
        <v>24852</v>
      </c>
      <c r="M302" s="220" t="s">
        <v>850</v>
      </c>
      <c r="N302" s="220" t="s">
        <v>850</v>
      </c>
      <c r="O302" s="220" t="s">
        <v>850</v>
      </c>
      <c r="P302" s="221">
        <v>29</v>
      </c>
      <c r="Q302" s="219">
        <v>18550</v>
      </c>
      <c r="R302" s="219">
        <v>21575</v>
      </c>
      <c r="S302" s="221">
        <v>22</v>
      </c>
      <c r="T302" s="219">
        <v>13000</v>
      </c>
      <c r="U302" s="222">
        <v>17538</v>
      </c>
      <c r="V302" s="212" t="s">
        <v>1643</v>
      </c>
      <c r="W302" s="213" t="s">
        <v>1643</v>
      </c>
      <c r="X302" s="213" t="s">
        <v>1643</v>
      </c>
      <c r="Y302" s="213" t="s">
        <v>1643</v>
      </c>
      <c r="Z302" s="213" t="s">
        <v>1643</v>
      </c>
      <c r="AA302" s="213" t="s">
        <v>1643</v>
      </c>
      <c r="AB302" s="213" t="s">
        <v>1643</v>
      </c>
      <c r="AC302" s="213" t="s">
        <v>1643</v>
      </c>
      <c r="AD302" s="213" t="s">
        <v>1644</v>
      </c>
      <c r="AE302" s="213" t="s">
        <v>1643</v>
      </c>
      <c r="AF302" s="213" t="s">
        <v>1644</v>
      </c>
      <c r="AG302" s="214" t="s">
        <v>1644</v>
      </c>
      <c r="AH302" s="212" t="s">
        <v>1644</v>
      </c>
      <c r="AI302" s="213" t="s">
        <v>1644</v>
      </c>
      <c r="AJ302" s="213" t="s">
        <v>1644</v>
      </c>
      <c r="AK302" s="213" t="s">
        <v>1644</v>
      </c>
      <c r="AL302" s="213" t="s">
        <v>1644</v>
      </c>
      <c r="AM302" s="213" t="s">
        <v>1643</v>
      </c>
      <c r="AN302" s="213" t="s">
        <v>1643</v>
      </c>
      <c r="AO302" s="213" t="s">
        <v>1643</v>
      </c>
      <c r="AP302" s="213" t="s">
        <v>1644</v>
      </c>
      <c r="AQ302" s="213" t="s">
        <v>1644</v>
      </c>
      <c r="AR302" s="213" t="s">
        <v>1644</v>
      </c>
      <c r="AS302" s="214" t="s">
        <v>1644</v>
      </c>
    </row>
    <row r="303" spans="1:45" ht="15.75" thickBot="1" x14ac:dyDescent="0.3">
      <c r="A303" s="212" t="s">
        <v>1552</v>
      </c>
      <c r="B303" s="48" t="s">
        <v>1553</v>
      </c>
      <c r="C303" s="214" t="s">
        <v>803</v>
      </c>
      <c r="D303" s="223" t="s">
        <v>850</v>
      </c>
      <c r="E303" s="220" t="s">
        <v>850</v>
      </c>
      <c r="F303" s="220" t="s">
        <v>850</v>
      </c>
      <c r="G303" s="221">
        <v>35</v>
      </c>
      <c r="H303" s="219">
        <v>18</v>
      </c>
      <c r="I303" s="219">
        <v>20</v>
      </c>
      <c r="J303" s="221">
        <v>30</v>
      </c>
      <c r="K303" s="219">
        <v>25000</v>
      </c>
      <c r="L303" s="219">
        <v>35000</v>
      </c>
      <c r="M303" s="221">
        <v>20</v>
      </c>
      <c r="N303" s="219">
        <v>10036</v>
      </c>
      <c r="O303" s="219">
        <v>12000</v>
      </c>
      <c r="P303" s="220" t="s">
        <v>850</v>
      </c>
      <c r="Q303" s="220" t="s">
        <v>850</v>
      </c>
      <c r="R303" s="220" t="s">
        <v>850</v>
      </c>
      <c r="S303" s="221">
        <v>20</v>
      </c>
      <c r="T303" s="219">
        <v>10036</v>
      </c>
      <c r="U303" s="222">
        <v>18000</v>
      </c>
      <c r="V303" s="212" t="s">
        <v>1644</v>
      </c>
      <c r="W303" s="213" t="s">
        <v>1644</v>
      </c>
      <c r="X303" s="213" t="s">
        <v>1644</v>
      </c>
      <c r="Y303" s="213" t="s">
        <v>1644</v>
      </c>
      <c r="Z303" s="213" t="s">
        <v>1644</v>
      </c>
      <c r="AA303" s="213" t="s">
        <v>1643</v>
      </c>
      <c r="AB303" s="213" t="s">
        <v>1643</v>
      </c>
      <c r="AC303" s="213" t="s">
        <v>1643</v>
      </c>
      <c r="AD303" s="213" t="s">
        <v>1643</v>
      </c>
      <c r="AE303" s="213" t="s">
        <v>1644</v>
      </c>
      <c r="AF303" s="213" t="s">
        <v>1644</v>
      </c>
      <c r="AG303" s="214" t="s">
        <v>1644</v>
      </c>
      <c r="AH303" s="212" t="s">
        <v>1644</v>
      </c>
      <c r="AI303" s="213" t="s">
        <v>1644</v>
      </c>
      <c r="AJ303" s="213" t="s">
        <v>1644</v>
      </c>
      <c r="AK303" s="213" t="s">
        <v>1644</v>
      </c>
      <c r="AL303" s="213" t="s">
        <v>1644</v>
      </c>
      <c r="AM303" s="213" t="s">
        <v>1644</v>
      </c>
      <c r="AN303" s="213" t="s">
        <v>1643</v>
      </c>
      <c r="AO303" s="213" t="s">
        <v>1643</v>
      </c>
      <c r="AP303" s="213" t="s">
        <v>1643</v>
      </c>
      <c r="AQ303" s="213" t="s">
        <v>1644</v>
      </c>
      <c r="AR303" s="213" t="s">
        <v>1644</v>
      </c>
      <c r="AS303" s="214" t="s">
        <v>1644</v>
      </c>
    </row>
    <row r="304" spans="1:45" ht="15.75" thickBot="1" x14ac:dyDescent="0.3">
      <c r="A304" s="212" t="s">
        <v>1572</v>
      </c>
      <c r="B304" s="48" t="s">
        <v>1573</v>
      </c>
      <c r="C304" s="214" t="s">
        <v>803</v>
      </c>
      <c r="D304" s="225"/>
      <c r="E304" s="226"/>
      <c r="F304" s="226"/>
      <c r="G304" s="227"/>
      <c r="H304" s="226"/>
      <c r="I304" s="226"/>
      <c r="J304" s="221">
        <v>27</v>
      </c>
      <c r="K304" s="219">
        <v>23868</v>
      </c>
      <c r="L304" s="219">
        <v>32292</v>
      </c>
      <c r="M304" s="221">
        <v>27</v>
      </c>
      <c r="N304" s="219">
        <v>23868</v>
      </c>
      <c r="O304" s="219">
        <v>32292</v>
      </c>
      <c r="P304" s="221">
        <v>38</v>
      </c>
      <c r="Q304" s="219">
        <v>44146</v>
      </c>
      <c r="R304" s="219">
        <v>44146</v>
      </c>
      <c r="S304" s="221">
        <v>14</v>
      </c>
      <c r="T304" s="219">
        <v>7644</v>
      </c>
      <c r="U304" s="222">
        <v>9828</v>
      </c>
      <c r="V304" s="212" t="s">
        <v>1643</v>
      </c>
      <c r="W304" s="213" t="s">
        <v>1643</v>
      </c>
      <c r="X304" s="213" t="s">
        <v>1643</v>
      </c>
      <c r="Y304" s="213" t="s">
        <v>1643</v>
      </c>
      <c r="Z304" s="213" t="s">
        <v>1643</v>
      </c>
      <c r="AA304" s="213" t="s">
        <v>1643</v>
      </c>
      <c r="AB304" s="213" t="s">
        <v>1643</v>
      </c>
      <c r="AC304" s="213" t="s">
        <v>1643</v>
      </c>
      <c r="AD304" s="213" t="s">
        <v>1643</v>
      </c>
      <c r="AE304" s="213" t="s">
        <v>1644</v>
      </c>
      <c r="AF304" s="213" t="s">
        <v>1644</v>
      </c>
      <c r="AG304" s="214" t="s">
        <v>1643</v>
      </c>
      <c r="AH304" s="212" t="s">
        <v>1644</v>
      </c>
      <c r="AI304" s="213" t="s">
        <v>1644</v>
      </c>
      <c r="AJ304" s="213" t="s">
        <v>1644</v>
      </c>
      <c r="AK304" s="213" t="s">
        <v>1644</v>
      </c>
      <c r="AL304" s="213" t="s">
        <v>1644</v>
      </c>
      <c r="AM304" s="213" t="s">
        <v>1643</v>
      </c>
      <c r="AN304" s="213" t="s">
        <v>1644</v>
      </c>
      <c r="AO304" s="213" t="s">
        <v>1643</v>
      </c>
      <c r="AP304" s="213" t="s">
        <v>1644</v>
      </c>
      <c r="AQ304" s="213" t="s">
        <v>1644</v>
      </c>
      <c r="AR304" s="213" t="s">
        <v>1644</v>
      </c>
      <c r="AS304" s="214" t="s">
        <v>1644</v>
      </c>
    </row>
    <row r="305" spans="1:45" ht="15.75" thickBot="1" x14ac:dyDescent="0.3">
      <c r="A305" s="212" t="s">
        <v>1598</v>
      </c>
      <c r="B305" s="48" t="s">
        <v>1599</v>
      </c>
      <c r="C305" s="214" t="s">
        <v>803</v>
      </c>
      <c r="D305" s="223" t="s">
        <v>850</v>
      </c>
      <c r="E305" s="220" t="s">
        <v>850</v>
      </c>
      <c r="F305" s="220" t="s">
        <v>850</v>
      </c>
      <c r="G305" s="221">
        <v>40</v>
      </c>
      <c r="H305" s="219">
        <v>46000</v>
      </c>
      <c r="I305" s="219">
        <v>57500</v>
      </c>
      <c r="J305" s="221">
        <v>40</v>
      </c>
      <c r="K305" s="219">
        <v>42791</v>
      </c>
      <c r="L305" s="219">
        <v>53489</v>
      </c>
      <c r="M305" s="221">
        <v>17</v>
      </c>
      <c r="N305" s="219">
        <v>15028</v>
      </c>
      <c r="O305" s="219">
        <v>18564</v>
      </c>
      <c r="P305" s="220" t="s">
        <v>850</v>
      </c>
      <c r="Q305" s="220" t="s">
        <v>850</v>
      </c>
      <c r="R305" s="220" t="s">
        <v>850</v>
      </c>
      <c r="S305" s="221">
        <v>19</v>
      </c>
      <c r="T305" s="219">
        <v>10868</v>
      </c>
      <c r="U305" s="222">
        <v>13832</v>
      </c>
      <c r="V305" s="212" t="s">
        <v>1643</v>
      </c>
      <c r="W305" s="213" t="s">
        <v>1643</v>
      </c>
      <c r="X305" s="213" t="s">
        <v>1643</v>
      </c>
      <c r="Y305" s="213" t="s">
        <v>1644</v>
      </c>
      <c r="Z305" s="213" t="s">
        <v>1643</v>
      </c>
      <c r="AA305" s="213" t="s">
        <v>1643</v>
      </c>
      <c r="AB305" s="213" t="s">
        <v>1643</v>
      </c>
      <c r="AC305" s="213" t="s">
        <v>1643</v>
      </c>
      <c r="AD305" s="213" t="s">
        <v>1643</v>
      </c>
      <c r="AE305" s="213" t="s">
        <v>1643</v>
      </c>
      <c r="AF305" s="213" t="s">
        <v>1643</v>
      </c>
      <c r="AG305" s="214" t="s">
        <v>1644</v>
      </c>
      <c r="AH305" s="212" t="s">
        <v>1644</v>
      </c>
      <c r="AI305" s="213" t="s">
        <v>1644</v>
      </c>
      <c r="AJ305" s="213" t="s">
        <v>1644</v>
      </c>
      <c r="AK305" s="213" t="s">
        <v>1644</v>
      </c>
      <c r="AL305" s="213" t="s">
        <v>1644</v>
      </c>
      <c r="AM305" s="213" t="s">
        <v>1643</v>
      </c>
      <c r="AN305" s="213" t="s">
        <v>1644</v>
      </c>
      <c r="AO305" s="213" t="s">
        <v>1644</v>
      </c>
      <c r="AP305" s="213" t="s">
        <v>1644</v>
      </c>
      <c r="AQ305" s="213" t="s">
        <v>1644</v>
      </c>
      <c r="AR305" s="213" t="s">
        <v>1644</v>
      </c>
      <c r="AS305" s="214" t="s">
        <v>1644</v>
      </c>
    </row>
    <row r="306" spans="1:45" ht="15.75" thickBot="1" x14ac:dyDescent="0.3">
      <c r="A306" s="212" t="s">
        <v>820</v>
      </c>
      <c r="B306" s="48" t="s">
        <v>821</v>
      </c>
      <c r="C306" s="214" t="s">
        <v>822</v>
      </c>
      <c r="D306" s="223" t="s">
        <v>850</v>
      </c>
      <c r="E306" s="220" t="s">
        <v>850</v>
      </c>
      <c r="F306" s="220" t="s">
        <v>850</v>
      </c>
      <c r="G306" s="220" t="s">
        <v>850</v>
      </c>
      <c r="H306" s="220" t="s">
        <v>850</v>
      </c>
      <c r="I306" s="220" t="s">
        <v>850</v>
      </c>
      <c r="J306" s="220" t="s">
        <v>850</v>
      </c>
      <c r="K306" s="220" t="s">
        <v>850</v>
      </c>
      <c r="L306" s="220" t="s">
        <v>850</v>
      </c>
      <c r="M306" s="221">
        <v>29</v>
      </c>
      <c r="N306" s="219">
        <v>26208</v>
      </c>
      <c r="O306" s="219">
        <v>40000</v>
      </c>
      <c r="P306" s="221">
        <v>28</v>
      </c>
      <c r="Q306" s="219">
        <v>15000</v>
      </c>
      <c r="R306" s="219">
        <v>30000</v>
      </c>
      <c r="S306" s="221">
        <v>28</v>
      </c>
      <c r="T306" s="219">
        <v>14000</v>
      </c>
      <c r="U306" s="222">
        <v>25000</v>
      </c>
      <c r="V306" s="212" t="s">
        <v>1643</v>
      </c>
      <c r="W306" s="213" t="s">
        <v>1643</v>
      </c>
      <c r="X306" s="213" t="s">
        <v>1643</v>
      </c>
      <c r="Y306" s="213" t="s">
        <v>1643</v>
      </c>
      <c r="Z306" s="213" t="s">
        <v>1643</v>
      </c>
      <c r="AA306" s="213" t="s">
        <v>1643</v>
      </c>
      <c r="AB306" s="213" t="s">
        <v>1643</v>
      </c>
      <c r="AC306" s="213" t="s">
        <v>1643</v>
      </c>
      <c r="AD306" s="213" t="s">
        <v>1643</v>
      </c>
      <c r="AE306" s="213" t="s">
        <v>1643</v>
      </c>
      <c r="AF306" s="213" t="s">
        <v>1643</v>
      </c>
      <c r="AG306" s="214" t="s">
        <v>1644</v>
      </c>
      <c r="AH306" s="212" t="s">
        <v>1644</v>
      </c>
      <c r="AI306" s="213" t="s">
        <v>1644</v>
      </c>
      <c r="AJ306" s="213" t="s">
        <v>1644</v>
      </c>
      <c r="AK306" s="213" t="s">
        <v>1644</v>
      </c>
      <c r="AL306" s="213" t="s">
        <v>1644</v>
      </c>
      <c r="AM306" s="213" t="s">
        <v>1644</v>
      </c>
      <c r="AN306" s="213" t="s">
        <v>1644</v>
      </c>
      <c r="AO306" s="213" t="s">
        <v>1644</v>
      </c>
      <c r="AP306" s="213" t="s">
        <v>1643</v>
      </c>
      <c r="AQ306" s="213" t="s">
        <v>1644</v>
      </c>
      <c r="AR306" s="213" t="s">
        <v>1644</v>
      </c>
      <c r="AS306" s="214" t="s">
        <v>1644</v>
      </c>
    </row>
    <row r="307" spans="1:45" ht="15.75" thickBot="1" x14ac:dyDescent="0.3">
      <c r="A307" s="212" t="s">
        <v>823</v>
      </c>
      <c r="B307" s="48" t="s">
        <v>824</v>
      </c>
      <c r="C307" s="214" t="s">
        <v>822</v>
      </c>
      <c r="D307" s="223" t="s">
        <v>850</v>
      </c>
      <c r="E307" s="220" t="s">
        <v>850</v>
      </c>
      <c r="F307" s="220" t="s">
        <v>850</v>
      </c>
      <c r="G307" s="221">
        <v>40</v>
      </c>
      <c r="H307" s="219">
        <v>46945</v>
      </c>
      <c r="I307" s="219">
        <v>65728</v>
      </c>
      <c r="J307" s="221">
        <v>20</v>
      </c>
      <c r="K307" s="219">
        <v>12342</v>
      </c>
      <c r="L307" s="219">
        <v>17243</v>
      </c>
      <c r="M307" s="221">
        <v>16</v>
      </c>
      <c r="N307" s="219">
        <v>8778</v>
      </c>
      <c r="O307" s="219">
        <v>11789</v>
      </c>
      <c r="P307" s="220" t="s">
        <v>850</v>
      </c>
      <c r="Q307" s="220" t="s">
        <v>850</v>
      </c>
      <c r="R307" s="220" t="s">
        <v>850</v>
      </c>
      <c r="S307" s="221">
        <v>12</v>
      </c>
      <c r="T307" s="219">
        <v>5772</v>
      </c>
      <c r="U307" s="222">
        <v>7020</v>
      </c>
      <c r="V307" s="212" t="s">
        <v>1643</v>
      </c>
      <c r="W307" s="213" t="s">
        <v>1643</v>
      </c>
      <c r="X307" s="213" t="s">
        <v>1643</v>
      </c>
      <c r="Y307" s="213" t="s">
        <v>1643</v>
      </c>
      <c r="Z307" s="213" t="s">
        <v>1643</v>
      </c>
      <c r="AA307" s="213" t="s">
        <v>1643</v>
      </c>
      <c r="AB307" s="213" t="s">
        <v>1643</v>
      </c>
      <c r="AC307" s="213" t="s">
        <v>1643</v>
      </c>
      <c r="AD307" s="213" t="s">
        <v>1643</v>
      </c>
      <c r="AE307" s="213" t="s">
        <v>1643</v>
      </c>
      <c r="AF307" s="213" t="s">
        <v>1643</v>
      </c>
      <c r="AG307" s="214" t="s">
        <v>1644</v>
      </c>
      <c r="AH307" s="212" t="s">
        <v>1644</v>
      </c>
      <c r="AI307" s="213" t="s">
        <v>1644</v>
      </c>
      <c r="AJ307" s="213" t="s">
        <v>1644</v>
      </c>
      <c r="AK307" s="213" t="s">
        <v>1644</v>
      </c>
      <c r="AL307" s="213" t="s">
        <v>1644</v>
      </c>
      <c r="AM307" s="213" t="s">
        <v>1643</v>
      </c>
      <c r="AN307" s="213" t="s">
        <v>1643</v>
      </c>
      <c r="AO307" s="213" t="s">
        <v>1643</v>
      </c>
      <c r="AP307" s="213" t="s">
        <v>1644</v>
      </c>
      <c r="AQ307" s="213" t="s">
        <v>1644</v>
      </c>
      <c r="AR307" s="213" t="s">
        <v>1643</v>
      </c>
      <c r="AS307" s="214" t="s">
        <v>1644</v>
      </c>
    </row>
    <row r="308" spans="1:45" ht="15.75" thickBot="1" x14ac:dyDescent="0.3">
      <c r="A308" s="212" t="s">
        <v>831</v>
      </c>
      <c r="B308" s="48" t="s">
        <v>832</v>
      </c>
      <c r="C308" s="214" t="s">
        <v>822</v>
      </c>
      <c r="D308" s="218">
        <v>40</v>
      </c>
      <c r="E308" s="219">
        <v>51001</v>
      </c>
      <c r="F308" s="219">
        <v>51001</v>
      </c>
      <c r="G308" s="221">
        <v>40</v>
      </c>
      <c r="H308" s="219">
        <v>27560</v>
      </c>
      <c r="I308" s="219">
        <v>44871</v>
      </c>
      <c r="J308" s="221">
        <v>29</v>
      </c>
      <c r="K308" s="219">
        <v>12729</v>
      </c>
      <c r="L308" s="219">
        <v>27777</v>
      </c>
      <c r="M308" s="221">
        <v>24</v>
      </c>
      <c r="N308" s="219">
        <v>11085</v>
      </c>
      <c r="O308" s="219">
        <v>18096</v>
      </c>
      <c r="P308" s="221">
        <v>40</v>
      </c>
      <c r="Q308" s="219">
        <v>36836</v>
      </c>
      <c r="R308" s="219">
        <v>36836</v>
      </c>
      <c r="S308" s="221">
        <v>19</v>
      </c>
      <c r="T308" s="219">
        <v>11085</v>
      </c>
      <c r="U308" s="222">
        <v>19920</v>
      </c>
      <c r="V308" s="212" t="s">
        <v>1643</v>
      </c>
      <c r="W308" s="213" t="s">
        <v>1643</v>
      </c>
      <c r="X308" s="213" t="s">
        <v>1643</v>
      </c>
      <c r="Y308" s="213" t="s">
        <v>1643</v>
      </c>
      <c r="Z308" s="213" t="s">
        <v>1643</v>
      </c>
      <c r="AA308" s="213" t="s">
        <v>1643</v>
      </c>
      <c r="AB308" s="213" t="s">
        <v>1643</v>
      </c>
      <c r="AC308" s="213" t="s">
        <v>1643</v>
      </c>
      <c r="AD308" s="213" t="s">
        <v>1644</v>
      </c>
      <c r="AE308" s="213" t="s">
        <v>1644</v>
      </c>
      <c r="AF308" s="213" t="s">
        <v>1643</v>
      </c>
      <c r="AG308" s="214" t="s">
        <v>1644</v>
      </c>
      <c r="AH308" s="212" t="s">
        <v>1643</v>
      </c>
      <c r="AI308" s="213" t="s">
        <v>1643</v>
      </c>
      <c r="AJ308" s="213" t="s">
        <v>1643</v>
      </c>
      <c r="AK308" s="213" t="s">
        <v>1644</v>
      </c>
      <c r="AL308" s="213" t="s">
        <v>1643</v>
      </c>
      <c r="AM308" s="213" t="s">
        <v>1643</v>
      </c>
      <c r="AN308" s="213" t="s">
        <v>1643</v>
      </c>
      <c r="AO308" s="213" t="s">
        <v>1643</v>
      </c>
      <c r="AP308" s="213" t="s">
        <v>1644</v>
      </c>
      <c r="AQ308" s="213" t="s">
        <v>1644</v>
      </c>
      <c r="AR308" s="213" t="s">
        <v>1643</v>
      </c>
      <c r="AS308" s="214" t="s">
        <v>1644</v>
      </c>
    </row>
    <row r="309" spans="1:45" ht="15.75" thickBot="1" x14ac:dyDescent="0.3">
      <c r="A309" s="212" t="s">
        <v>855</v>
      </c>
      <c r="B309" s="48" t="s">
        <v>856</v>
      </c>
      <c r="C309" s="214" t="s">
        <v>822</v>
      </c>
      <c r="D309" s="218">
        <v>40</v>
      </c>
      <c r="E309" s="219">
        <v>54892</v>
      </c>
      <c r="F309" s="219">
        <v>76871</v>
      </c>
      <c r="G309" s="221">
        <v>40</v>
      </c>
      <c r="H309" s="219">
        <v>47727</v>
      </c>
      <c r="I309" s="219">
        <v>66818</v>
      </c>
      <c r="J309" s="221">
        <v>40</v>
      </c>
      <c r="K309" s="219">
        <v>43340</v>
      </c>
      <c r="L309" s="219">
        <v>58485</v>
      </c>
      <c r="M309" s="221">
        <v>40</v>
      </c>
      <c r="N309" s="219">
        <v>38512</v>
      </c>
      <c r="O309" s="219">
        <v>55432</v>
      </c>
      <c r="P309" s="221">
        <v>40</v>
      </c>
      <c r="Q309" s="219">
        <v>35779</v>
      </c>
      <c r="R309" s="219">
        <v>53813</v>
      </c>
      <c r="S309" s="221">
        <v>40</v>
      </c>
      <c r="T309" s="219">
        <v>25175</v>
      </c>
      <c r="U309" s="222">
        <v>38424</v>
      </c>
      <c r="V309" s="212" t="s">
        <v>1643</v>
      </c>
      <c r="W309" s="213" t="s">
        <v>1643</v>
      </c>
      <c r="X309" s="213" t="s">
        <v>1643</v>
      </c>
      <c r="Y309" s="213" t="s">
        <v>1644</v>
      </c>
      <c r="Z309" s="213" t="s">
        <v>1643</v>
      </c>
      <c r="AA309" s="213" t="s">
        <v>1643</v>
      </c>
      <c r="AB309" s="213" t="s">
        <v>1643</v>
      </c>
      <c r="AC309" s="213" t="s">
        <v>1643</v>
      </c>
      <c r="AD309" s="213" t="s">
        <v>1643</v>
      </c>
      <c r="AE309" s="213" t="s">
        <v>1643</v>
      </c>
      <c r="AF309" s="213" t="s">
        <v>1643</v>
      </c>
      <c r="AG309" s="214" t="s">
        <v>1644</v>
      </c>
      <c r="AH309" s="212" t="s">
        <v>1644</v>
      </c>
      <c r="AI309" s="213" t="s">
        <v>1644</v>
      </c>
      <c r="AJ309" s="213" t="s">
        <v>1644</v>
      </c>
      <c r="AK309" s="213" t="s">
        <v>1644</v>
      </c>
      <c r="AL309" s="213" t="s">
        <v>1644</v>
      </c>
      <c r="AM309" s="213" t="s">
        <v>1643</v>
      </c>
      <c r="AN309" s="213" t="s">
        <v>1643</v>
      </c>
      <c r="AO309" s="213" t="s">
        <v>1643</v>
      </c>
      <c r="AP309" s="213" t="s">
        <v>1643</v>
      </c>
      <c r="AQ309" s="213" t="s">
        <v>1644</v>
      </c>
      <c r="AR309" s="213" t="s">
        <v>1643</v>
      </c>
      <c r="AS309" s="214" t="s">
        <v>1644</v>
      </c>
    </row>
    <row r="310" spans="1:45" ht="15.75" thickBot="1" x14ac:dyDescent="0.3">
      <c r="A310" s="212" t="s">
        <v>867</v>
      </c>
      <c r="B310" s="48" t="s">
        <v>868</v>
      </c>
      <c r="C310" s="214" t="s">
        <v>822</v>
      </c>
      <c r="D310" s="218">
        <v>40</v>
      </c>
      <c r="E310" s="219">
        <v>58000</v>
      </c>
      <c r="F310" s="219">
        <v>76000</v>
      </c>
      <c r="G310" s="221">
        <v>40</v>
      </c>
      <c r="H310" s="219">
        <v>50000</v>
      </c>
      <c r="I310" s="219">
        <v>66000</v>
      </c>
      <c r="J310" s="221">
        <v>40</v>
      </c>
      <c r="K310" s="219">
        <v>48300</v>
      </c>
      <c r="L310" s="219">
        <v>55000</v>
      </c>
      <c r="M310" s="221">
        <v>40</v>
      </c>
      <c r="N310" s="219">
        <v>41600</v>
      </c>
      <c r="O310" s="219">
        <v>48300</v>
      </c>
      <c r="P310" s="221">
        <v>40</v>
      </c>
      <c r="Q310" s="219">
        <v>47000</v>
      </c>
      <c r="R310" s="219">
        <v>62000</v>
      </c>
      <c r="S310" s="221">
        <v>17</v>
      </c>
      <c r="T310" s="219">
        <v>10608</v>
      </c>
      <c r="U310" s="222">
        <v>13620</v>
      </c>
      <c r="V310" s="212" t="s">
        <v>1643</v>
      </c>
      <c r="W310" s="213" t="s">
        <v>1643</v>
      </c>
      <c r="X310" s="213" t="s">
        <v>1643</v>
      </c>
      <c r="Y310" s="213" t="s">
        <v>1643</v>
      </c>
      <c r="Z310" s="213" t="s">
        <v>1643</v>
      </c>
      <c r="AA310" s="213" t="s">
        <v>1643</v>
      </c>
      <c r="AB310" s="213" t="s">
        <v>1643</v>
      </c>
      <c r="AC310" s="213" t="s">
        <v>1643</v>
      </c>
      <c r="AD310" s="213" t="s">
        <v>1643</v>
      </c>
      <c r="AE310" s="213" t="s">
        <v>1643</v>
      </c>
      <c r="AF310" s="213" t="s">
        <v>1643</v>
      </c>
      <c r="AG310" s="214" t="s">
        <v>1644</v>
      </c>
      <c r="AH310" s="212" t="s">
        <v>1644</v>
      </c>
      <c r="AI310" s="213" t="s">
        <v>1644</v>
      </c>
      <c r="AJ310" s="213" t="s">
        <v>1644</v>
      </c>
      <c r="AK310" s="213" t="s">
        <v>1644</v>
      </c>
      <c r="AL310" s="213" t="s">
        <v>1644</v>
      </c>
      <c r="AM310" s="213" t="s">
        <v>1643</v>
      </c>
      <c r="AN310" s="213" t="s">
        <v>1643</v>
      </c>
      <c r="AO310" s="213" t="s">
        <v>1643</v>
      </c>
      <c r="AP310" s="213" t="s">
        <v>1644</v>
      </c>
      <c r="AQ310" s="213" t="s">
        <v>1644</v>
      </c>
      <c r="AR310" s="213" t="s">
        <v>1643</v>
      </c>
      <c r="AS310" s="214" t="s">
        <v>1644</v>
      </c>
    </row>
    <row r="311" spans="1:45" ht="15.75" thickBot="1" x14ac:dyDescent="0.3">
      <c r="A311" s="212" t="s">
        <v>891</v>
      </c>
      <c r="B311" s="48" t="s">
        <v>892</v>
      </c>
      <c r="C311" s="214" t="s">
        <v>822</v>
      </c>
      <c r="D311" s="218">
        <v>38</v>
      </c>
      <c r="E311" s="219">
        <v>63360</v>
      </c>
      <c r="F311" s="219">
        <v>85536</v>
      </c>
      <c r="G311" s="221">
        <v>38</v>
      </c>
      <c r="H311" s="219">
        <v>56320</v>
      </c>
      <c r="I311" s="219">
        <v>76032</v>
      </c>
      <c r="J311" s="221">
        <v>38</v>
      </c>
      <c r="K311" s="219">
        <v>50063</v>
      </c>
      <c r="L311" s="219">
        <v>67584</v>
      </c>
      <c r="M311" s="221">
        <v>28</v>
      </c>
      <c r="N311" s="219">
        <v>44500</v>
      </c>
      <c r="O311" s="219">
        <v>60075</v>
      </c>
      <c r="P311" s="221">
        <v>38</v>
      </c>
      <c r="Q311" s="219">
        <v>44500</v>
      </c>
      <c r="R311" s="219">
        <v>60075</v>
      </c>
      <c r="S311" s="221">
        <v>23</v>
      </c>
      <c r="T311" s="219">
        <v>33075</v>
      </c>
      <c r="U311" s="222">
        <v>42998</v>
      </c>
      <c r="V311" s="212" t="s">
        <v>1643</v>
      </c>
      <c r="W311" s="213" t="s">
        <v>1643</v>
      </c>
      <c r="X311" s="213" t="s">
        <v>1643</v>
      </c>
      <c r="Y311" s="213" t="s">
        <v>1643</v>
      </c>
      <c r="Z311" s="213" t="s">
        <v>1643</v>
      </c>
      <c r="AA311" s="213" t="s">
        <v>1643</v>
      </c>
      <c r="AB311" s="213" t="s">
        <v>1643</v>
      </c>
      <c r="AC311" s="213" t="s">
        <v>1643</v>
      </c>
      <c r="AD311" s="213" t="s">
        <v>1643</v>
      </c>
      <c r="AE311" s="213" t="s">
        <v>1643</v>
      </c>
      <c r="AF311" s="213" t="s">
        <v>1643</v>
      </c>
      <c r="AG311" s="214" t="s">
        <v>1644</v>
      </c>
      <c r="AH311" s="212" t="s">
        <v>1644</v>
      </c>
      <c r="AI311" s="213" t="s">
        <v>1644</v>
      </c>
      <c r="AJ311" s="213" t="s">
        <v>1644</v>
      </c>
      <c r="AK311" s="213" t="s">
        <v>1644</v>
      </c>
      <c r="AL311" s="213" t="s">
        <v>1644</v>
      </c>
      <c r="AM311" s="213" t="s">
        <v>1643</v>
      </c>
      <c r="AN311" s="213" t="s">
        <v>1643</v>
      </c>
      <c r="AO311" s="213" t="s">
        <v>1643</v>
      </c>
      <c r="AP311" s="213" t="s">
        <v>1644</v>
      </c>
      <c r="AQ311" s="213" t="s">
        <v>1644</v>
      </c>
      <c r="AR311" s="213" t="s">
        <v>1643</v>
      </c>
      <c r="AS311" s="214" t="s">
        <v>1644</v>
      </c>
    </row>
    <row r="312" spans="1:45" ht="15.75" thickBot="1" x14ac:dyDescent="0.3">
      <c r="A312" s="212" t="s">
        <v>897</v>
      </c>
      <c r="B312" s="48" t="s">
        <v>898</v>
      </c>
      <c r="C312" s="214" t="s">
        <v>822</v>
      </c>
      <c r="D312" s="218">
        <v>40</v>
      </c>
      <c r="E312" s="219">
        <v>68959</v>
      </c>
      <c r="F312" s="219">
        <v>689559</v>
      </c>
      <c r="G312" s="221">
        <v>40</v>
      </c>
      <c r="H312" s="219">
        <v>21933</v>
      </c>
      <c r="I312" s="219">
        <v>37440</v>
      </c>
      <c r="J312" s="221">
        <v>40</v>
      </c>
      <c r="K312" s="219">
        <v>49440</v>
      </c>
      <c r="L312" s="219">
        <v>49440</v>
      </c>
      <c r="M312" s="221">
        <v>26</v>
      </c>
      <c r="N312" s="219">
        <v>15196</v>
      </c>
      <c r="O312" s="219">
        <v>22417</v>
      </c>
      <c r="P312" s="221">
        <v>40</v>
      </c>
      <c r="Q312" s="219">
        <v>29099</v>
      </c>
      <c r="R312" s="219">
        <v>37232</v>
      </c>
      <c r="S312" s="221">
        <v>26</v>
      </c>
      <c r="T312" s="219">
        <v>15196</v>
      </c>
      <c r="U312" s="222">
        <v>19428</v>
      </c>
      <c r="V312" s="212" t="s">
        <v>1643</v>
      </c>
      <c r="W312" s="213" t="s">
        <v>1643</v>
      </c>
      <c r="X312" s="213" t="s">
        <v>1644</v>
      </c>
      <c r="Y312" s="213" t="s">
        <v>1644</v>
      </c>
      <c r="Z312" s="213" t="s">
        <v>1643</v>
      </c>
      <c r="AA312" s="213" t="s">
        <v>1643</v>
      </c>
      <c r="AB312" s="213" t="s">
        <v>1643</v>
      </c>
      <c r="AC312" s="213" t="s">
        <v>1643</v>
      </c>
      <c r="AD312" s="213" t="s">
        <v>1644</v>
      </c>
      <c r="AE312" s="213" t="s">
        <v>1644</v>
      </c>
      <c r="AF312" s="213" t="s">
        <v>1643</v>
      </c>
      <c r="AG312" s="214" t="s">
        <v>1643</v>
      </c>
      <c r="AH312" s="212" t="s">
        <v>1644</v>
      </c>
      <c r="AI312" s="213" t="s">
        <v>1644</v>
      </c>
      <c r="AJ312" s="213" t="s">
        <v>1644</v>
      </c>
      <c r="AK312" s="213" t="s">
        <v>1644</v>
      </c>
      <c r="AL312" s="213" t="s">
        <v>1644</v>
      </c>
      <c r="AM312" s="213" t="s">
        <v>1643</v>
      </c>
      <c r="AN312" s="213" t="s">
        <v>1643</v>
      </c>
      <c r="AO312" s="213" t="s">
        <v>1643</v>
      </c>
      <c r="AP312" s="213" t="s">
        <v>1644</v>
      </c>
      <c r="AQ312" s="213" t="s">
        <v>1644</v>
      </c>
      <c r="AR312" s="213" t="s">
        <v>1643</v>
      </c>
      <c r="AS312" s="214" t="s">
        <v>1643</v>
      </c>
    </row>
    <row r="313" spans="1:45" ht="15.75" thickBot="1" x14ac:dyDescent="0.3">
      <c r="A313" s="212" t="s">
        <v>907</v>
      </c>
      <c r="B313" s="48" t="s">
        <v>908</v>
      </c>
      <c r="C313" s="214" t="s">
        <v>822</v>
      </c>
      <c r="D313" s="218">
        <v>40</v>
      </c>
      <c r="E313" s="219">
        <v>57670</v>
      </c>
      <c r="F313" s="219">
        <v>74022</v>
      </c>
      <c r="G313" s="221">
        <v>40</v>
      </c>
      <c r="H313" s="219">
        <v>46414</v>
      </c>
      <c r="I313" s="219">
        <v>63728</v>
      </c>
      <c r="J313" s="221">
        <v>34</v>
      </c>
      <c r="K313" s="219">
        <v>38604</v>
      </c>
      <c r="L313" s="219">
        <v>51350</v>
      </c>
      <c r="M313" s="221">
        <v>20</v>
      </c>
      <c r="N313" s="219">
        <v>38168</v>
      </c>
      <c r="O313" s="219">
        <v>39520</v>
      </c>
      <c r="P313" s="220" t="s">
        <v>850</v>
      </c>
      <c r="Q313" s="220" t="s">
        <v>850</v>
      </c>
      <c r="R313" s="220" t="s">
        <v>850</v>
      </c>
      <c r="S313" s="221">
        <v>21</v>
      </c>
      <c r="T313" s="219">
        <v>19240</v>
      </c>
      <c r="U313" s="222">
        <v>30763</v>
      </c>
      <c r="V313" s="212" t="s">
        <v>1643</v>
      </c>
      <c r="W313" s="213" t="s">
        <v>1643</v>
      </c>
      <c r="X313" s="213" t="s">
        <v>1643</v>
      </c>
      <c r="Y313" s="213" t="s">
        <v>1644</v>
      </c>
      <c r="Z313" s="213" t="s">
        <v>1643</v>
      </c>
      <c r="AA313" s="213" t="s">
        <v>1643</v>
      </c>
      <c r="AB313" s="213" t="s">
        <v>1643</v>
      </c>
      <c r="AC313" s="213" t="s">
        <v>1643</v>
      </c>
      <c r="AD313" s="213" t="s">
        <v>1643</v>
      </c>
      <c r="AE313" s="213" t="s">
        <v>1643</v>
      </c>
      <c r="AF313" s="213" t="s">
        <v>1643</v>
      </c>
      <c r="AG313" s="214" t="s">
        <v>1643</v>
      </c>
      <c r="AH313" s="212" t="s">
        <v>1644</v>
      </c>
      <c r="AI313" s="213" t="s">
        <v>1644</v>
      </c>
      <c r="AJ313" s="213" t="s">
        <v>1644</v>
      </c>
      <c r="AK313" s="213" t="s">
        <v>1644</v>
      </c>
      <c r="AL313" s="213" t="s">
        <v>1644</v>
      </c>
      <c r="AM313" s="213" t="s">
        <v>1643</v>
      </c>
      <c r="AN313" s="213" t="s">
        <v>1643</v>
      </c>
      <c r="AO313" s="213" t="s">
        <v>1643</v>
      </c>
      <c r="AP313" s="213" t="s">
        <v>1643</v>
      </c>
      <c r="AQ313" s="213" t="s">
        <v>1644</v>
      </c>
      <c r="AR313" s="213" t="s">
        <v>1643</v>
      </c>
      <c r="AS313" s="214" t="s">
        <v>1643</v>
      </c>
    </row>
    <row r="314" spans="1:45" ht="15.75" thickBot="1" x14ac:dyDescent="0.3">
      <c r="A314" s="212" t="s">
        <v>917</v>
      </c>
      <c r="B314" s="48" t="s">
        <v>918</v>
      </c>
      <c r="C314" s="214" t="s">
        <v>822</v>
      </c>
      <c r="D314" s="225"/>
      <c r="E314" s="226"/>
      <c r="F314" s="226"/>
      <c r="G314" s="221">
        <v>40</v>
      </c>
      <c r="H314" s="219">
        <v>27040</v>
      </c>
      <c r="I314" s="219">
        <v>32240</v>
      </c>
      <c r="J314" s="221">
        <v>40</v>
      </c>
      <c r="K314" s="219">
        <v>38002</v>
      </c>
      <c r="L314" s="219">
        <v>44720</v>
      </c>
      <c r="M314" s="221">
        <v>40</v>
      </c>
      <c r="N314" s="219">
        <v>32240</v>
      </c>
      <c r="O314" s="219">
        <v>32240</v>
      </c>
      <c r="P314" s="221">
        <v>20</v>
      </c>
      <c r="Q314" s="219">
        <v>20800</v>
      </c>
      <c r="R314" s="219">
        <v>20800</v>
      </c>
      <c r="S314" s="221">
        <v>40</v>
      </c>
      <c r="T314" s="219">
        <v>32240</v>
      </c>
      <c r="U314" s="222">
        <v>43264</v>
      </c>
      <c r="V314" s="212" t="s">
        <v>1643</v>
      </c>
      <c r="W314" s="213" t="s">
        <v>1643</v>
      </c>
      <c r="X314" s="213" t="s">
        <v>1643</v>
      </c>
      <c r="Y314" s="213" t="s">
        <v>1643</v>
      </c>
      <c r="Z314" s="213" t="s">
        <v>1643</v>
      </c>
      <c r="AA314" s="213" t="s">
        <v>1643</v>
      </c>
      <c r="AB314" s="213" t="s">
        <v>1643</v>
      </c>
      <c r="AC314" s="213" t="s">
        <v>1643</v>
      </c>
      <c r="AD314" s="213" t="s">
        <v>1643</v>
      </c>
      <c r="AE314" s="213" t="s">
        <v>1644</v>
      </c>
      <c r="AF314" s="213" t="s">
        <v>1644</v>
      </c>
      <c r="AG314" s="214" t="s">
        <v>1643</v>
      </c>
      <c r="AH314" s="212" t="s">
        <v>1644</v>
      </c>
      <c r="AI314" s="213" t="s">
        <v>1644</v>
      </c>
      <c r="AJ314" s="213" t="s">
        <v>1644</v>
      </c>
      <c r="AK314" s="213" t="s">
        <v>1644</v>
      </c>
      <c r="AL314" s="213" t="s">
        <v>1644</v>
      </c>
      <c r="AM314" s="213" t="s">
        <v>1644</v>
      </c>
      <c r="AN314" s="213" t="s">
        <v>1644</v>
      </c>
      <c r="AO314" s="213" t="s">
        <v>1644</v>
      </c>
      <c r="AP314" s="213" t="s">
        <v>1644</v>
      </c>
      <c r="AQ314" s="213" t="s">
        <v>1644</v>
      </c>
      <c r="AR314" s="213" t="s">
        <v>1644</v>
      </c>
      <c r="AS314" s="214" t="s">
        <v>1644</v>
      </c>
    </row>
    <row r="315" spans="1:45" ht="15.75" thickBot="1" x14ac:dyDescent="0.3">
      <c r="A315" s="212" t="s">
        <v>933</v>
      </c>
      <c r="B315" s="48" t="s">
        <v>934</v>
      </c>
      <c r="C315" s="214" t="s">
        <v>822</v>
      </c>
      <c r="D315" s="225"/>
      <c r="E315" s="226"/>
      <c r="F315" s="226"/>
      <c r="G315" s="221">
        <v>40</v>
      </c>
      <c r="H315" s="219">
        <v>33800</v>
      </c>
      <c r="I315" s="219">
        <v>34476</v>
      </c>
      <c r="J315" s="221">
        <v>40</v>
      </c>
      <c r="K315" s="219">
        <v>29120</v>
      </c>
      <c r="L315" s="219">
        <v>39000</v>
      </c>
      <c r="M315" s="227"/>
      <c r="N315" s="226"/>
      <c r="O315" s="226"/>
      <c r="P315" s="221">
        <v>40</v>
      </c>
      <c r="Q315" s="219">
        <v>33800</v>
      </c>
      <c r="R315" s="219">
        <v>35360</v>
      </c>
      <c r="S315" s="221">
        <v>15</v>
      </c>
      <c r="T315" s="219">
        <v>4810</v>
      </c>
      <c r="U315" s="222">
        <v>16380</v>
      </c>
      <c r="V315" s="212" t="s">
        <v>1644</v>
      </c>
      <c r="W315" s="213" t="s">
        <v>1643</v>
      </c>
      <c r="X315" s="213" t="s">
        <v>1643</v>
      </c>
      <c r="Y315" s="213" t="s">
        <v>1643</v>
      </c>
      <c r="Z315" s="213" t="s">
        <v>1643</v>
      </c>
      <c r="AA315" s="213" t="s">
        <v>1643</v>
      </c>
      <c r="AB315" s="213" t="s">
        <v>1643</v>
      </c>
      <c r="AC315" s="213" t="s">
        <v>1643</v>
      </c>
      <c r="AD315" s="213" t="s">
        <v>1644</v>
      </c>
      <c r="AE315" s="213" t="s">
        <v>1644</v>
      </c>
      <c r="AF315" s="213" t="s">
        <v>1643</v>
      </c>
      <c r="AG315" s="214" t="s">
        <v>1644</v>
      </c>
      <c r="AH315" s="212" t="s">
        <v>1644</v>
      </c>
      <c r="AI315" s="213" t="s">
        <v>1644</v>
      </c>
      <c r="AJ315" s="213" t="s">
        <v>1644</v>
      </c>
      <c r="AK315" s="213" t="s">
        <v>1644</v>
      </c>
      <c r="AL315" s="213" t="s">
        <v>1644</v>
      </c>
      <c r="AM315" s="213" t="s">
        <v>1644</v>
      </c>
      <c r="AN315" s="213" t="s">
        <v>1644</v>
      </c>
      <c r="AO315" s="213" t="s">
        <v>1643</v>
      </c>
      <c r="AP315" s="213" t="s">
        <v>1644</v>
      </c>
      <c r="AQ315" s="213" t="s">
        <v>1644</v>
      </c>
      <c r="AR315" s="213" t="s">
        <v>1643</v>
      </c>
      <c r="AS315" s="214" t="s">
        <v>1644</v>
      </c>
    </row>
    <row r="316" spans="1:45" ht="15.75" thickBot="1" x14ac:dyDescent="0.3">
      <c r="A316" s="212" t="s">
        <v>953</v>
      </c>
      <c r="B316" s="48" t="s">
        <v>954</v>
      </c>
      <c r="C316" s="214" t="s">
        <v>822</v>
      </c>
      <c r="D316" s="223" t="s">
        <v>850</v>
      </c>
      <c r="E316" s="220" t="s">
        <v>850</v>
      </c>
      <c r="F316" s="220" t="s">
        <v>850</v>
      </c>
      <c r="G316" s="221">
        <v>38</v>
      </c>
      <c r="H316" s="219">
        <v>57000</v>
      </c>
      <c r="I316" s="219">
        <v>73000</v>
      </c>
      <c r="J316" s="221">
        <v>38</v>
      </c>
      <c r="K316" s="219">
        <v>41000</v>
      </c>
      <c r="L316" s="219">
        <v>53000</v>
      </c>
      <c r="M316" s="221">
        <v>20</v>
      </c>
      <c r="N316" s="219">
        <v>22000</v>
      </c>
      <c r="O316" s="219">
        <v>28000</v>
      </c>
      <c r="P316" s="221">
        <v>38</v>
      </c>
      <c r="Q316" s="219">
        <v>57000</v>
      </c>
      <c r="R316" s="219">
        <v>73000</v>
      </c>
      <c r="S316" s="221">
        <v>15</v>
      </c>
      <c r="T316" s="219">
        <v>10000</v>
      </c>
      <c r="U316" s="222">
        <v>13000</v>
      </c>
      <c r="V316" s="212" t="s">
        <v>1643</v>
      </c>
      <c r="W316" s="213" t="s">
        <v>1643</v>
      </c>
      <c r="X316" s="213" t="s">
        <v>1643</v>
      </c>
      <c r="Y316" s="213" t="s">
        <v>1643</v>
      </c>
      <c r="Z316" s="213" t="s">
        <v>1643</v>
      </c>
      <c r="AA316" s="213" t="s">
        <v>1643</v>
      </c>
      <c r="AB316" s="213" t="s">
        <v>1643</v>
      </c>
      <c r="AC316" s="213" t="s">
        <v>1643</v>
      </c>
      <c r="AD316" s="213" t="s">
        <v>1643</v>
      </c>
      <c r="AE316" s="213" t="s">
        <v>1643</v>
      </c>
      <c r="AF316" s="213" t="s">
        <v>1643</v>
      </c>
      <c r="AG316" s="214" t="s">
        <v>1643</v>
      </c>
      <c r="AH316" s="212" t="s">
        <v>1644</v>
      </c>
      <c r="AI316" s="213" t="s">
        <v>1644</v>
      </c>
      <c r="AJ316" s="213" t="s">
        <v>1644</v>
      </c>
      <c r="AK316" s="213" t="s">
        <v>1644</v>
      </c>
      <c r="AL316" s="213" t="s">
        <v>1644</v>
      </c>
      <c r="AM316" s="213" t="s">
        <v>1643</v>
      </c>
      <c r="AN316" s="213" t="s">
        <v>1643</v>
      </c>
      <c r="AO316" s="213" t="s">
        <v>1643</v>
      </c>
      <c r="AP316" s="213" t="s">
        <v>1643</v>
      </c>
      <c r="AQ316" s="213" t="s">
        <v>1644</v>
      </c>
      <c r="AR316" s="213" t="s">
        <v>1643</v>
      </c>
      <c r="AS316" s="214" t="s">
        <v>1643</v>
      </c>
    </row>
    <row r="317" spans="1:45" ht="15.75" thickBot="1" x14ac:dyDescent="0.3">
      <c r="A317" s="212" t="s">
        <v>957</v>
      </c>
      <c r="B317" s="48" t="s">
        <v>958</v>
      </c>
      <c r="C317" s="214" t="s">
        <v>822</v>
      </c>
      <c r="D317" s="225"/>
      <c r="E317" s="226"/>
      <c r="F317" s="226"/>
      <c r="G317" s="221">
        <v>40</v>
      </c>
      <c r="H317" s="219">
        <v>40000</v>
      </c>
      <c r="I317" s="219">
        <v>64000</v>
      </c>
      <c r="J317" s="221">
        <v>40</v>
      </c>
      <c r="K317" s="219">
        <v>38000</v>
      </c>
      <c r="L317" s="219">
        <v>52000</v>
      </c>
      <c r="M317" s="221">
        <v>20</v>
      </c>
      <c r="N317" s="219">
        <v>18720</v>
      </c>
      <c r="O317" s="219">
        <v>34320</v>
      </c>
      <c r="P317" s="221">
        <v>20</v>
      </c>
      <c r="Q317" s="219">
        <v>12480</v>
      </c>
      <c r="R317" s="219">
        <v>28600</v>
      </c>
      <c r="S317" s="221">
        <v>20</v>
      </c>
      <c r="T317" s="219">
        <v>10400</v>
      </c>
      <c r="U317" s="222">
        <v>21450</v>
      </c>
      <c r="V317" s="212" t="s">
        <v>1643</v>
      </c>
      <c r="W317" s="213" t="s">
        <v>1643</v>
      </c>
      <c r="X317" s="213" t="s">
        <v>1643</v>
      </c>
      <c r="Y317" s="213" t="s">
        <v>1644</v>
      </c>
      <c r="Z317" s="213" t="s">
        <v>1643</v>
      </c>
      <c r="AA317" s="213" t="s">
        <v>1643</v>
      </c>
      <c r="AB317" s="213" t="s">
        <v>1643</v>
      </c>
      <c r="AC317" s="213" t="s">
        <v>1643</v>
      </c>
      <c r="AD317" s="213" t="s">
        <v>1644</v>
      </c>
      <c r="AE317" s="213" t="s">
        <v>1643</v>
      </c>
      <c r="AF317" s="213" t="s">
        <v>1643</v>
      </c>
      <c r="AG317" s="214" t="s">
        <v>1644</v>
      </c>
      <c r="AH317" s="212" t="s">
        <v>1644</v>
      </c>
      <c r="AI317" s="213" t="s">
        <v>1644</v>
      </c>
      <c r="AJ317" s="213" t="s">
        <v>1644</v>
      </c>
      <c r="AK317" s="213" t="s">
        <v>1644</v>
      </c>
      <c r="AL317" s="213" t="s">
        <v>1644</v>
      </c>
      <c r="AM317" s="213" t="s">
        <v>1644</v>
      </c>
      <c r="AN317" s="213" t="s">
        <v>1644</v>
      </c>
      <c r="AO317" s="213" t="s">
        <v>1644</v>
      </c>
      <c r="AP317" s="213" t="s">
        <v>1644</v>
      </c>
      <c r="AQ317" s="213" t="s">
        <v>1644</v>
      </c>
      <c r="AR317" s="213" t="s">
        <v>1644</v>
      </c>
      <c r="AS317" s="214" t="s">
        <v>1644</v>
      </c>
    </row>
    <row r="318" spans="1:45" ht="15.75" thickBot="1" x14ac:dyDescent="0.3">
      <c r="A318" s="212" t="s">
        <v>971</v>
      </c>
      <c r="B318" s="48" t="s">
        <v>972</v>
      </c>
      <c r="C318" s="214" t="s">
        <v>822</v>
      </c>
      <c r="D318" s="223" t="s">
        <v>850</v>
      </c>
      <c r="E318" s="220" t="s">
        <v>850</v>
      </c>
      <c r="F318" s="220" t="s">
        <v>850</v>
      </c>
      <c r="G318" s="221">
        <v>38</v>
      </c>
      <c r="H318" s="219">
        <v>50171</v>
      </c>
      <c r="I318" s="219">
        <v>51174</v>
      </c>
      <c r="J318" s="221">
        <v>38</v>
      </c>
      <c r="K318" s="219">
        <v>45712</v>
      </c>
      <c r="L318" s="219">
        <v>47558</v>
      </c>
      <c r="M318" s="221">
        <v>38</v>
      </c>
      <c r="N318" s="219">
        <v>45712</v>
      </c>
      <c r="O318" s="219">
        <v>45712</v>
      </c>
      <c r="P318" s="221">
        <v>38</v>
      </c>
      <c r="Q318" s="219">
        <v>60000</v>
      </c>
      <c r="R318" s="219">
        <v>65000</v>
      </c>
      <c r="S318" s="221">
        <v>28</v>
      </c>
      <c r="T318" s="219">
        <v>17981</v>
      </c>
      <c r="U318" s="222">
        <v>17981</v>
      </c>
      <c r="V318" s="212" t="s">
        <v>1643</v>
      </c>
      <c r="W318" s="213" t="s">
        <v>1643</v>
      </c>
      <c r="X318" s="213" t="s">
        <v>1643</v>
      </c>
      <c r="Y318" s="213" t="s">
        <v>1643</v>
      </c>
      <c r="Z318" s="213" t="s">
        <v>1643</v>
      </c>
      <c r="AA318" s="213" t="s">
        <v>1643</v>
      </c>
      <c r="AB318" s="213" t="s">
        <v>1643</v>
      </c>
      <c r="AC318" s="213" t="s">
        <v>1643</v>
      </c>
      <c r="AD318" s="213" t="s">
        <v>1643</v>
      </c>
      <c r="AE318" s="213" t="s">
        <v>1643</v>
      </c>
      <c r="AF318" s="213" t="s">
        <v>1644</v>
      </c>
      <c r="AG318" s="214" t="s">
        <v>1644</v>
      </c>
      <c r="AH318" s="212" t="s">
        <v>1644</v>
      </c>
      <c r="AI318" s="213" t="s">
        <v>1644</v>
      </c>
      <c r="AJ318" s="213" t="s">
        <v>1644</v>
      </c>
      <c r="AK318" s="213" t="s">
        <v>1644</v>
      </c>
      <c r="AL318" s="213" t="s">
        <v>1644</v>
      </c>
      <c r="AM318" s="213" t="s">
        <v>1644</v>
      </c>
      <c r="AN318" s="213" t="s">
        <v>1644</v>
      </c>
      <c r="AO318" s="213" t="s">
        <v>1644</v>
      </c>
      <c r="AP318" s="213" t="s">
        <v>1644</v>
      </c>
      <c r="AQ318" s="213" t="s">
        <v>1644</v>
      </c>
      <c r="AR318" s="213" t="s">
        <v>1644</v>
      </c>
      <c r="AS318" s="214" t="s">
        <v>1644</v>
      </c>
    </row>
    <row r="319" spans="1:45" ht="15.75" thickBot="1" x14ac:dyDescent="0.3">
      <c r="A319" s="212" t="s">
        <v>973</v>
      </c>
      <c r="B319" s="48" t="s">
        <v>974</v>
      </c>
      <c r="C319" s="214" t="s">
        <v>822</v>
      </c>
      <c r="D319" s="223" t="s">
        <v>850</v>
      </c>
      <c r="E319" s="220" t="s">
        <v>850</v>
      </c>
      <c r="F319" s="220" t="s">
        <v>850</v>
      </c>
      <c r="G319" s="221">
        <v>26</v>
      </c>
      <c r="H319" s="219">
        <v>13500</v>
      </c>
      <c r="I319" s="219">
        <v>37000</v>
      </c>
      <c r="J319" s="221">
        <v>36</v>
      </c>
      <c r="K319" s="219">
        <v>16</v>
      </c>
      <c r="L319" s="219">
        <v>19</v>
      </c>
      <c r="M319" s="221">
        <v>36</v>
      </c>
      <c r="N319" s="219">
        <v>11</v>
      </c>
      <c r="O319" s="219">
        <v>15</v>
      </c>
      <c r="P319" s="220" t="s">
        <v>850</v>
      </c>
      <c r="Q319" s="220" t="s">
        <v>850</v>
      </c>
      <c r="R319" s="220" t="s">
        <v>850</v>
      </c>
      <c r="S319" s="221">
        <v>26</v>
      </c>
      <c r="T319" s="219">
        <v>14000</v>
      </c>
      <c r="U319" s="222">
        <v>20000</v>
      </c>
      <c r="V319" s="212" t="s">
        <v>1643</v>
      </c>
      <c r="W319" s="213" t="s">
        <v>1643</v>
      </c>
      <c r="X319" s="213" t="s">
        <v>1644</v>
      </c>
      <c r="Y319" s="213" t="s">
        <v>1643</v>
      </c>
      <c r="Z319" s="213" t="s">
        <v>1643</v>
      </c>
      <c r="AA319" s="213" t="s">
        <v>1643</v>
      </c>
      <c r="AB319" s="213" t="s">
        <v>1643</v>
      </c>
      <c r="AC319" s="213" t="s">
        <v>1643</v>
      </c>
      <c r="AD319" s="213" t="s">
        <v>1644</v>
      </c>
      <c r="AE319" s="213" t="s">
        <v>1644</v>
      </c>
      <c r="AF319" s="213" t="s">
        <v>1643</v>
      </c>
      <c r="AG319" s="214" t="s">
        <v>1644</v>
      </c>
      <c r="AH319" s="212" t="s">
        <v>1644</v>
      </c>
      <c r="AI319" s="213" t="s">
        <v>1644</v>
      </c>
      <c r="AJ319" s="213" t="s">
        <v>1644</v>
      </c>
      <c r="AK319" s="213" t="s">
        <v>1643</v>
      </c>
      <c r="AL319" s="213" t="s">
        <v>1644</v>
      </c>
      <c r="AM319" s="213" t="s">
        <v>1643</v>
      </c>
      <c r="AN319" s="213" t="s">
        <v>1643</v>
      </c>
      <c r="AO319" s="213" t="s">
        <v>1643</v>
      </c>
      <c r="AP319" s="213" t="s">
        <v>1644</v>
      </c>
      <c r="AQ319" s="213" t="s">
        <v>1644</v>
      </c>
      <c r="AR319" s="213" t="s">
        <v>1643</v>
      </c>
      <c r="AS319" s="214" t="s">
        <v>1644</v>
      </c>
    </row>
    <row r="320" spans="1:45" ht="15.75" thickBot="1" x14ac:dyDescent="0.3">
      <c r="A320" s="212" t="s">
        <v>983</v>
      </c>
      <c r="B320" s="48" t="s">
        <v>984</v>
      </c>
      <c r="C320" s="214" t="s">
        <v>822</v>
      </c>
      <c r="D320" s="225"/>
      <c r="E320" s="226"/>
      <c r="F320" s="226"/>
      <c r="G320" s="221">
        <v>40</v>
      </c>
      <c r="H320" s="219">
        <v>49379</v>
      </c>
      <c r="I320" s="219">
        <v>78146</v>
      </c>
      <c r="J320" s="221">
        <v>40</v>
      </c>
      <c r="K320" s="219">
        <v>41330</v>
      </c>
      <c r="L320" s="219">
        <v>54454</v>
      </c>
      <c r="M320" s="221">
        <v>20</v>
      </c>
      <c r="N320" s="219">
        <v>20665</v>
      </c>
      <c r="O320" s="219">
        <v>26718</v>
      </c>
      <c r="P320" s="221">
        <v>40</v>
      </c>
      <c r="Q320" s="219">
        <v>49379</v>
      </c>
      <c r="R320" s="219">
        <v>78146</v>
      </c>
      <c r="S320" s="221">
        <v>20</v>
      </c>
      <c r="T320" s="219">
        <v>12802</v>
      </c>
      <c r="U320" s="222">
        <v>16921</v>
      </c>
      <c r="V320" s="212" t="s">
        <v>1643</v>
      </c>
      <c r="W320" s="213" t="s">
        <v>1643</v>
      </c>
      <c r="X320" s="213" t="s">
        <v>1643</v>
      </c>
      <c r="Y320" s="213" t="s">
        <v>1643</v>
      </c>
      <c r="Z320" s="213" t="s">
        <v>1643</v>
      </c>
      <c r="AA320" s="213" t="s">
        <v>1643</v>
      </c>
      <c r="AB320" s="213" t="s">
        <v>1643</v>
      </c>
      <c r="AC320" s="213" t="s">
        <v>1643</v>
      </c>
      <c r="AD320" s="213" t="s">
        <v>1643</v>
      </c>
      <c r="AE320" s="213" t="s">
        <v>1643</v>
      </c>
      <c r="AF320" s="213" t="s">
        <v>1643</v>
      </c>
      <c r="AG320" s="214" t="s">
        <v>1644</v>
      </c>
      <c r="AH320" s="212" t="s">
        <v>1644</v>
      </c>
      <c r="AI320" s="213" t="s">
        <v>1644</v>
      </c>
      <c r="AJ320" s="213" t="s">
        <v>1644</v>
      </c>
      <c r="AK320" s="213" t="s">
        <v>1644</v>
      </c>
      <c r="AL320" s="213" t="s">
        <v>1644</v>
      </c>
      <c r="AM320" s="213" t="s">
        <v>1643</v>
      </c>
      <c r="AN320" s="213" t="s">
        <v>1643</v>
      </c>
      <c r="AO320" s="213" t="s">
        <v>1643</v>
      </c>
      <c r="AP320" s="213" t="s">
        <v>1643</v>
      </c>
      <c r="AQ320" s="213" t="s">
        <v>1644</v>
      </c>
      <c r="AR320" s="213" t="s">
        <v>1643</v>
      </c>
      <c r="AS320" s="214" t="s">
        <v>1644</v>
      </c>
    </row>
    <row r="321" spans="1:45" ht="15.75" thickBot="1" x14ac:dyDescent="0.3">
      <c r="A321" s="212" t="s">
        <v>1001</v>
      </c>
      <c r="B321" s="48" t="s">
        <v>1002</v>
      </c>
      <c r="C321" s="214" t="s">
        <v>822</v>
      </c>
      <c r="D321" s="225"/>
      <c r="E321" s="226"/>
      <c r="F321" s="226"/>
      <c r="G321" s="221">
        <v>40</v>
      </c>
      <c r="H321" s="219">
        <v>51251</v>
      </c>
      <c r="I321" s="219">
        <v>61502</v>
      </c>
      <c r="J321" s="227"/>
      <c r="K321" s="226"/>
      <c r="L321" s="226"/>
      <c r="M321" s="221">
        <v>40</v>
      </c>
      <c r="N321" s="219">
        <v>39576</v>
      </c>
      <c r="O321" s="219">
        <v>47491</v>
      </c>
      <c r="P321" s="221">
        <v>40</v>
      </c>
      <c r="Q321" s="219">
        <v>56207</v>
      </c>
      <c r="R321" s="219">
        <v>73071</v>
      </c>
      <c r="S321" s="221">
        <v>20</v>
      </c>
      <c r="T321" s="219">
        <v>11630</v>
      </c>
      <c r="U321" s="222">
        <v>13818</v>
      </c>
      <c r="V321" s="212" t="s">
        <v>1643</v>
      </c>
      <c r="W321" s="213" t="s">
        <v>1643</v>
      </c>
      <c r="X321" s="213" t="s">
        <v>1643</v>
      </c>
      <c r="Y321" s="213" t="s">
        <v>1644</v>
      </c>
      <c r="Z321" s="213" t="s">
        <v>1643</v>
      </c>
      <c r="AA321" s="213" t="s">
        <v>1643</v>
      </c>
      <c r="AB321" s="213" t="s">
        <v>1643</v>
      </c>
      <c r="AC321" s="213" t="s">
        <v>1643</v>
      </c>
      <c r="AD321" s="213" t="s">
        <v>1643</v>
      </c>
      <c r="AE321" s="213" t="s">
        <v>1643</v>
      </c>
      <c r="AF321" s="213" t="s">
        <v>1643</v>
      </c>
      <c r="AG321" s="214" t="s">
        <v>1643</v>
      </c>
      <c r="AH321" s="212" t="s">
        <v>1644</v>
      </c>
      <c r="AI321" s="213" t="s">
        <v>1644</v>
      </c>
      <c r="AJ321" s="213" t="s">
        <v>1644</v>
      </c>
      <c r="AK321" s="213" t="s">
        <v>1644</v>
      </c>
      <c r="AL321" s="213" t="s">
        <v>1644</v>
      </c>
      <c r="AM321" s="213" t="s">
        <v>1644</v>
      </c>
      <c r="AN321" s="213" t="s">
        <v>1644</v>
      </c>
      <c r="AO321" s="213" t="s">
        <v>1644</v>
      </c>
      <c r="AP321" s="213" t="s">
        <v>1643</v>
      </c>
      <c r="AQ321" s="213" t="s">
        <v>1644</v>
      </c>
      <c r="AR321" s="213" t="s">
        <v>1644</v>
      </c>
      <c r="AS321" s="214" t="s">
        <v>1644</v>
      </c>
    </row>
    <row r="322" spans="1:45" ht="15.75" thickBot="1" x14ac:dyDescent="0.3">
      <c r="A322" s="212" t="s">
        <v>1011</v>
      </c>
      <c r="B322" s="48" t="s">
        <v>1012</v>
      </c>
      <c r="C322" s="214" t="s">
        <v>822</v>
      </c>
      <c r="D322" s="223" t="s">
        <v>850</v>
      </c>
      <c r="E322" s="220" t="s">
        <v>850</v>
      </c>
      <c r="F322" s="220" t="s">
        <v>850</v>
      </c>
      <c r="G322" s="220" t="s">
        <v>850</v>
      </c>
      <c r="H322" s="220" t="s">
        <v>850</v>
      </c>
      <c r="I322" s="220" t="s">
        <v>850</v>
      </c>
      <c r="J322" s="221">
        <v>37</v>
      </c>
      <c r="K322" s="219">
        <v>28840</v>
      </c>
      <c r="L322" s="219">
        <v>39020</v>
      </c>
      <c r="M322" s="221">
        <v>37</v>
      </c>
      <c r="N322" s="219">
        <v>25915</v>
      </c>
      <c r="O322" s="219">
        <v>28645</v>
      </c>
      <c r="P322" s="220" t="s">
        <v>850</v>
      </c>
      <c r="Q322" s="220" t="s">
        <v>850</v>
      </c>
      <c r="R322" s="220" t="s">
        <v>850</v>
      </c>
      <c r="S322" s="221">
        <v>20</v>
      </c>
      <c r="T322" s="219">
        <v>11523</v>
      </c>
      <c r="U322" s="222">
        <v>15912</v>
      </c>
      <c r="V322" s="212" t="s">
        <v>1643</v>
      </c>
      <c r="W322" s="213" t="s">
        <v>1643</v>
      </c>
      <c r="X322" s="213" t="s">
        <v>1643</v>
      </c>
      <c r="Y322" s="213" t="s">
        <v>1643</v>
      </c>
      <c r="Z322" s="213" t="s">
        <v>1643</v>
      </c>
      <c r="AA322" s="213" t="s">
        <v>1643</v>
      </c>
      <c r="AB322" s="213" t="s">
        <v>1643</v>
      </c>
      <c r="AC322" s="213" t="s">
        <v>1643</v>
      </c>
      <c r="AD322" s="213" t="s">
        <v>1644</v>
      </c>
      <c r="AE322" s="213" t="s">
        <v>1644</v>
      </c>
      <c r="AF322" s="213" t="s">
        <v>1644</v>
      </c>
      <c r="AG322" s="214" t="s">
        <v>1644</v>
      </c>
      <c r="AH322" s="212" t="s">
        <v>1644</v>
      </c>
      <c r="AI322" s="213" t="s">
        <v>1644</v>
      </c>
      <c r="AJ322" s="213" t="s">
        <v>1644</v>
      </c>
      <c r="AK322" s="213" t="s">
        <v>1644</v>
      </c>
      <c r="AL322" s="213" t="s">
        <v>1644</v>
      </c>
      <c r="AM322" s="213" t="s">
        <v>1643</v>
      </c>
      <c r="AN322" s="213" t="s">
        <v>1643</v>
      </c>
      <c r="AO322" s="213" t="s">
        <v>1643</v>
      </c>
      <c r="AP322" s="213" t="s">
        <v>1644</v>
      </c>
      <c r="AQ322" s="213" t="s">
        <v>1644</v>
      </c>
      <c r="AR322" s="213" t="s">
        <v>1644</v>
      </c>
      <c r="AS322" s="214" t="s">
        <v>1644</v>
      </c>
    </row>
    <row r="323" spans="1:45" ht="15.75" thickBot="1" x14ac:dyDescent="0.3">
      <c r="A323" s="212" t="s">
        <v>1023</v>
      </c>
      <c r="B323" s="48" t="s">
        <v>1024</v>
      </c>
      <c r="C323" s="214" t="s">
        <v>822</v>
      </c>
      <c r="D323" s="218">
        <v>45</v>
      </c>
      <c r="E323" s="219">
        <v>60379</v>
      </c>
      <c r="F323" s="219">
        <v>84508</v>
      </c>
      <c r="G323" s="221">
        <v>45</v>
      </c>
      <c r="H323" s="219">
        <v>54800</v>
      </c>
      <c r="I323" s="219">
        <v>76779</v>
      </c>
      <c r="J323" s="221">
        <v>40</v>
      </c>
      <c r="K323" s="219">
        <v>48236</v>
      </c>
      <c r="L323" s="219">
        <v>67638</v>
      </c>
      <c r="M323" s="221">
        <v>28</v>
      </c>
      <c r="N323" s="219">
        <v>37555</v>
      </c>
      <c r="O323" s="219">
        <v>52572</v>
      </c>
      <c r="P323" s="221">
        <v>20</v>
      </c>
      <c r="Q323" s="219">
        <v>37555</v>
      </c>
      <c r="R323" s="219">
        <v>52572</v>
      </c>
      <c r="S323" s="221">
        <v>20</v>
      </c>
      <c r="T323" s="219">
        <v>27284</v>
      </c>
      <c r="U323" s="222">
        <v>38175</v>
      </c>
      <c r="V323" s="212" t="s">
        <v>1643</v>
      </c>
      <c r="W323" s="213" t="s">
        <v>1643</v>
      </c>
      <c r="X323" s="213" t="s">
        <v>1643</v>
      </c>
      <c r="Y323" s="213" t="s">
        <v>1644</v>
      </c>
      <c r="Z323" s="213" t="s">
        <v>1644</v>
      </c>
      <c r="AA323" s="213" t="s">
        <v>1643</v>
      </c>
      <c r="AB323" s="213" t="s">
        <v>1643</v>
      </c>
      <c r="AC323" s="213" t="s">
        <v>1643</v>
      </c>
      <c r="AD323" s="213" t="s">
        <v>1643</v>
      </c>
      <c r="AE323" s="213" t="s">
        <v>1643</v>
      </c>
      <c r="AF323" s="213" t="s">
        <v>1644</v>
      </c>
      <c r="AG323" s="214" t="s">
        <v>1643</v>
      </c>
      <c r="AH323" s="212" t="s">
        <v>1644</v>
      </c>
      <c r="AI323" s="213" t="s">
        <v>1644</v>
      </c>
      <c r="AJ323" s="213" t="s">
        <v>1644</v>
      </c>
      <c r="AK323" s="213" t="s">
        <v>1644</v>
      </c>
      <c r="AL323" s="213" t="s">
        <v>1644</v>
      </c>
      <c r="AM323" s="213" t="s">
        <v>1643</v>
      </c>
      <c r="AN323" s="213" t="s">
        <v>1643</v>
      </c>
      <c r="AO323" s="213" t="s">
        <v>1643</v>
      </c>
      <c r="AP323" s="213" t="s">
        <v>1643</v>
      </c>
      <c r="AQ323" s="213" t="s">
        <v>1644</v>
      </c>
      <c r="AR323" s="213" t="s">
        <v>1644</v>
      </c>
      <c r="AS323" s="214" t="s">
        <v>1643</v>
      </c>
    </row>
    <row r="324" spans="1:45" ht="15.75" thickBot="1" x14ac:dyDescent="0.3">
      <c r="A324" s="212" t="s">
        <v>1025</v>
      </c>
      <c r="B324" s="48" t="s">
        <v>1026</v>
      </c>
      <c r="C324" s="214" t="s">
        <v>822</v>
      </c>
      <c r="D324" s="218">
        <v>40</v>
      </c>
      <c r="E324" s="219">
        <v>53356</v>
      </c>
      <c r="F324" s="219">
        <v>72831</v>
      </c>
      <c r="G324" s="221">
        <v>40</v>
      </c>
      <c r="H324" s="219">
        <v>41996</v>
      </c>
      <c r="I324" s="219">
        <v>57325</v>
      </c>
      <c r="J324" s="220" t="s">
        <v>850</v>
      </c>
      <c r="K324" s="220" t="s">
        <v>850</v>
      </c>
      <c r="L324" s="220" t="s">
        <v>850</v>
      </c>
      <c r="M324" s="221">
        <v>20</v>
      </c>
      <c r="N324" s="219">
        <v>17836</v>
      </c>
      <c r="O324" s="219">
        <v>23712</v>
      </c>
      <c r="P324" s="220" t="s">
        <v>850</v>
      </c>
      <c r="Q324" s="220" t="s">
        <v>850</v>
      </c>
      <c r="R324" s="220" t="s">
        <v>850</v>
      </c>
      <c r="S324" s="221">
        <v>36</v>
      </c>
      <c r="T324" s="219">
        <v>33290</v>
      </c>
      <c r="U324" s="222">
        <v>46479</v>
      </c>
      <c r="V324" s="212" t="s">
        <v>1643</v>
      </c>
      <c r="W324" s="213" t="s">
        <v>1643</v>
      </c>
      <c r="X324" s="213" t="s">
        <v>1643</v>
      </c>
      <c r="Y324" s="213" t="s">
        <v>1643</v>
      </c>
      <c r="Z324" s="213" t="s">
        <v>1643</v>
      </c>
      <c r="AA324" s="213" t="s">
        <v>1643</v>
      </c>
      <c r="AB324" s="213" t="s">
        <v>1643</v>
      </c>
      <c r="AC324" s="213" t="s">
        <v>1643</v>
      </c>
      <c r="AD324" s="213" t="s">
        <v>1643</v>
      </c>
      <c r="AE324" s="213" t="s">
        <v>1643</v>
      </c>
      <c r="AF324" s="213" t="s">
        <v>1643</v>
      </c>
      <c r="AG324" s="214" t="s">
        <v>1643</v>
      </c>
      <c r="AH324" s="209" t="s">
        <v>1644</v>
      </c>
      <c r="AI324" s="210" t="s">
        <v>1644</v>
      </c>
      <c r="AJ324" s="210" t="s">
        <v>1644</v>
      </c>
      <c r="AK324" s="210" t="s">
        <v>1644</v>
      </c>
      <c r="AL324" s="210" t="s">
        <v>1644</v>
      </c>
      <c r="AM324" s="213" t="s">
        <v>1643</v>
      </c>
      <c r="AN324" s="210" t="s">
        <v>1644</v>
      </c>
      <c r="AO324" s="210" t="s">
        <v>1644</v>
      </c>
      <c r="AP324" s="210" t="s">
        <v>1644</v>
      </c>
      <c r="AQ324" s="210" t="s">
        <v>1644</v>
      </c>
      <c r="AR324" s="210" t="s">
        <v>1644</v>
      </c>
      <c r="AS324" s="211" t="s">
        <v>1644</v>
      </c>
    </row>
    <row r="325" spans="1:45" ht="15.75" thickBot="1" x14ac:dyDescent="0.3">
      <c r="A325" s="212" t="s">
        <v>1085</v>
      </c>
      <c r="B325" s="48" t="s">
        <v>1086</v>
      </c>
      <c r="C325" s="214" t="s">
        <v>822</v>
      </c>
      <c r="D325" s="223" t="s">
        <v>850</v>
      </c>
      <c r="E325" s="220" t="s">
        <v>850</v>
      </c>
      <c r="F325" s="220" t="s">
        <v>850</v>
      </c>
      <c r="G325" s="220" t="s">
        <v>850</v>
      </c>
      <c r="H325" s="220" t="s">
        <v>850</v>
      </c>
      <c r="I325" s="220" t="s">
        <v>850</v>
      </c>
      <c r="J325" s="220" t="s">
        <v>850</v>
      </c>
      <c r="K325" s="220" t="s">
        <v>850</v>
      </c>
      <c r="L325" s="220" t="s">
        <v>850</v>
      </c>
      <c r="M325" s="221">
        <v>40</v>
      </c>
      <c r="N325" s="219">
        <v>35360</v>
      </c>
      <c r="O325" s="219">
        <v>38000</v>
      </c>
      <c r="P325" s="220" t="s">
        <v>850</v>
      </c>
      <c r="Q325" s="220" t="s">
        <v>850</v>
      </c>
      <c r="R325" s="220" t="s">
        <v>850</v>
      </c>
      <c r="S325" s="221">
        <v>29</v>
      </c>
      <c r="T325" s="219">
        <v>12818</v>
      </c>
      <c r="U325" s="222">
        <v>17463</v>
      </c>
      <c r="V325" s="212" t="s">
        <v>1643</v>
      </c>
      <c r="W325" s="213" t="s">
        <v>1643</v>
      </c>
      <c r="X325" s="213" t="s">
        <v>1643</v>
      </c>
      <c r="Y325" s="213" t="s">
        <v>1643</v>
      </c>
      <c r="Z325" s="213" t="s">
        <v>1643</v>
      </c>
      <c r="AA325" s="213" t="s">
        <v>1643</v>
      </c>
      <c r="AB325" s="213" t="s">
        <v>1643</v>
      </c>
      <c r="AC325" s="213" t="s">
        <v>1643</v>
      </c>
      <c r="AD325" s="213" t="s">
        <v>1643</v>
      </c>
      <c r="AE325" s="213" t="s">
        <v>1644</v>
      </c>
      <c r="AF325" s="213" t="s">
        <v>1643</v>
      </c>
      <c r="AG325" s="214" t="s">
        <v>1643</v>
      </c>
      <c r="AH325" s="212" t="s">
        <v>1644</v>
      </c>
      <c r="AI325" s="213" t="s">
        <v>1644</v>
      </c>
      <c r="AJ325" s="213" t="s">
        <v>1644</v>
      </c>
      <c r="AK325" s="213" t="s">
        <v>1644</v>
      </c>
      <c r="AL325" s="213" t="s">
        <v>1644</v>
      </c>
      <c r="AM325" s="213" t="s">
        <v>1643</v>
      </c>
      <c r="AN325" s="213" t="s">
        <v>1644</v>
      </c>
      <c r="AO325" s="213" t="s">
        <v>1644</v>
      </c>
      <c r="AP325" s="213" t="s">
        <v>1644</v>
      </c>
      <c r="AQ325" s="213" t="s">
        <v>1644</v>
      </c>
      <c r="AR325" s="213" t="s">
        <v>1644</v>
      </c>
      <c r="AS325" s="214" t="s">
        <v>1644</v>
      </c>
    </row>
    <row r="326" spans="1:45" ht="15.75" thickBot="1" x14ac:dyDescent="0.3">
      <c r="A326" s="212" t="s">
        <v>1093</v>
      </c>
      <c r="B326" s="48" t="s">
        <v>1094</v>
      </c>
      <c r="C326" s="214" t="s">
        <v>822</v>
      </c>
      <c r="D326" s="225"/>
      <c r="E326" s="226"/>
      <c r="F326" s="226"/>
      <c r="G326" s="221">
        <v>40</v>
      </c>
      <c r="H326" s="219">
        <v>48000</v>
      </c>
      <c r="I326" s="219">
        <v>60000</v>
      </c>
      <c r="J326" s="227"/>
      <c r="K326" s="226"/>
      <c r="L326" s="226"/>
      <c r="M326" s="227"/>
      <c r="N326" s="226"/>
      <c r="O326" s="226"/>
      <c r="P326" s="227"/>
      <c r="Q326" s="226"/>
      <c r="R326" s="226"/>
      <c r="S326" s="221">
        <v>20</v>
      </c>
      <c r="T326" s="219">
        <v>17000</v>
      </c>
      <c r="U326" s="222">
        <v>25000</v>
      </c>
      <c r="V326" s="212" t="s">
        <v>1643</v>
      </c>
      <c r="W326" s="213" t="s">
        <v>1643</v>
      </c>
      <c r="X326" s="213" t="s">
        <v>1643</v>
      </c>
      <c r="Y326" s="213" t="s">
        <v>1643</v>
      </c>
      <c r="Z326" s="213" t="s">
        <v>1644</v>
      </c>
      <c r="AA326" s="213" t="s">
        <v>1643</v>
      </c>
      <c r="AB326" s="213" t="s">
        <v>1643</v>
      </c>
      <c r="AC326" s="213" t="s">
        <v>1643</v>
      </c>
      <c r="AD326" s="213" t="s">
        <v>1643</v>
      </c>
      <c r="AE326" s="213" t="s">
        <v>1643</v>
      </c>
      <c r="AF326" s="213" t="s">
        <v>1643</v>
      </c>
      <c r="AG326" s="214" t="s">
        <v>1643</v>
      </c>
      <c r="AH326" s="212" t="s">
        <v>1644</v>
      </c>
      <c r="AI326" s="213" t="s">
        <v>1644</v>
      </c>
      <c r="AJ326" s="213" t="s">
        <v>1644</v>
      </c>
      <c r="AK326" s="213" t="s">
        <v>1644</v>
      </c>
      <c r="AL326" s="213" t="s">
        <v>1644</v>
      </c>
      <c r="AM326" s="213" t="s">
        <v>1644</v>
      </c>
      <c r="AN326" s="213" t="s">
        <v>1644</v>
      </c>
      <c r="AO326" s="213" t="s">
        <v>1644</v>
      </c>
      <c r="AP326" s="213" t="s">
        <v>1644</v>
      </c>
      <c r="AQ326" s="213" t="s">
        <v>1644</v>
      </c>
      <c r="AR326" s="213" t="s">
        <v>1643</v>
      </c>
      <c r="AS326" s="214" t="s">
        <v>1644</v>
      </c>
    </row>
    <row r="327" spans="1:45" ht="15.75" thickBot="1" x14ac:dyDescent="0.3">
      <c r="A327" s="212" t="s">
        <v>1113</v>
      </c>
      <c r="B327" s="48" t="s">
        <v>1114</v>
      </c>
      <c r="C327" s="214" t="s">
        <v>822</v>
      </c>
      <c r="D327" s="218">
        <v>40</v>
      </c>
      <c r="E327" s="219">
        <v>68000</v>
      </c>
      <c r="F327" s="219">
        <v>83000</v>
      </c>
      <c r="G327" s="221">
        <v>40</v>
      </c>
      <c r="H327" s="219">
        <v>43802</v>
      </c>
      <c r="I327" s="219">
        <v>69143</v>
      </c>
      <c r="J327" s="221">
        <v>38</v>
      </c>
      <c r="K327" s="219">
        <v>53601</v>
      </c>
      <c r="L327" s="219">
        <v>67341</v>
      </c>
      <c r="M327" s="221">
        <v>38</v>
      </c>
      <c r="N327" s="219">
        <v>41742</v>
      </c>
      <c r="O327" s="219">
        <v>51193</v>
      </c>
      <c r="P327" s="221">
        <v>40</v>
      </c>
      <c r="Q327" s="219">
        <v>44194</v>
      </c>
      <c r="R327" s="219">
        <v>65496</v>
      </c>
      <c r="S327" s="221">
        <v>34</v>
      </c>
      <c r="T327" s="219">
        <v>20842</v>
      </c>
      <c r="U327" s="222">
        <v>41018</v>
      </c>
      <c r="V327" s="212" t="s">
        <v>1643</v>
      </c>
      <c r="W327" s="213" t="s">
        <v>1643</v>
      </c>
      <c r="X327" s="213" t="s">
        <v>1643</v>
      </c>
      <c r="Y327" s="213" t="s">
        <v>1643</v>
      </c>
      <c r="Z327" s="213" t="s">
        <v>1643</v>
      </c>
      <c r="AA327" s="213" t="s">
        <v>1643</v>
      </c>
      <c r="AB327" s="213" t="s">
        <v>1643</v>
      </c>
      <c r="AC327" s="213" t="s">
        <v>1643</v>
      </c>
      <c r="AD327" s="213" t="s">
        <v>1644</v>
      </c>
      <c r="AE327" s="213" t="s">
        <v>1644</v>
      </c>
      <c r="AF327" s="213" t="s">
        <v>1644</v>
      </c>
      <c r="AG327" s="214" t="s">
        <v>1643</v>
      </c>
      <c r="AH327" s="212" t="s">
        <v>1644</v>
      </c>
      <c r="AI327" s="213" t="s">
        <v>1644</v>
      </c>
      <c r="AJ327" s="213" t="s">
        <v>1644</v>
      </c>
      <c r="AK327" s="213" t="s">
        <v>1644</v>
      </c>
      <c r="AL327" s="213" t="s">
        <v>1644</v>
      </c>
      <c r="AM327" s="213" t="s">
        <v>1644</v>
      </c>
      <c r="AN327" s="213" t="s">
        <v>1644</v>
      </c>
      <c r="AO327" s="213" t="s">
        <v>1644</v>
      </c>
      <c r="AP327" s="213" t="s">
        <v>1644</v>
      </c>
      <c r="AQ327" s="213" t="s">
        <v>1644</v>
      </c>
      <c r="AR327" s="213" t="s">
        <v>1644</v>
      </c>
      <c r="AS327" s="214" t="s">
        <v>1644</v>
      </c>
    </row>
    <row r="328" spans="1:45" ht="15.75" thickBot="1" x14ac:dyDescent="0.3">
      <c r="A328" s="212" t="s">
        <v>1171</v>
      </c>
      <c r="B328" s="48" t="s">
        <v>1172</v>
      </c>
      <c r="C328" s="214" t="s">
        <v>822</v>
      </c>
      <c r="D328" s="218">
        <v>40</v>
      </c>
      <c r="E328" s="219">
        <v>36000</v>
      </c>
      <c r="F328" s="219">
        <v>42000</v>
      </c>
      <c r="G328" s="221">
        <v>40</v>
      </c>
      <c r="H328" s="219">
        <v>34000</v>
      </c>
      <c r="I328" s="219">
        <v>40000</v>
      </c>
      <c r="J328" s="220" t="s">
        <v>850</v>
      </c>
      <c r="K328" s="220" t="s">
        <v>850</v>
      </c>
      <c r="L328" s="220" t="s">
        <v>850</v>
      </c>
      <c r="M328" s="220" t="s">
        <v>850</v>
      </c>
      <c r="N328" s="220" t="s">
        <v>850</v>
      </c>
      <c r="O328" s="220" t="s">
        <v>850</v>
      </c>
      <c r="P328" s="221">
        <v>40</v>
      </c>
      <c r="Q328" s="219">
        <v>38000</v>
      </c>
      <c r="R328" s="219">
        <v>48000</v>
      </c>
      <c r="S328" s="221">
        <v>33</v>
      </c>
      <c r="T328" s="219">
        <v>22000</v>
      </c>
      <c r="U328" s="222">
        <v>33000</v>
      </c>
      <c r="V328" s="212" t="s">
        <v>1643</v>
      </c>
      <c r="W328" s="213" t="s">
        <v>1643</v>
      </c>
      <c r="X328" s="213" t="s">
        <v>1644</v>
      </c>
      <c r="Y328" s="213" t="s">
        <v>1643</v>
      </c>
      <c r="Z328" s="213" t="s">
        <v>1643</v>
      </c>
      <c r="AA328" s="213" t="s">
        <v>1643</v>
      </c>
      <c r="AB328" s="213" t="s">
        <v>1643</v>
      </c>
      <c r="AC328" s="213" t="s">
        <v>1643</v>
      </c>
      <c r="AD328" s="213" t="s">
        <v>1644</v>
      </c>
      <c r="AE328" s="213" t="s">
        <v>1644</v>
      </c>
      <c r="AF328" s="213" t="s">
        <v>1643</v>
      </c>
      <c r="AG328" s="214" t="s">
        <v>1643</v>
      </c>
      <c r="AH328" s="212" t="s">
        <v>1644</v>
      </c>
      <c r="AI328" s="213" t="s">
        <v>1644</v>
      </c>
      <c r="AJ328" s="213" t="s">
        <v>1644</v>
      </c>
      <c r="AK328" s="213" t="s">
        <v>1644</v>
      </c>
      <c r="AL328" s="213" t="s">
        <v>1644</v>
      </c>
      <c r="AM328" s="213" t="s">
        <v>1643</v>
      </c>
      <c r="AN328" s="213" t="s">
        <v>1643</v>
      </c>
      <c r="AO328" s="213" t="s">
        <v>1643</v>
      </c>
      <c r="AP328" s="213" t="s">
        <v>1644</v>
      </c>
      <c r="AQ328" s="213" t="s">
        <v>1644</v>
      </c>
      <c r="AR328" s="213" t="s">
        <v>1644</v>
      </c>
      <c r="AS328" s="214" t="s">
        <v>1644</v>
      </c>
    </row>
    <row r="329" spans="1:45" ht="15.75" thickBot="1" x14ac:dyDescent="0.3">
      <c r="A329" s="212" t="s">
        <v>1215</v>
      </c>
      <c r="B329" s="48" t="s">
        <v>1216</v>
      </c>
      <c r="C329" s="214" t="s">
        <v>822</v>
      </c>
      <c r="D329" s="218">
        <v>38</v>
      </c>
      <c r="E329" s="219">
        <v>44285</v>
      </c>
      <c r="F329" s="219">
        <v>52709</v>
      </c>
      <c r="G329" s="221">
        <v>22</v>
      </c>
      <c r="H329" s="219">
        <v>11359</v>
      </c>
      <c r="I329" s="219">
        <v>22282</v>
      </c>
      <c r="J329" s="221">
        <v>38</v>
      </c>
      <c r="K329" s="219">
        <v>36894</v>
      </c>
      <c r="L329" s="219">
        <v>45338</v>
      </c>
      <c r="M329" s="221">
        <v>38</v>
      </c>
      <c r="N329" s="219">
        <v>28470</v>
      </c>
      <c r="O329" s="219">
        <v>36894</v>
      </c>
      <c r="P329" s="221">
        <v>25</v>
      </c>
      <c r="Q329" s="219">
        <v>13923</v>
      </c>
      <c r="R329" s="219">
        <v>19487</v>
      </c>
      <c r="S329" s="221">
        <v>16</v>
      </c>
      <c r="T329" s="219">
        <v>8020</v>
      </c>
      <c r="U329" s="222">
        <v>19487</v>
      </c>
      <c r="V329" s="212" t="s">
        <v>1643</v>
      </c>
      <c r="W329" s="213" t="s">
        <v>1643</v>
      </c>
      <c r="X329" s="213" t="s">
        <v>1643</v>
      </c>
      <c r="Y329" s="213" t="s">
        <v>1644</v>
      </c>
      <c r="Z329" s="213" t="s">
        <v>1643</v>
      </c>
      <c r="AA329" s="213" t="s">
        <v>1643</v>
      </c>
      <c r="AB329" s="213" t="s">
        <v>1643</v>
      </c>
      <c r="AC329" s="213" t="s">
        <v>1643</v>
      </c>
      <c r="AD329" s="213" t="s">
        <v>1644</v>
      </c>
      <c r="AE329" s="213" t="s">
        <v>1643</v>
      </c>
      <c r="AF329" s="213" t="s">
        <v>1643</v>
      </c>
      <c r="AG329" s="214" t="s">
        <v>1644</v>
      </c>
      <c r="AH329" s="212" t="s">
        <v>1644</v>
      </c>
      <c r="AI329" s="213" t="s">
        <v>1644</v>
      </c>
      <c r="AJ329" s="213" t="s">
        <v>1644</v>
      </c>
      <c r="AK329" s="213" t="s">
        <v>1644</v>
      </c>
      <c r="AL329" s="213" t="s">
        <v>1644</v>
      </c>
      <c r="AM329" s="213" t="s">
        <v>1643</v>
      </c>
      <c r="AN329" s="213" t="s">
        <v>1643</v>
      </c>
      <c r="AO329" s="213" t="s">
        <v>1643</v>
      </c>
      <c r="AP329" s="213" t="s">
        <v>1644</v>
      </c>
      <c r="AQ329" s="213" t="s">
        <v>1643</v>
      </c>
      <c r="AR329" s="213" t="s">
        <v>1643</v>
      </c>
      <c r="AS329" s="214" t="s">
        <v>1644</v>
      </c>
    </row>
    <row r="330" spans="1:45" ht="15.75" thickBot="1" x14ac:dyDescent="0.3">
      <c r="A330" s="212" t="s">
        <v>1221</v>
      </c>
      <c r="B330" s="48" t="s">
        <v>1222</v>
      </c>
      <c r="C330" s="214" t="s">
        <v>822</v>
      </c>
      <c r="D330" s="225"/>
      <c r="E330" s="226"/>
      <c r="F330" s="226"/>
      <c r="G330" s="227"/>
      <c r="H330" s="226"/>
      <c r="I330" s="226"/>
      <c r="J330" s="227"/>
      <c r="K330" s="226"/>
      <c r="L330" s="226"/>
      <c r="M330" s="221" t="s">
        <v>3453</v>
      </c>
      <c r="N330" s="219">
        <v>37440</v>
      </c>
      <c r="O330" s="219">
        <v>40000</v>
      </c>
      <c r="P330" s="227"/>
      <c r="Q330" s="226"/>
      <c r="R330" s="226"/>
      <c r="S330" s="221">
        <v>28</v>
      </c>
      <c r="T330" s="219">
        <v>22880</v>
      </c>
      <c r="U330" s="222">
        <v>25000</v>
      </c>
      <c r="V330" s="212" t="s">
        <v>1643</v>
      </c>
      <c r="W330" s="213" t="s">
        <v>1643</v>
      </c>
      <c r="X330" s="213" t="s">
        <v>1643</v>
      </c>
      <c r="Y330" s="213" t="s">
        <v>1643</v>
      </c>
      <c r="Z330" s="213" t="s">
        <v>1643</v>
      </c>
      <c r="AA330" s="213" t="s">
        <v>1643</v>
      </c>
      <c r="AB330" s="213" t="s">
        <v>1643</v>
      </c>
      <c r="AC330" s="213" t="s">
        <v>1643</v>
      </c>
      <c r="AD330" s="213" t="s">
        <v>1643</v>
      </c>
      <c r="AE330" s="213" t="s">
        <v>1643</v>
      </c>
      <c r="AF330" s="213" t="s">
        <v>1643</v>
      </c>
      <c r="AG330" s="214" t="s">
        <v>1643</v>
      </c>
      <c r="AH330" s="212" t="s">
        <v>1644</v>
      </c>
      <c r="AI330" s="213" t="s">
        <v>1644</v>
      </c>
      <c r="AJ330" s="213" t="s">
        <v>1644</v>
      </c>
      <c r="AK330" s="213" t="s">
        <v>1644</v>
      </c>
      <c r="AL330" s="213" t="s">
        <v>1644</v>
      </c>
      <c r="AM330" s="213" t="s">
        <v>1644</v>
      </c>
      <c r="AN330" s="213" t="s">
        <v>1644</v>
      </c>
      <c r="AO330" s="213" t="s">
        <v>1644</v>
      </c>
      <c r="AP330" s="213" t="s">
        <v>1644</v>
      </c>
      <c r="AQ330" s="213" t="s">
        <v>1644</v>
      </c>
      <c r="AR330" s="213" t="s">
        <v>1644</v>
      </c>
      <c r="AS330" s="214" t="s">
        <v>1644</v>
      </c>
    </row>
    <row r="331" spans="1:45" ht="15.75" thickBot="1" x14ac:dyDescent="0.3">
      <c r="A331" s="212" t="s">
        <v>1231</v>
      </c>
      <c r="B331" s="48" t="s">
        <v>1232</v>
      </c>
      <c r="C331" s="214" t="s">
        <v>822</v>
      </c>
      <c r="D331" s="218">
        <v>40</v>
      </c>
      <c r="E331" s="219">
        <v>51018</v>
      </c>
      <c r="F331" s="219">
        <v>59954</v>
      </c>
      <c r="G331" s="221">
        <v>40</v>
      </c>
      <c r="H331" s="219">
        <v>47089</v>
      </c>
      <c r="I331" s="219">
        <v>55336</v>
      </c>
      <c r="J331" s="221">
        <v>35</v>
      </c>
      <c r="K331" s="219">
        <v>45644</v>
      </c>
      <c r="L331" s="219">
        <v>53638</v>
      </c>
      <c r="M331" s="221">
        <v>32</v>
      </c>
      <c r="N331" s="219">
        <v>36015</v>
      </c>
      <c r="O331" s="219">
        <v>46988</v>
      </c>
      <c r="P331" s="220" t="s">
        <v>850</v>
      </c>
      <c r="Q331" s="220" t="s">
        <v>850</v>
      </c>
      <c r="R331" s="220" t="s">
        <v>850</v>
      </c>
      <c r="S331" s="221">
        <v>29</v>
      </c>
      <c r="T331" s="219">
        <v>21000</v>
      </c>
      <c r="U331" s="222">
        <v>40975</v>
      </c>
      <c r="V331" s="212" t="s">
        <v>1643</v>
      </c>
      <c r="W331" s="213" t="s">
        <v>1643</v>
      </c>
      <c r="X331" s="213" t="s">
        <v>1643</v>
      </c>
      <c r="Y331" s="213" t="s">
        <v>1643</v>
      </c>
      <c r="Z331" s="213" t="s">
        <v>1643</v>
      </c>
      <c r="AA331" s="213" t="s">
        <v>1643</v>
      </c>
      <c r="AB331" s="213" t="s">
        <v>1643</v>
      </c>
      <c r="AC331" s="213" t="s">
        <v>1643</v>
      </c>
      <c r="AD331" s="213" t="s">
        <v>1643</v>
      </c>
      <c r="AE331" s="213" t="s">
        <v>1643</v>
      </c>
      <c r="AF331" s="213" t="s">
        <v>1643</v>
      </c>
      <c r="AG331" s="214" t="s">
        <v>1643</v>
      </c>
      <c r="AH331" s="212" t="s">
        <v>1644</v>
      </c>
      <c r="AI331" s="213" t="s">
        <v>1644</v>
      </c>
      <c r="AJ331" s="213" t="s">
        <v>1644</v>
      </c>
      <c r="AK331" s="213" t="s">
        <v>1644</v>
      </c>
      <c r="AL331" s="213" t="s">
        <v>1644</v>
      </c>
      <c r="AM331" s="213" t="s">
        <v>1643</v>
      </c>
      <c r="AN331" s="213" t="s">
        <v>1643</v>
      </c>
      <c r="AO331" s="213" t="s">
        <v>1643</v>
      </c>
      <c r="AP331" s="213" t="s">
        <v>1644</v>
      </c>
      <c r="AQ331" s="213" t="s">
        <v>1644</v>
      </c>
      <c r="AR331" s="213" t="s">
        <v>1643</v>
      </c>
      <c r="AS331" s="214" t="s">
        <v>1643</v>
      </c>
    </row>
    <row r="332" spans="1:45" ht="15.75" thickBot="1" x14ac:dyDescent="0.3">
      <c r="A332" s="212" t="s">
        <v>1247</v>
      </c>
      <c r="B332" s="48" t="s">
        <v>1248</v>
      </c>
      <c r="C332" s="214" t="s">
        <v>822</v>
      </c>
      <c r="D332" s="225"/>
      <c r="E332" s="226"/>
      <c r="F332" s="226"/>
      <c r="G332" s="221">
        <v>38</v>
      </c>
      <c r="H332" s="219">
        <v>50173</v>
      </c>
      <c r="I332" s="219">
        <v>57328</v>
      </c>
      <c r="J332" s="220" t="s">
        <v>850</v>
      </c>
      <c r="K332" s="220" t="s">
        <v>850</v>
      </c>
      <c r="L332" s="220" t="s">
        <v>850</v>
      </c>
      <c r="M332" s="221">
        <v>20</v>
      </c>
      <c r="N332" s="219">
        <v>18200</v>
      </c>
      <c r="O332" s="219">
        <v>18720</v>
      </c>
      <c r="P332" s="221">
        <v>38</v>
      </c>
      <c r="Q332" s="219">
        <v>41390</v>
      </c>
      <c r="R332" s="219">
        <v>47259</v>
      </c>
      <c r="S332" s="221">
        <v>20</v>
      </c>
      <c r="T332" s="219">
        <v>14040</v>
      </c>
      <c r="U332" s="222">
        <v>14820</v>
      </c>
      <c r="V332" s="212" t="s">
        <v>1643</v>
      </c>
      <c r="W332" s="213" t="s">
        <v>1643</v>
      </c>
      <c r="X332" s="213" t="s">
        <v>1643</v>
      </c>
      <c r="Y332" s="213" t="s">
        <v>1643</v>
      </c>
      <c r="Z332" s="213" t="s">
        <v>1643</v>
      </c>
      <c r="AA332" s="213" t="s">
        <v>1643</v>
      </c>
      <c r="AB332" s="213" t="s">
        <v>1643</v>
      </c>
      <c r="AC332" s="213" t="s">
        <v>1643</v>
      </c>
      <c r="AD332" s="213" t="s">
        <v>1643</v>
      </c>
      <c r="AE332" s="213" t="s">
        <v>1643</v>
      </c>
      <c r="AF332" s="213" t="s">
        <v>1643</v>
      </c>
      <c r="AG332" s="214" t="s">
        <v>1643</v>
      </c>
      <c r="AH332" s="212" t="s">
        <v>1644</v>
      </c>
      <c r="AI332" s="213" t="s">
        <v>1644</v>
      </c>
      <c r="AJ332" s="213" t="s">
        <v>1644</v>
      </c>
      <c r="AK332" s="213" t="s">
        <v>1644</v>
      </c>
      <c r="AL332" s="213" t="s">
        <v>1644</v>
      </c>
      <c r="AM332" s="213" t="s">
        <v>1644</v>
      </c>
      <c r="AN332" s="213" t="s">
        <v>1644</v>
      </c>
      <c r="AO332" s="213" t="s">
        <v>1644</v>
      </c>
      <c r="AP332" s="213" t="s">
        <v>1644</v>
      </c>
      <c r="AQ332" s="213" t="s">
        <v>1644</v>
      </c>
      <c r="AR332" s="210" t="s">
        <v>1644</v>
      </c>
      <c r="AS332" s="214" t="s">
        <v>1644</v>
      </c>
    </row>
    <row r="333" spans="1:45" ht="15.75" thickBot="1" x14ac:dyDescent="0.3">
      <c r="A333" s="212" t="s">
        <v>1267</v>
      </c>
      <c r="B333" s="48" t="s">
        <v>1268</v>
      </c>
      <c r="C333" s="214" t="s">
        <v>822</v>
      </c>
      <c r="D333" s="218">
        <v>40</v>
      </c>
      <c r="E333" s="219">
        <v>44068</v>
      </c>
      <c r="F333" s="219">
        <v>44068</v>
      </c>
      <c r="G333" s="221">
        <v>35</v>
      </c>
      <c r="H333" s="219">
        <v>31209</v>
      </c>
      <c r="I333" s="219">
        <v>31209</v>
      </c>
      <c r="J333" s="220" t="s">
        <v>850</v>
      </c>
      <c r="K333" s="220" t="s">
        <v>850</v>
      </c>
      <c r="L333" s="220" t="s">
        <v>850</v>
      </c>
      <c r="M333" s="221">
        <v>25</v>
      </c>
      <c r="N333" s="219">
        <v>17000</v>
      </c>
      <c r="O333" s="219">
        <v>25000</v>
      </c>
      <c r="P333" s="220" t="s">
        <v>850</v>
      </c>
      <c r="Q333" s="220" t="s">
        <v>850</v>
      </c>
      <c r="R333" s="220" t="s">
        <v>850</v>
      </c>
      <c r="S333" s="221">
        <v>30</v>
      </c>
      <c r="T333" s="219">
        <v>9000</v>
      </c>
      <c r="U333" s="222">
        <v>22000</v>
      </c>
      <c r="V333" s="209" t="s">
        <v>1644</v>
      </c>
      <c r="W333" s="210" t="s">
        <v>1644</v>
      </c>
      <c r="X333" s="210" t="s">
        <v>1644</v>
      </c>
      <c r="Y333" s="210" t="s">
        <v>1644</v>
      </c>
      <c r="Z333" s="210" t="s">
        <v>1644</v>
      </c>
      <c r="AA333" s="210" t="s">
        <v>1644</v>
      </c>
      <c r="AB333" s="210" t="s">
        <v>1644</v>
      </c>
      <c r="AC333" s="210" t="s">
        <v>1644</v>
      </c>
      <c r="AD333" s="210" t="s">
        <v>1644</v>
      </c>
      <c r="AE333" s="210" t="s">
        <v>1644</v>
      </c>
      <c r="AF333" s="210" t="s">
        <v>1644</v>
      </c>
      <c r="AG333" s="211" t="s">
        <v>1644</v>
      </c>
      <c r="AH333" s="209" t="s">
        <v>1644</v>
      </c>
      <c r="AI333" s="210" t="s">
        <v>1644</v>
      </c>
      <c r="AJ333" s="210" t="s">
        <v>1644</v>
      </c>
      <c r="AK333" s="210" t="s">
        <v>1644</v>
      </c>
      <c r="AL333" s="210" t="s">
        <v>1644</v>
      </c>
      <c r="AM333" s="210" t="s">
        <v>1644</v>
      </c>
      <c r="AN333" s="210" t="s">
        <v>1644</v>
      </c>
      <c r="AO333" s="210" t="s">
        <v>1644</v>
      </c>
      <c r="AP333" s="210" t="s">
        <v>1644</v>
      </c>
      <c r="AQ333" s="210" t="s">
        <v>1644</v>
      </c>
      <c r="AR333" s="210" t="s">
        <v>1644</v>
      </c>
      <c r="AS333" s="211" t="s">
        <v>1644</v>
      </c>
    </row>
    <row r="334" spans="1:45" ht="15.75" thickBot="1" x14ac:dyDescent="0.3">
      <c r="A334" s="212" t="s">
        <v>1323</v>
      </c>
      <c r="B334" s="48" t="s">
        <v>1324</v>
      </c>
      <c r="C334" s="214" t="s">
        <v>822</v>
      </c>
      <c r="D334" s="218">
        <v>40</v>
      </c>
      <c r="E334" s="219">
        <v>70000</v>
      </c>
      <c r="F334" s="219">
        <v>72000</v>
      </c>
      <c r="G334" s="221">
        <v>40</v>
      </c>
      <c r="H334" s="219">
        <v>54170</v>
      </c>
      <c r="I334" s="219">
        <v>62377</v>
      </c>
      <c r="J334" s="221">
        <v>40</v>
      </c>
      <c r="K334" s="219">
        <v>47621</v>
      </c>
      <c r="L334" s="219">
        <v>55063</v>
      </c>
      <c r="M334" s="221">
        <v>40</v>
      </c>
      <c r="N334" s="219">
        <v>43513</v>
      </c>
      <c r="O334" s="219">
        <v>46510</v>
      </c>
      <c r="P334" s="221">
        <v>40</v>
      </c>
      <c r="Q334" s="219">
        <v>48952</v>
      </c>
      <c r="R334" s="219">
        <v>61913</v>
      </c>
      <c r="S334" s="221">
        <v>21</v>
      </c>
      <c r="T334" s="219">
        <v>14349</v>
      </c>
      <c r="U334" s="222">
        <v>18913</v>
      </c>
      <c r="V334" s="212" t="s">
        <v>1643</v>
      </c>
      <c r="W334" s="213" t="s">
        <v>1643</v>
      </c>
      <c r="X334" s="213" t="s">
        <v>1643</v>
      </c>
      <c r="Y334" s="213" t="s">
        <v>1643</v>
      </c>
      <c r="Z334" s="213" t="s">
        <v>1643</v>
      </c>
      <c r="AA334" s="213" t="s">
        <v>1643</v>
      </c>
      <c r="AB334" s="213" t="s">
        <v>1643</v>
      </c>
      <c r="AC334" s="213" t="s">
        <v>1643</v>
      </c>
      <c r="AD334" s="213" t="s">
        <v>1643</v>
      </c>
      <c r="AE334" s="213" t="s">
        <v>1643</v>
      </c>
      <c r="AF334" s="213" t="s">
        <v>1643</v>
      </c>
      <c r="AG334" s="214" t="s">
        <v>1643</v>
      </c>
      <c r="AH334" s="212" t="s">
        <v>1644</v>
      </c>
      <c r="AI334" s="213" t="s">
        <v>1644</v>
      </c>
      <c r="AJ334" s="213" t="s">
        <v>1644</v>
      </c>
      <c r="AK334" s="213" t="s">
        <v>1644</v>
      </c>
      <c r="AL334" s="213" t="s">
        <v>1644</v>
      </c>
      <c r="AM334" s="213" t="s">
        <v>1643</v>
      </c>
      <c r="AN334" s="213" t="s">
        <v>1643</v>
      </c>
      <c r="AO334" s="213" t="s">
        <v>1643</v>
      </c>
      <c r="AP334" s="213" t="s">
        <v>1644</v>
      </c>
      <c r="AQ334" s="213" t="s">
        <v>1644</v>
      </c>
      <c r="AR334" s="213" t="s">
        <v>1644</v>
      </c>
      <c r="AS334" s="214" t="s">
        <v>1643</v>
      </c>
    </row>
    <row r="335" spans="1:45" ht="15.75" thickBot="1" x14ac:dyDescent="0.3">
      <c r="A335" s="212" t="s">
        <v>1329</v>
      </c>
      <c r="B335" s="48" t="s">
        <v>1330</v>
      </c>
      <c r="C335" s="214" t="s">
        <v>822</v>
      </c>
      <c r="D335" s="223" t="s">
        <v>850</v>
      </c>
      <c r="E335" s="220" t="s">
        <v>850</v>
      </c>
      <c r="F335" s="220" t="s">
        <v>850</v>
      </c>
      <c r="G335" s="220" t="s">
        <v>850</v>
      </c>
      <c r="H335" s="220" t="s">
        <v>850</v>
      </c>
      <c r="I335" s="220" t="s">
        <v>850</v>
      </c>
      <c r="J335" s="221">
        <v>40</v>
      </c>
      <c r="K335" s="219">
        <v>44652</v>
      </c>
      <c r="L335" s="219">
        <v>55487</v>
      </c>
      <c r="M335" s="221">
        <v>40</v>
      </c>
      <c r="N335" s="219">
        <v>40658</v>
      </c>
      <c r="O335" s="219">
        <v>50296</v>
      </c>
      <c r="P335" s="221">
        <v>20</v>
      </c>
      <c r="Q335" s="219">
        <v>34000</v>
      </c>
      <c r="R335" s="219">
        <v>41642</v>
      </c>
      <c r="S335" s="221">
        <v>16</v>
      </c>
      <c r="T335" s="219">
        <v>13000</v>
      </c>
      <c r="U335" s="222">
        <v>15800</v>
      </c>
      <c r="V335" s="212" t="s">
        <v>1643</v>
      </c>
      <c r="W335" s="213" t="s">
        <v>1643</v>
      </c>
      <c r="X335" s="213" t="s">
        <v>1643</v>
      </c>
      <c r="Y335" s="213" t="s">
        <v>1644</v>
      </c>
      <c r="Z335" s="213" t="s">
        <v>1643</v>
      </c>
      <c r="AA335" s="213" t="s">
        <v>1643</v>
      </c>
      <c r="AB335" s="213" t="s">
        <v>1643</v>
      </c>
      <c r="AC335" s="213" t="s">
        <v>1643</v>
      </c>
      <c r="AD335" s="213" t="s">
        <v>1643</v>
      </c>
      <c r="AE335" s="213" t="s">
        <v>1643</v>
      </c>
      <c r="AF335" s="213" t="s">
        <v>1643</v>
      </c>
      <c r="AG335" s="214" t="s">
        <v>1643</v>
      </c>
      <c r="AH335" s="212" t="s">
        <v>1644</v>
      </c>
      <c r="AI335" s="213" t="s">
        <v>1644</v>
      </c>
      <c r="AJ335" s="213" t="s">
        <v>1644</v>
      </c>
      <c r="AK335" s="213" t="s">
        <v>1644</v>
      </c>
      <c r="AL335" s="213" t="s">
        <v>1644</v>
      </c>
      <c r="AM335" s="213" t="s">
        <v>1644</v>
      </c>
      <c r="AN335" s="213" t="s">
        <v>1643</v>
      </c>
      <c r="AO335" s="213" t="s">
        <v>1643</v>
      </c>
      <c r="AP335" s="213" t="s">
        <v>1643</v>
      </c>
      <c r="AQ335" s="213" t="s">
        <v>1643</v>
      </c>
      <c r="AR335" s="213" t="s">
        <v>1644</v>
      </c>
      <c r="AS335" s="214" t="s">
        <v>1643</v>
      </c>
    </row>
    <row r="336" spans="1:45" ht="15.75" thickBot="1" x14ac:dyDescent="0.3">
      <c r="A336" s="212" t="s">
        <v>1335</v>
      </c>
      <c r="B336" s="48" t="s">
        <v>1336</v>
      </c>
      <c r="C336" s="214" t="s">
        <v>822</v>
      </c>
      <c r="D336" s="223" t="s">
        <v>850</v>
      </c>
      <c r="E336" s="220" t="s">
        <v>850</v>
      </c>
      <c r="F336" s="220" t="s">
        <v>850</v>
      </c>
      <c r="G336" s="221">
        <v>38</v>
      </c>
      <c r="H336" s="219">
        <v>48500</v>
      </c>
      <c r="I336" s="219">
        <v>63700</v>
      </c>
      <c r="J336" s="221">
        <v>38</v>
      </c>
      <c r="K336" s="219">
        <v>36500</v>
      </c>
      <c r="L336" s="219">
        <v>48000</v>
      </c>
      <c r="M336" s="221">
        <v>26</v>
      </c>
      <c r="N336" s="219">
        <v>36500</v>
      </c>
      <c r="O336" s="219">
        <v>48000</v>
      </c>
      <c r="P336" s="221">
        <v>38</v>
      </c>
      <c r="Q336" s="219">
        <v>42900</v>
      </c>
      <c r="R336" s="219">
        <v>61620</v>
      </c>
      <c r="S336" s="221">
        <v>26</v>
      </c>
      <c r="T336" s="219">
        <v>22425</v>
      </c>
      <c r="U336" s="222">
        <v>32750</v>
      </c>
      <c r="V336" s="212" t="s">
        <v>1643</v>
      </c>
      <c r="W336" s="213" t="s">
        <v>1643</v>
      </c>
      <c r="X336" s="213" t="s">
        <v>1643</v>
      </c>
      <c r="Y336" s="213" t="s">
        <v>1643</v>
      </c>
      <c r="Z336" s="213" t="s">
        <v>1644</v>
      </c>
      <c r="AA336" s="213" t="s">
        <v>1643</v>
      </c>
      <c r="AB336" s="213" t="s">
        <v>1643</v>
      </c>
      <c r="AC336" s="213" t="s">
        <v>1643</v>
      </c>
      <c r="AD336" s="213" t="s">
        <v>1644</v>
      </c>
      <c r="AE336" s="213" t="s">
        <v>1643</v>
      </c>
      <c r="AF336" s="213" t="s">
        <v>1643</v>
      </c>
      <c r="AG336" s="214" t="s">
        <v>1644</v>
      </c>
      <c r="AH336" s="212" t="s">
        <v>1644</v>
      </c>
      <c r="AI336" s="213" t="s">
        <v>1644</v>
      </c>
      <c r="AJ336" s="213" t="s">
        <v>1644</v>
      </c>
      <c r="AK336" s="213" t="s">
        <v>1644</v>
      </c>
      <c r="AL336" s="213" t="s">
        <v>1644</v>
      </c>
      <c r="AM336" s="213" t="s">
        <v>1643</v>
      </c>
      <c r="AN336" s="213" t="s">
        <v>1643</v>
      </c>
      <c r="AO336" s="213" t="s">
        <v>1643</v>
      </c>
      <c r="AP336" s="213" t="s">
        <v>1644</v>
      </c>
      <c r="AQ336" s="213" t="s">
        <v>1644</v>
      </c>
      <c r="AR336" s="213" t="s">
        <v>1643</v>
      </c>
      <c r="AS336" s="214" t="s">
        <v>1644</v>
      </c>
    </row>
    <row r="337" spans="1:45" ht="15.75" thickBot="1" x14ac:dyDescent="0.3">
      <c r="A337" s="212" t="s">
        <v>1363</v>
      </c>
      <c r="B337" s="48" t="s">
        <v>1364</v>
      </c>
      <c r="C337" s="214" t="s">
        <v>822</v>
      </c>
      <c r="D337" s="218">
        <v>40</v>
      </c>
      <c r="E337" s="219">
        <v>53000</v>
      </c>
      <c r="F337" s="219">
        <v>55000</v>
      </c>
      <c r="G337" s="221">
        <v>39</v>
      </c>
      <c r="H337" s="219">
        <v>44900</v>
      </c>
      <c r="I337" s="219">
        <v>48800</v>
      </c>
      <c r="J337" s="221">
        <v>39</v>
      </c>
      <c r="K337" s="219">
        <v>27900</v>
      </c>
      <c r="L337" s="219">
        <v>31100</v>
      </c>
      <c r="M337" s="221">
        <v>39</v>
      </c>
      <c r="N337" s="219">
        <v>26400</v>
      </c>
      <c r="O337" s="219">
        <v>29600</v>
      </c>
      <c r="P337" s="227"/>
      <c r="Q337" s="226"/>
      <c r="R337" s="226"/>
      <c r="S337" s="221">
        <v>20</v>
      </c>
      <c r="T337" s="219">
        <v>12400</v>
      </c>
      <c r="U337" s="222">
        <v>16900</v>
      </c>
      <c r="V337" s="212" t="s">
        <v>1643</v>
      </c>
      <c r="W337" s="213" t="s">
        <v>1643</v>
      </c>
      <c r="X337" s="213" t="s">
        <v>1643</v>
      </c>
      <c r="Y337" s="213" t="s">
        <v>1643</v>
      </c>
      <c r="Z337" s="213" t="s">
        <v>1643</v>
      </c>
      <c r="AA337" s="213" t="s">
        <v>1643</v>
      </c>
      <c r="AB337" s="213" t="s">
        <v>1643</v>
      </c>
      <c r="AC337" s="213" t="s">
        <v>1643</v>
      </c>
      <c r="AD337" s="213" t="s">
        <v>1643</v>
      </c>
      <c r="AE337" s="213" t="s">
        <v>1643</v>
      </c>
      <c r="AF337" s="213" t="s">
        <v>1643</v>
      </c>
      <c r="AG337" s="214" t="s">
        <v>1643</v>
      </c>
      <c r="AH337" s="212" t="s">
        <v>1644</v>
      </c>
      <c r="AI337" s="213" t="s">
        <v>1644</v>
      </c>
      <c r="AJ337" s="213" t="s">
        <v>1643</v>
      </c>
      <c r="AK337" s="213" t="s">
        <v>1644</v>
      </c>
      <c r="AL337" s="213" t="s">
        <v>1644</v>
      </c>
      <c r="AM337" s="213" t="s">
        <v>1643</v>
      </c>
      <c r="AN337" s="213" t="s">
        <v>1643</v>
      </c>
      <c r="AO337" s="213" t="s">
        <v>1643</v>
      </c>
      <c r="AP337" s="213" t="s">
        <v>1644</v>
      </c>
      <c r="AQ337" s="213" t="s">
        <v>1644</v>
      </c>
      <c r="AR337" s="213" t="s">
        <v>1643</v>
      </c>
      <c r="AS337" s="214" t="s">
        <v>1643</v>
      </c>
    </row>
    <row r="338" spans="1:45" ht="15.75" thickBot="1" x14ac:dyDescent="0.3">
      <c r="A338" s="212" t="s">
        <v>1373</v>
      </c>
      <c r="B338" s="48" t="s">
        <v>1374</v>
      </c>
      <c r="C338" s="214" t="s">
        <v>822</v>
      </c>
      <c r="D338" s="223" t="s">
        <v>850</v>
      </c>
      <c r="E338" s="220" t="s">
        <v>850</v>
      </c>
      <c r="F338" s="220" t="s">
        <v>850</v>
      </c>
      <c r="G338" s="221">
        <v>40</v>
      </c>
      <c r="H338" s="219">
        <v>57000</v>
      </c>
      <c r="I338" s="219">
        <v>82100</v>
      </c>
      <c r="J338" s="221">
        <v>40</v>
      </c>
      <c r="K338" s="219">
        <v>50400</v>
      </c>
      <c r="L338" s="219">
        <v>70600</v>
      </c>
      <c r="M338" s="221">
        <v>40</v>
      </c>
      <c r="N338" s="219">
        <v>46800</v>
      </c>
      <c r="O338" s="219">
        <v>63700</v>
      </c>
      <c r="P338" s="221">
        <v>40</v>
      </c>
      <c r="Q338" s="219">
        <v>57000</v>
      </c>
      <c r="R338" s="219">
        <v>82100</v>
      </c>
      <c r="S338" s="221">
        <v>24</v>
      </c>
      <c r="T338" s="219">
        <v>17759</v>
      </c>
      <c r="U338" s="222">
        <v>20879</v>
      </c>
      <c r="V338" s="212" t="s">
        <v>1643</v>
      </c>
      <c r="W338" s="213" t="s">
        <v>1643</v>
      </c>
      <c r="X338" s="213" t="s">
        <v>1643</v>
      </c>
      <c r="Y338" s="213" t="s">
        <v>1643</v>
      </c>
      <c r="Z338" s="213" t="s">
        <v>1643</v>
      </c>
      <c r="AA338" s="213" t="s">
        <v>1643</v>
      </c>
      <c r="AB338" s="213" t="s">
        <v>1643</v>
      </c>
      <c r="AC338" s="213" t="s">
        <v>1643</v>
      </c>
      <c r="AD338" s="213" t="s">
        <v>1643</v>
      </c>
      <c r="AE338" s="213" t="s">
        <v>1643</v>
      </c>
      <c r="AF338" s="213" t="s">
        <v>1643</v>
      </c>
      <c r="AG338" s="214" t="s">
        <v>1644</v>
      </c>
      <c r="AH338" s="212" t="s">
        <v>1644</v>
      </c>
      <c r="AI338" s="213" t="s">
        <v>1644</v>
      </c>
      <c r="AJ338" s="213" t="s">
        <v>1644</v>
      </c>
      <c r="AK338" s="213" t="s">
        <v>1644</v>
      </c>
      <c r="AL338" s="213" t="s">
        <v>1644</v>
      </c>
      <c r="AM338" s="213" t="s">
        <v>1643</v>
      </c>
      <c r="AN338" s="213" t="s">
        <v>1643</v>
      </c>
      <c r="AO338" s="213" t="s">
        <v>1643</v>
      </c>
      <c r="AP338" s="213" t="s">
        <v>1643</v>
      </c>
      <c r="AQ338" s="213" t="s">
        <v>1644</v>
      </c>
      <c r="AR338" s="213" t="s">
        <v>1644</v>
      </c>
      <c r="AS338" s="214" t="s">
        <v>1644</v>
      </c>
    </row>
    <row r="339" spans="1:45" ht="15.75" thickBot="1" x14ac:dyDescent="0.3">
      <c r="A339" s="212" t="s">
        <v>1401</v>
      </c>
      <c r="B339" s="48" t="s">
        <v>1402</v>
      </c>
      <c r="C339" s="214" t="s">
        <v>822</v>
      </c>
      <c r="D339" s="223" t="s">
        <v>850</v>
      </c>
      <c r="E339" s="220" t="s">
        <v>850</v>
      </c>
      <c r="F339" s="220" t="s">
        <v>850</v>
      </c>
      <c r="G339" s="221">
        <v>40</v>
      </c>
      <c r="H339" s="219">
        <v>51500</v>
      </c>
      <c r="I339" s="219">
        <v>68193</v>
      </c>
      <c r="J339" s="221">
        <v>40</v>
      </c>
      <c r="K339" s="219">
        <v>41267</v>
      </c>
      <c r="L339" s="219">
        <v>56550</v>
      </c>
      <c r="M339" s="221">
        <v>20</v>
      </c>
      <c r="N339" s="219">
        <v>19656</v>
      </c>
      <c r="O339" s="219">
        <v>25376</v>
      </c>
      <c r="P339" s="221">
        <v>40</v>
      </c>
      <c r="Q339" s="219">
        <v>55000</v>
      </c>
      <c r="R339" s="219">
        <v>76032</v>
      </c>
      <c r="S339" s="221">
        <v>20</v>
      </c>
      <c r="T339" s="219">
        <v>12480</v>
      </c>
      <c r="U339" s="222">
        <v>16388</v>
      </c>
      <c r="V339" s="212" t="s">
        <v>1643</v>
      </c>
      <c r="W339" s="213" t="s">
        <v>1643</v>
      </c>
      <c r="X339" s="213" t="s">
        <v>1643</v>
      </c>
      <c r="Y339" s="213" t="s">
        <v>1643</v>
      </c>
      <c r="Z339" s="213" t="s">
        <v>1643</v>
      </c>
      <c r="AA339" s="213" t="s">
        <v>1643</v>
      </c>
      <c r="AB339" s="213" t="s">
        <v>1643</v>
      </c>
      <c r="AC339" s="213" t="s">
        <v>1643</v>
      </c>
      <c r="AD339" s="213" t="s">
        <v>1643</v>
      </c>
      <c r="AE339" s="213" t="s">
        <v>1643</v>
      </c>
      <c r="AF339" s="213" t="s">
        <v>1644</v>
      </c>
      <c r="AG339" s="214" t="s">
        <v>1643</v>
      </c>
      <c r="AH339" s="212" t="s">
        <v>1644</v>
      </c>
      <c r="AI339" s="213" t="s">
        <v>1644</v>
      </c>
      <c r="AJ339" s="213" t="s">
        <v>1644</v>
      </c>
      <c r="AK339" s="213" t="s">
        <v>1644</v>
      </c>
      <c r="AL339" s="213" t="s">
        <v>1644</v>
      </c>
      <c r="AM339" s="213" t="s">
        <v>1643</v>
      </c>
      <c r="AN339" s="213" t="s">
        <v>1644</v>
      </c>
      <c r="AO339" s="213" t="s">
        <v>1644</v>
      </c>
      <c r="AP339" s="213" t="s">
        <v>1644</v>
      </c>
      <c r="AQ339" s="213" t="s">
        <v>1644</v>
      </c>
      <c r="AR339" s="213" t="s">
        <v>1644</v>
      </c>
      <c r="AS339" s="214" t="s">
        <v>1644</v>
      </c>
    </row>
    <row r="340" spans="1:45" ht="15.75" thickBot="1" x14ac:dyDescent="0.3">
      <c r="A340" s="212" t="s">
        <v>1425</v>
      </c>
      <c r="B340" s="48" t="s">
        <v>1426</v>
      </c>
      <c r="C340" s="214" t="s">
        <v>822</v>
      </c>
      <c r="D340" s="223" t="s">
        <v>850</v>
      </c>
      <c r="E340" s="220" t="s">
        <v>850</v>
      </c>
      <c r="F340" s="220" t="s">
        <v>850</v>
      </c>
      <c r="G340" s="221">
        <v>40</v>
      </c>
      <c r="H340" s="219">
        <v>37000</v>
      </c>
      <c r="I340" s="219">
        <v>85300</v>
      </c>
      <c r="J340" s="220" t="s">
        <v>850</v>
      </c>
      <c r="K340" s="220" t="s">
        <v>850</v>
      </c>
      <c r="L340" s="220" t="s">
        <v>850</v>
      </c>
      <c r="M340" s="221">
        <v>40</v>
      </c>
      <c r="N340" s="219">
        <v>36000</v>
      </c>
      <c r="O340" s="219">
        <v>58000</v>
      </c>
      <c r="P340" s="221">
        <v>40</v>
      </c>
      <c r="Q340" s="219">
        <v>28600</v>
      </c>
      <c r="R340" s="219">
        <v>37800</v>
      </c>
      <c r="S340" s="221">
        <v>20</v>
      </c>
      <c r="T340" s="219">
        <v>9900</v>
      </c>
      <c r="U340" s="222">
        <v>33280</v>
      </c>
      <c r="V340" s="212" t="s">
        <v>1643</v>
      </c>
      <c r="W340" s="213" t="s">
        <v>1643</v>
      </c>
      <c r="X340" s="213" t="s">
        <v>1643</v>
      </c>
      <c r="Y340" s="213" t="s">
        <v>1644</v>
      </c>
      <c r="Z340" s="213" t="s">
        <v>1643</v>
      </c>
      <c r="AA340" s="213" t="s">
        <v>1643</v>
      </c>
      <c r="AB340" s="213" t="s">
        <v>1643</v>
      </c>
      <c r="AC340" s="213" t="s">
        <v>1643</v>
      </c>
      <c r="AD340" s="213" t="s">
        <v>1643</v>
      </c>
      <c r="AE340" s="213" t="s">
        <v>1643</v>
      </c>
      <c r="AF340" s="213" t="s">
        <v>1643</v>
      </c>
      <c r="AG340" s="214" t="s">
        <v>1643</v>
      </c>
      <c r="AH340" s="212" t="s">
        <v>1644</v>
      </c>
      <c r="AI340" s="213" t="s">
        <v>1644</v>
      </c>
      <c r="AJ340" s="213" t="s">
        <v>1644</v>
      </c>
      <c r="AK340" s="213" t="s">
        <v>1644</v>
      </c>
      <c r="AL340" s="213" t="s">
        <v>1644</v>
      </c>
      <c r="AM340" s="213" t="s">
        <v>1644</v>
      </c>
      <c r="AN340" s="213" t="s">
        <v>1644</v>
      </c>
      <c r="AO340" s="213" t="s">
        <v>1643</v>
      </c>
      <c r="AP340" s="213" t="s">
        <v>1644</v>
      </c>
      <c r="AQ340" s="213" t="s">
        <v>1643</v>
      </c>
      <c r="AR340" s="213" t="s">
        <v>1643</v>
      </c>
      <c r="AS340" s="214" t="s">
        <v>1644</v>
      </c>
    </row>
    <row r="341" spans="1:45" ht="15.75" thickBot="1" x14ac:dyDescent="0.3">
      <c r="A341" s="212" t="s">
        <v>1427</v>
      </c>
      <c r="B341" s="48" t="s">
        <v>1428</v>
      </c>
      <c r="C341" s="214" t="s">
        <v>822</v>
      </c>
      <c r="D341" s="218">
        <v>40</v>
      </c>
      <c r="E341" s="219">
        <v>47000</v>
      </c>
      <c r="F341" s="219">
        <v>55000</v>
      </c>
      <c r="G341" s="220" t="s">
        <v>850</v>
      </c>
      <c r="H341" s="220" t="s">
        <v>850</v>
      </c>
      <c r="I341" s="220" t="s">
        <v>850</v>
      </c>
      <c r="J341" s="220" t="s">
        <v>850</v>
      </c>
      <c r="K341" s="220" t="s">
        <v>850</v>
      </c>
      <c r="L341" s="220" t="s">
        <v>850</v>
      </c>
      <c r="M341" s="221">
        <v>40</v>
      </c>
      <c r="N341" s="219">
        <v>40000</v>
      </c>
      <c r="O341" s="219">
        <v>45000</v>
      </c>
      <c r="P341" s="220" t="s">
        <v>850</v>
      </c>
      <c r="Q341" s="220" t="s">
        <v>850</v>
      </c>
      <c r="R341" s="220" t="s">
        <v>850</v>
      </c>
      <c r="S341" s="221">
        <v>25</v>
      </c>
      <c r="T341" s="219">
        <v>14625</v>
      </c>
      <c r="U341" s="222">
        <v>16000</v>
      </c>
      <c r="V341" s="212" t="s">
        <v>1643</v>
      </c>
      <c r="W341" s="213" t="s">
        <v>1643</v>
      </c>
      <c r="X341" s="213" t="s">
        <v>1643</v>
      </c>
      <c r="Y341" s="213" t="s">
        <v>1643</v>
      </c>
      <c r="Z341" s="213" t="s">
        <v>1643</v>
      </c>
      <c r="AA341" s="213" t="s">
        <v>1643</v>
      </c>
      <c r="AB341" s="213" t="s">
        <v>1643</v>
      </c>
      <c r="AC341" s="213" t="s">
        <v>1643</v>
      </c>
      <c r="AD341" s="213" t="s">
        <v>1643</v>
      </c>
      <c r="AE341" s="213" t="s">
        <v>1643</v>
      </c>
      <c r="AF341" s="213" t="s">
        <v>1643</v>
      </c>
      <c r="AG341" s="214" t="s">
        <v>1644</v>
      </c>
      <c r="AH341" s="212" t="s">
        <v>1644</v>
      </c>
      <c r="AI341" s="213" t="s">
        <v>1644</v>
      </c>
      <c r="AJ341" s="213" t="s">
        <v>1644</v>
      </c>
      <c r="AK341" s="213" t="s">
        <v>1644</v>
      </c>
      <c r="AL341" s="213" t="s">
        <v>1644</v>
      </c>
      <c r="AM341" s="213" t="s">
        <v>1643</v>
      </c>
      <c r="AN341" s="213" t="s">
        <v>1644</v>
      </c>
      <c r="AO341" s="213" t="s">
        <v>1644</v>
      </c>
      <c r="AP341" s="213" t="s">
        <v>1644</v>
      </c>
      <c r="AQ341" s="213" t="s">
        <v>1644</v>
      </c>
      <c r="AR341" s="213" t="s">
        <v>1644</v>
      </c>
      <c r="AS341" s="214" t="s">
        <v>1644</v>
      </c>
    </row>
    <row r="342" spans="1:45" ht="15.75" thickBot="1" x14ac:dyDescent="0.3">
      <c r="A342" s="212" t="s">
        <v>1431</v>
      </c>
      <c r="B342" s="48" t="s">
        <v>1432</v>
      </c>
      <c r="C342" s="214" t="s">
        <v>822</v>
      </c>
      <c r="D342" s="218">
        <v>40</v>
      </c>
      <c r="E342" s="219">
        <v>68197</v>
      </c>
      <c r="F342" s="219">
        <v>71189</v>
      </c>
      <c r="G342" s="221">
        <v>40</v>
      </c>
      <c r="H342" s="219">
        <v>53845</v>
      </c>
      <c r="I342" s="219">
        <v>53845</v>
      </c>
      <c r="J342" s="221">
        <v>40</v>
      </c>
      <c r="K342" s="219">
        <v>50014</v>
      </c>
      <c r="L342" s="219">
        <v>50014</v>
      </c>
      <c r="M342" s="221">
        <v>28</v>
      </c>
      <c r="N342" s="219">
        <v>34580</v>
      </c>
      <c r="O342" s="219">
        <v>36036</v>
      </c>
      <c r="P342" s="220" t="s">
        <v>850</v>
      </c>
      <c r="Q342" s="220" t="s">
        <v>850</v>
      </c>
      <c r="R342" s="220" t="s">
        <v>850</v>
      </c>
      <c r="S342" s="221">
        <v>23</v>
      </c>
      <c r="T342" s="219">
        <v>14352</v>
      </c>
      <c r="U342" s="222">
        <v>17641</v>
      </c>
      <c r="V342" s="212" t="s">
        <v>1643</v>
      </c>
      <c r="W342" s="213" t="s">
        <v>1643</v>
      </c>
      <c r="X342" s="213" t="s">
        <v>1643</v>
      </c>
      <c r="Y342" s="213" t="s">
        <v>1643</v>
      </c>
      <c r="Z342" s="213" t="s">
        <v>1643</v>
      </c>
      <c r="AA342" s="213" t="s">
        <v>1643</v>
      </c>
      <c r="AB342" s="213" t="s">
        <v>1643</v>
      </c>
      <c r="AC342" s="213" t="s">
        <v>1643</v>
      </c>
      <c r="AD342" s="213" t="s">
        <v>1643</v>
      </c>
      <c r="AE342" s="213" t="s">
        <v>1643</v>
      </c>
      <c r="AF342" s="213" t="s">
        <v>1643</v>
      </c>
      <c r="AG342" s="214" t="s">
        <v>1644</v>
      </c>
      <c r="AH342" s="212" t="s">
        <v>1644</v>
      </c>
      <c r="AI342" s="213" t="s">
        <v>1644</v>
      </c>
      <c r="AJ342" s="213" t="s">
        <v>1644</v>
      </c>
      <c r="AK342" s="213" t="s">
        <v>1644</v>
      </c>
      <c r="AL342" s="213" t="s">
        <v>1644</v>
      </c>
      <c r="AM342" s="213" t="s">
        <v>1644</v>
      </c>
      <c r="AN342" s="213" t="s">
        <v>1644</v>
      </c>
      <c r="AO342" s="213" t="s">
        <v>1644</v>
      </c>
      <c r="AP342" s="213" t="s">
        <v>1643</v>
      </c>
      <c r="AQ342" s="213" t="s">
        <v>1644</v>
      </c>
      <c r="AR342" s="213" t="s">
        <v>1644</v>
      </c>
      <c r="AS342" s="214" t="s">
        <v>1644</v>
      </c>
    </row>
    <row r="343" spans="1:45" ht="15.75" thickBot="1" x14ac:dyDescent="0.3">
      <c r="A343" s="212" t="s">
        <v>1449</v>
      </c>
      <c r="B343" s="48" t="s">
        <v>1450</v>
      </c>
      <c r="C343" s="214" t="s">
        <v>822</v>
      </c>
      <c r="D343" s="218">
        <v>40</v>
      </c>
      <c r="E343" s="219">
        <v>72100</v>
      </c>
      <c r="F343" s="219">
        <v>111800</v>
      </c>
      <c r="G343" s="221">
        <v>40</v>
      </c>
      <c r="H343" s="219">
        <v>62100</v>
      </c>
      <c r="I343" s="219">
        <v>96300</v>
      </c>
      <c r="J343" s="221">
        <v>40</v>
      </c>
      <c r="K343" s="219">
        <v>45400</v>
      </c>
      <c r="L343" s="219">
        <v>68100</v>
      </c>
      <c r="M343" s="221">
        <v>20</v>
      </c>
      <c r="N343" s="219">
        <v>39900</v>
      </c>
      <c r="O343" s="219">
        <v>57900</v>
      </c>
      <c r="P343" s="221">
        <v>30</v>
      </c>
      <c r="Q343" s="219">
        <v>53600</v>
      </c>
      <c r="R343" s="219">
        <v>83100</v>
      </c>
      <c r="S343" s="221">
        <v>20</v>
      </c>
      <c r="T343" s="219">
        <v>28200</v>
      </c>
      <c r="U343" s="222">
        <v>38100</v>
      </c>
      <c r="V343" s="212" t="s">
        <v>1643</v>
      </c>
      <c r="W343" s="213" t="s">
        <v>1643</v>
      </c>
      <c r="X343" s="213" t="s">
        <v>1643</v>
      </c>
      <c r="Y343" s="213" t="s">
        <v>1643</v>
      </c>
      <c r="Z343" s="213" t="s">
        <v>1643</v>
      </c>
      <c r="AA343" s="213" t="s">
        <v>1643</v>
      </c>
      <c r="AB343" s="213" t="s">
        <v>1643</v>
      </c>
      <c r="AC343" s="213" t="s">
        <v>1643</v>
      </c>
      <c r="AD343" s="213" t="s">
        <v>1643</v>
      </c>
      <c r="AE343" s="213" t="s">
        <v>1643</v>
      </c>
      <c r="AF343" s="213" t="s">
        <v>1644</v>
      </c>
      <c r="AG343" s="214" t="s">
        <v>1644</v>
      </c>
      <c r="AH343" s="212" t="s">
        <v>1644</v>
      </c>
      <c r="AI343" s="213" t="s">
        <v>1644</v>
      </c>
      <c r="AJ343" s="213" t="s">
        <v>1644</v>
      </c>
      <c r="AK343" s="213" t="s">
        <v>1643</v>
      </c>
      <c r="AL343" s="213" t="s">
        <v>1644</v>
      </c>
      <c r="AM343" s="213" t="s">
        <v>1643</v>
      </c>
      <c r="AN343" s="213" t="s">
        <v>1643</v>
      </c>
      <c r="AO343" s="213" t="s">
        <v>1643</v>
      </c>
      <c r="AP343" s="213" t="s">
        <v>1643</v>
      </c>
      <c r="AQ343" s="213" t="s">
        <v>1644</v>
      </c>
      <c r="AR343" s="213" t="s">
        <v>1644</v>
      </c>
      <c r="AS343" s="214" t="s">
        <v>1644</v>
      </c>
    </row>
    <row r="344" spans="1:45" ht="15.75" thickBot="1" x14ac:dyDescent="0.3">
      <c r="A344" s="212" t="s">
        <v>1474</v>
      </c>
      <c r="B344" s="48" t="s">
        <v>1475</v>
      </c>
      <c r="C344" s="214" t="s">
        <v>822</v>
      </c>
      <c r="D344" s="218">
        <v>39</v>
      </c>
      <c r="E344" s="219">
        <v>49672</v>
      </c>
      <c r="F344" s="219">
        <v>58903</v>
      </c>
      <c r="G344" s="221">
        <v>37</v>
      </c>
      <c r="H344" s="219">
        <v>44482</v>
      </c>
      <c r="I344" s="219">
        <v>52748</v>
      </c>
      <c r="J344" s="220" t="s">
        <v>850</v>
      </c>
      <c r="K344" s="220" t="s">
        <v>850</v>
      </c>
      <c r="L344" s="220" t="s">
        <v>850</v>
      </c>
      <c r="M344" s="220" t="s">
        <v>850</v>
      </c>
      <c r="N344" s="220" t="s">
        <v>850</v>
      </c>
      <c r="O344" s="220" t="s">
        <v>850</v>
      </c>
      <c r="P344" s="220" t="s">
        <v>850</v>
      </c>
      <c r="Q344" s="220" t="s">
        <v>850</v>
      </c>
      <c r="R344" s="220" t="s">
        <v>850</v>
      </c>
      <c r="S344" s="221">
        <v>37</v>
      </c>
      <c r="T344" s="219">
        <v>28184</v>
      </c>
      <c r="U344" s="222">
        <v>40643</v>
      </c>
      <c r="V344" s="212" t="s">
        <v>1643</v>
      </c>
      <c r="W344" s="213" t="s">
        <v>1643</v>
      </c>
      <c r="X344" s="213" t="s">
        <v>1643</v>
      </c>
      <c r="Y344" s="213" t="s">
        <v>1643</v>
      </c>
      <c r="Z344" s="213" t="s">
        <v>1643</v>
      </c>
      <c r="AA344" s="213" t="s">
        <v>1643</v>
      </c>
      <c r="AB344" s="213" t="s">
        <v>1643</v>
      </c>
      <c r="AC344" s="213" t="s">
        <v>1643</v>
      </c>
      <c r="AD344" s="213" t="s">
        <v>1644</v>
      </c>
      <c r="AE344" s="213" t="s">
        <v>1643</v>
      </c>
      <c r="AF344" s="213" t="s">
        <v>1643</v>
      </c>
      <c r="AG344" s="214" t="s">
        <v>1643</v>
      </c>
      <c r="AH344" s="212" t="s">
        <v>1644</v>
      </c>
      <c r="AI344" s="213" t="s">
        <v>1644</v>
      </c>
      <c r="AJ344" s="213" t="s">
        <v>1644</v>
      </c>
      <c r="AK344" s="213" t="s">
        <v>1644</v>
      </c>
      <c r="AL344" s="213" t="s">
        <v>1644</v>
      </c>
      <c r="AM344" s="213" t="s">
        <v>1644</v>
      </c>
      <c r="AN344" s="213" t="s">
        <v>1644</v>
      </c>
      <c r="AO344" s="213" t="s">
        <v>1644</v>
      </c>
      <c r="AP344" s="213" t="s">
        <v>1644</v>
      </c>
      <c r="AQ344" s="213" t="s">
        <v>1644</v>
      </c>
      <c r="AR344" s="213" t="s">
        <v>1644</v>
      </c>
      <c r="AS344" s="214" t="s">
        <v>1644</v>
      </c>
    </row>
    <row r="345" spans="1:45" ht="15.75" thickBot="1" x14ac:dyDescent="0.3">
      <c r="A345" s="212" t="s">
        <v>1484</v>
      </c>
      <c r="B345" s="48" t="s">
        <v>1485</v>
      </c>
      <c r="C345" s="214" t="s">
        <v>822</v>
      </c>
      <c r="D345" s="223" t="s">
        <v>850</v>
      </c>
      <c r="E345" s="220" t="s">
        <v>850</v>
      </c>
      <c r="F345" s="220" t="s">
        <v>850</v>
      </c>
      <c r="G345" s="220" t="s">
        <v>850</v>
      </c>
      <c r="H345" s="220" t="s">
        <v>850</v>
      </c>
      <c r="I345" s="220" t="s">
        <v>850</v>
      </c>
      <c r="J345" s="221">
        <v>40</v>
      </c>
      <c r="K345" s="219">
        <v>38000</v>
      </c>
      <c r="L345" s="219">
        <v>40000</v>
      </c>
      <c r="M345" s="220" t="s">
        <v>850</v>
      </c>
      <c r="N345" s="220" t="s">
        <v>850</v>
      </c>
      <c r="O345" s="220" t="s">
        <v>850</v>
      </c>
      <c r="P345" s="220" t="s">
        <v>850</v>
      </c>
      <c r="Q345" s="220" t="s">
        <v>850</v>
      </c>
      <c r="R345" s="220" t="s">
        <v>850</v>
      </c>
      <c r="S345" s="221">
        <v>28</v>
      </c>
      <c r="T345" s="219">
        <v>14560</v>
      </c>
      <c r="U345" s="222">
        <v>21257</v>
      </c>
      <c r="V345" s="212" t="s">
        <v>1643</v>
      </c>
      <c r="W345" s="213" t="s">
        <v>1643</v>
      </c>
      <c r="X345" s="213" t="s">
        <v>1644</v>
      </c>
      <c r="Y345" s="213" t="s">
        <v>1643</v>
      </c>
      <c r="Z345" s="213" t="s">
        <v>1643</v>
      </c>
      <c r="AA345" s="213" t="s">
        <v>1643</v>
      </c>
      <c r="AB345" s="213" t="s">
        <v>1643</v>
      </c>
      <c r="AC345" s="213" t="s">
        <v>1643</v>
      </c>
      <c r="AD345" s="213" t="s">
        <v>1643</v>
      </c>
      <c r="AE345" s="213" t="s">
        <v>1644</v>
      </c>
      <c r="AF345" s="213" t="s">
        <v>1643</v>
      </c>
      <c r="AG345" s="214" t="s">
        <v>1644</v>
      </c>
      <c r="AH345" s="212" t="s">
        <v>1644</v>
      </c>
      <c r="AI345" s="213" t="s">
        <v>1644</v>
      </c>
      <c r="AJ345" s="213" t="s">
        <v>1644</v>
      </c>
      <c r="AK345" s="213" t="s">
        <v>1644</v>
      </c>
      <c r="AL345" s="213" t="s">
        <v>1644</v>
      </c>
      <c r="AM345" s="213" t="s">
        <v>1644</v>
      </c>
      <c r="AN345" s="213" t="s">
        <v>1643</v>
      </c>
      <c r="AO345" s="213" t="s">
        <v>1644</v>
      </c>
      <c r="AP345" s="213" t="s">
        <v>1644</v>
      </c>
      <c r="AQ345" s="213" t="s">
        <v>1644</v>
      </c>
      <c r="AR345" s="213" t="s">
        <v>1644</v>
      </c>
      <c r="AS345" s="214" t="s">
        <v>1644</v>
      </c>
    </row>
    <row r="346" spans="1:45" ht="15.75" thickBot="1" x14ac:dyDescent="0.3">
      <c r="A346" s="212" t="s">
        <v>1502</v>
      </c>
      <c r="B346" s="48" t="s">
        <v>1503</v>
      </c>
      <c r="C346" s="214" t="s">
        <v>822</v>
      </c>
      <c r="D346" s="218">
        <v>35</v>
      </c>
      <c r="E346" s="219">
        <v>39203</v>
      </c>
      <c r="F346" s="219">
        <v>42843</v>
      </c>
      <c r="G346" s="221">
        <v>35</v>
      </c>
      <c r="H346" s="219">
        <v>20020</v>
      </c>
      <c r="I346" s="219">
        <v>38125</v>
      </c>
      <c r="J346" s="221">
        <v>35</v>
      </c>
      <c r="K346" s="219">
        <v>38912</v>
      </c>
      <c r="L346" s="219">
        <v>42552</v>
      </c>
      <c r="M346" s="221">
        <v>20</v>
      </c>
      <c r="N346" s="219">
        <v>18200</v>
      </c>
      <c r="O346" s="219">
        <v>19292</v>
      </c>
      <c r="P346" s="221">
        <v>15</v>
      </c>
      <c r="Q346" s="219">
        <v>11700</v>
      </c>
      <c r="R346" s="219">
        <v>11700</v>
      </c>
      <c r="S346" s="221">
        <v>20</v>
      </c>
      <c r="T346" s="219">
        <v>10036</v>
      </c>
      <c r="U346" s="222">
        <v>11024</v>
      </c>
      <c r="V346" s="212" t="s">
        <v>1643</v>
      </c>
      <c r="W346" s="213" t="s">
        <v>1643</v>
      </c>
      <c r="X346" s="213" t="s">
        <v>1643</v>
      </c>
      <c r="Y346" s="213" t="s">
        <v>1643</v>
      </c>
      <c r="Z346" s="213" t="s">
        <v>1643</v>
      </c>
      <c r="AA346" s="213" t="s">
        <v>1643</v>
      </c>
      <c r="AB346" s="213" t="s">
        <v>1643</v>
      </c>
      <c r="AC346" s="213" t="s">
        <v>1643</v>
      </c>
      <c r="AD346" s="213" t="s">
        <v>1644</v>
      </c>
      <c r="AE346" s="213" t="s">
        <v>1644</v>
      </c>
      <c r="AF346" s="213" t="s">
        <v>1643</v>
      </c>
      <c r="AG346" s="214" t="s">
        <v>1644</v>
      </c>
      <c r="AH346" s="212" t="s">
        <v>1644</v>
      </c>
      <c r="AI346" s="213" t="s">
        <v>1644</v>
      </c>
      <c r="AJ346" s="213" t="s">
        <v>1644</v>
      </c>
      <c r="AK346" s="213" t="s">
        <v>1644</v>
      </c>
      <c r="AL346" s="213" t="s">
        <v>1644</v>
      </c>
      <c r="AM346" s="213" t="s">
        <v>1643</v>
      </c>
      <c r="AN346" s="213" t="s">
        <v>1643</v>
      </c>
      <c r="AO346" s="213" t="s">
        <v>1643</v>
      </c>
      <c r="AP346" s="213" t="s">
        <v>1644</v>
      </c>
      <c r="AQ346" s="213" t="s">
        <v>1644</v>
      </c>
      <c r="AR346" s="213" t="s">
        <v>1643</v>
      </c>
      <c r="AS346" s="214" t="s">
        <v>1644</v>
      </c>
    </row>
    <row r="347" spans="1:45" ht="15.75" thickBot="1" x14ac:dyDescent="0.3">
      <c r="A347" s="212" t="s">
        <v>1546</v>
      </c>
      <c r="B347" s="48" t="s">
        <v>1547</v>
      </c>
      <c r="C347" s="214" t="s">
        <v>822</v>
      </c>
      <c r="D347" s="218">
        <v>40</v>
      </c>
      <c r="E347" s="219">
        <v>57000</v>
      </c>
      <c r="F347" s="219">
        <v>62000</v>
      </c>
      <c r="G347" s="221">
        <v>30</v>
      </c>
      <c r="H347" s="219">
        <v>35000</v>
      </c>
      <c r="I347" s="219">
        <v>55000</v>
      </c>
      <c r="J347" s="221">
        <v>32</v>
      </c>
      <c r="K347" s="219">
        <v>35000</v>
      </c>
      <c r="L347" s="219">
        <v>45000</v>
      </c>
      <c r="M347" s="221">
        <v>30</v>
      </c>
      <c r="N347" s="219">
        <v>34000</v>
      </c>
      <c r="O347" s="219">
        <v>40000</v>
      </c>
      <c r="P347" s="221" t="s">
        <v>3453</v>
      </c>
      <c r="Q347" s="219">
        <v>28000</v>
      </c>
      <c r="R347" s="219">
        <v>35000</v>
      </c>
      <c r="S347" s="221">
        <v>20</v>
      </c>
      <c r="T347" s="219">
        <v>22000</v>
      </c>
      <c r="U347" s="222">
        <v>27000</v>
      </c>
      <c r="V347" s="212" t="s">
        <v>1643</v>
      </c>
      <c r="W347" s="213" t="s">
        <v>1643</v>
      </c>
      <c r="X347" s="213" t="s">
        <v>1643</v>
      </c>
      <c r="Y347" s="213" t="s">
        <v>1644</v>
      </c>
      <c r="Z347" s="213" t="s">
        <v>1643</v>
      </c>
      <c r="AA347" s="213" t="s">
        <v>1643</v>
      </c>
      <c r="AB347" s="213" t="s">
        <v>1643</v>
      </c>
      <c r="AC347" s="213" t="s">
        <v>1643</v>
      </c>
      <c r="AD347" s="213" t="s">
        <v>1643</v>
      </c>
      <c r="AE347" s="213" t="s">
        <v>1643</v>
      </c>
      <c r="AF347" s="213" t="s">
        <v>1643</v>
      </c>
      <c r="AG347" s="214" t="s">
        <v>1644</v>
      </c>
      <c r="AH347" s="212" t="s">
        <v>1644</v>
      </c>
      <c r="AI347" s="213" t="s">
        <v>1644</v>
      </c>
      <c r="AJ347" s="213" t="s">
        <v>1643</v>
      </c>
      <c r="AK347" s="213" t="s">
        <v>1644</v>
      </c>
      <c r="AL347" s="213" t="s">
        <v>1644</v>
      </c>
      <c r="AM347" s="213" t="s">
        <v>1643</v>
      </c>
      <c r="AN347" s="213" t="s">
        <v>1643</v>
      </c>
      <c r="AO347" s="213" t="s">
        <v>1643</v>
      </c>
      <c r="AP347" s="213" t="s">
        <v>1644</v>
      </c>
      <c r="AQ347" s="213" t="s">
        <v>1644</v>
      </c>
      <c r="AR347" s="213" t="s">
        <v>1643</v>
      </c>
      <c r="AS347" s="214" t="s">
        <v>1643</v>
      </c>
    </row>
    <row r="348" spans="1:45" ht="15.75" thickBot="1" x14ac:dyDescent="0.3">
      <c r="A348" s="212" t="s">
        <v>1586</v>
      </c>
      <c r="B348" s="48" t="s">
        <v>1587</v>
      </c>
      <c r="C348" s="214" t="s">
        <v>822</v>
      </c>
      <c r="D348" s="218">
        <v>40</v>
      </c>
      <c r="E348" s="219">
        <v>55000</v>
      </c>
      <c r="F348" s="219">
        <v>55000</v>
      </c>
      <c r="G348" s="221">
        <v>40</v>
      </c>
      <c r="H348" s="219">
        <v>50000</v>
      </c>
      <c r="I348" s="219">
        <v>50000</v>
      </c>
      <c r="J348" s="221">
        <v>40</v>
      </c>
      <c r="K348" s="219">
        <v>46000</v>
      </c>
      <c r="L348" s="219">
        <v>49000</v>
      </c>
      <c r="M348" s="221">
        <v>24</v>
      </c>
      <c r="N348" s="219">
        <v>24000</v>
      </c>
      <c r="O348" s="219">
        <v>28000</v>
      </c>
      <c r="P348" s="221">
        <v>40</v>
      </c>
      <c r="Q348" s="219">
        <v>45000</v>
      </c>
      <c r="R348" s="219">
        <v>49000</v>
      </c>
      <c r="S348" s="221">
        <v>24</v>
      </c>
      <c r="T348" s="219">
        <v>15600</v>
      </c>
      <c r="U348" s="222">
        <v>18000</v>
      </c>
      <c r="V348" s="212" t="s">
        <v>1643</v>
      </c>
      <c r="W348" s="213" t="s">
        <v>1643</v>
      </c>
      <c r="X348" s="213" t="s">
        <v>1643</v>
      </c>
      <c r="Y348" s="213" t="s">
        <v>1643</v>
      </c>
      <c r="Z348" s="213" t="s">
        <v>1643</v>
      </c>
      <c r="AA348" s="213" t="s">
        <v>1643</v>
      </c>
      <c r="AB348" s="213" t="s">
        <v>1643</v>
      </c>
      <c r="AC348" s="213" t="s">
        <v>1643</v>
      </c>
      <c r="AD348" s="213" t="s">
        <v>1643</v>
      </c>
      <c r="AE348" s="213" t="s">
        <v>1644</v>
      </c>
      <c r="AF348" s="213" t="s">
        <v>1643</v>
      </c>
      <c r="AG348" s="214" t="s">
        <v>1644</v>
      </c>
      <c r="AH348" s="212" t="s">
        <v>1644</v>
      </c>
      <c r="AI348" s="213" t="s">
        <v>1644</v>
      </c>
      <c r="AJ348" s="213" t="s">
        <v>1644</v>
      </c>
      <c r="AK348" s="213" t="s">
        <v>1644</v>
      </c>
      <c r="AL348" s="213" t="s">
        <v>1644</v>
      </c>
      <c r="AM348" s="213" t="s">
        <v>1643</v>
      </c>
      <c r="AN348" s="213" t="s">
        <v>1643</v>
      </c>
      <c r="AO348" s="213" t="s">
        <v>1644</v>
      </c>
      <c r="AP348" s="213" t="s">
        <v>1644</v>
      </c>
      <c r="AQ348" s="213" t="s">
        <v>1644</v>
      </c>
      <c r="AR348" s="213" t="s">
        <v>1643</v>
      </c>
      <c r="AS348" s="214" t="s">
        <v>1644</v>
      </c>
    </row>
    <row r="349" spans="1:45" ht="15.75" thickBot="1" x14ac:dyDescent="0.3">
      <c r="A349" s="212" t="s">
        <v>835</v>
      </c>
      <c r="B349" s="48" t="s">
        <v>836</v>
      </c>
      <c r="C349" s="214" t="s">
        <v>837</v>
      </c>
      <c r="D349" s="218">
        <v>40</v>
      </c>
      <c r="E349" s="219">
        <v>114800</v>
      </c>
      <c r="F349" s="219">
        <v>164230</v>
      </c>
      <c r="G349" s="221">
        <v>40</v>
      </c>
      <c r="H349" s="219">
        <v>79400</v>
      </c>
      <c r="I349" s="219">
        <v>111320</v>
      </c>
      <c r="J349" s="221">
        <v>40</v>
      </c>
      <c r="K349" s="219">
        <v>52300</v>
      </c>
      <c r="L349" s="219">
        <v>71940</v>
      </c>
      <c r="M349" s="221">
        <v>40</v>
      </c>
      <c r="N349" s="219">
        <v>52300</v>
      </c>
      <c r="O349" s="219">
        <v>71940</v>
      </c>
      <c r="P349" s="221">
        <v>40</v>
      </c>
      <c r="Q349" s="219">
        <v>52300</v>
      </c>
      <c r="R349" s="219">
        <v>71940</v>
      </c>
      <c r="S349" s="221">
        <v>40</v>
      </c>
      <c r="T349" s="219">
        <v>37000</v>
      </c>
      <c r="U349" s="222">
        <v>48840</v>
      </c>
      <c r="V349" s="212" t="s">
        <v>1643</v>
      </c>
      <c r="W349" s="213" t="s">
        <v>1643</v>
      </c>
      <c r="X349" s="213" t="s">
        <v>1643</v>
      </c>
      <c r="Y349" s="213" t="s">
        <v>1644</v>
      </c>
      <c r="Z349" s="213" t="s">
        <v>1643</v>
      </c>
      <c r="AA349" s="213" t="s">
        <v>1643</v>
      </c>
      <c r="AB349" s="213" t="s">
        <v>1643</v>
      </c>
      <c r="AC349" s="213" t="s">
        <v>1643</v>
      </c>
      <c r="AD349" s="213" t="s">
        <v>1643</v>
      </c>
      <c r="AE349" s="213" t="s">
        <v>1643</v>
      </c>
      <c r="AF349" s="213" t="s">
        <v>1644</v>
      </c>
      <c r="AG349" s="214" t="s">
        <v>1644</v>
      </c>
      <c r="AH349" s="212" t="s">
        <v>1644</v>
      </c>
      <c r="AI349" s="213" t="s">
        <v>1644</v>
      </c>
      <c r="AJ349" s="213" t="s">
        <v>1644</v>
      </c>
      <c r="AK349" s="213" t="s">
        <v>1644</v>
      </c>
      <c r="AL349" s="213" t="s">
        <v>1644</v>
      </c>
      <c r="AM349" s="213" t="s">
        <v>1644</v>
      </c>
      <c r="AN349" s="213" t="s">
        <v>1644</v>
      </c>
      <c r="AO349" s="213" t="s">
        <v>1644</v>
      </c>
      <c r="AP349" s="213" t="s">
        <v>1644</v>
      </c>
      <c r="AQ349" s="213" t="s">
        <v>1644</v>
      </c>
      <c r="AR349" s="213" t="s">
        <v>1644</v>
      </c>
      <c r="AS349" s="214" t="s">
        <v>1644</v>
      </c>
    </row>
    <row r="350" spans="1:45" ht="15.75" thickBot="1" x14ac:dyDescent="0.3">
      <c r="A350" s="212" t="s">
        <v>861</v>
      </c>
      <c r="B350" s="48" t="s">
        <v>862</v>
      </c>
      <c r="C350" s="214" t="s">
        <v>837</v>
      </c>
      <c r="D350" s="218">
        <v>40</v>
      </c>
      <c r="E350" s="219">
        <v>66914</v>
      </c>
      <c r="F350" s="219">
        <v>81661</v>
      </c>
      <c r="G350" s="221">
        <v>40</v>
      </c>
      <c r="H350" s="219">
        <v>45677</v>
      </c>
      <c r="I350" s="219">
        <v>62941</v>
      </c>
      <c r="J350" s="221">
        <v>40</v>
      </c>
      <c r="K350" s="219">
        <v>43202</v>
      </c>
      <c r="L350" s="219">
        <v>51896</v>
      </c>
      <c r="M350" s="221">
        <v>40</v>
      </c>
      <c r="N350" s="219">
        <v>41538</v>
      </c>
      <c r="O350" s="219">
        <v>49837</v>
      </c>
      <c r="P350" s="221">
        <v>40</v>
      </c>
      <c r="Q350" s="219">
        <v>33467</v>
      </c>
      <c r="R350" s="219">
        <v>40144</v>
      </c>
      <c r="S350" s="221">
        <v>40</v>
      </c>
      <c r="T350" s="219">
        <v>27394</v>
      </c>
      <c r="U350" s="222">
        <v>36858</v>
      </c>
      <c r="V350" s="212" t="s">
        <v>1643</v>
      </c>
      <c r="W350" s="213" t="s">
        <v>1643</v>
      </c>
      <c r="X350" s="213" t="s">
        <v>1643</v>
      </c>
      <c r="Y350" s="213" t="s">
        <v>1643</v>
      </c>
      <c r="Z350" s="213" t="s">
        <v>1643</v>
      </c>
      <c r="AA350" s="213" t="s">
        <v>1643</v>
      </c>
      <c r="AB350" s="213" t="s">
        <v>1643</v>
      </c>
      <c r="AC350" s="213" t="s">
        <v>1643</v>
      </c>
      <c r="AD350" s="213" t="s">
        <v>1643</v>
      </c>
      <c r="AE350" s="213" t="s">
        <v>1644</v>
      </c>
      <c r="AF350" s="213" t="s">
        <v>1643</v>
      </c>
      <c r="AG350" s="214" t="s">
        <v>1644</v>
      </c>
      <c r="AH350" s="212" t="s">
        <v>1644</v>
      </c>
      <c r="AI350" s="213" t="s">
        <v>1644</v>
      </c>
      <c r="AJ350" s="213" t="s">
        <v>1644</v>
      </c>
      <c r="AK350" s="213" t="s">
        <v>1644</v>
      </c>
      <c r="AL350" s="213" t="s">
        <v>1644</v>
      </c>
      <c r="AM350" s="213" t="s">
        <v>1644</v>
      </c>
      <c r="AN350" s="213" t="s">
        <v>1644</v>
      </c>
      <c r="AO350" s="213" t="s">
        <v>1644</v>
      </c>
      <c r="AP350" s="213" t="s">
        <v>1644</v>
      </c>
      <c r="AQ350" s="213" t="s">
        <v>1644</v>
      </c>
      <c r="AR350" s="213" t="s">
        <v>1644</v>
      </c>
      <c r="AS350" s="214" t="s">
        <v>1644</v>
      </c>
    </row>
    <row r="351" spans="1:45" ht="15.75" thickBot="1" x14ac:dyDescent="0.3">
      <c r="A351" s="212" t="s">
        <v>923</v>
      </c>
      <c r="B351" s="48" t="s">
        <v>924</v>
      </c>
      <c r="C351" s="214" t="s">
        <v>837</v>
      </c>
      <c r="D351" s="225"/>
      <c r="E351" s="226"/>
      <c r="F351" s="226"/>
      <c r="G351" s="221">
        <v>37</v>
      </c>
      <c r="H351" s="219">
        <v>60300</v>
      </c>
      <c r="I351" s="219">
        <v>93500</v>
      </c>
      <c r="J351" s="221">
        <v>37</v>
      </c>
      <c r="K351" s="219">
        <v>49200</v>
      </c>
      <c r="L351" s="219">
        <v>73800</v>
      </c>
      <c r="M351" s="221">
        <v>22</v>
      </c>
      <c r="N351" s="219">
        <v>46900</v>
      </c>
      <c r="O351" s="219">
        <v>68000</v>
      </c>
      <c r="P351" s="221">
        <v>37</v>
      </c>
      <c r="Q351" s="219">
        <v>46900</v>
      </c>
      <c r="R351" s="219">
        <v>68000</v>
      </c>
      <c r="S351" s="221">
        <v>20</v>
      </c>
      <c r="T351" s="219">
        <v>22100</v>
      </c>
      <c r="U351" s="222">
        <v>31900</v>
      </c>
      <c r="V351" s="212" t="s">
        <v>1643</v>
      </c>
      <c r="W351" s="213" t="s">
        <v>1643</v>
      </c>
      <c r="X351" s="213" t="s">
        <v>1643</v>
      </c>
      <c r="Y351" s="213" t="s">
        <v>1643</v>
      </c>
      <c r="Z351" s="213" t="s">
        <v>1644</v>
      </c>
      <c r="AA351" s="213" t="s">
        <v>1643</v>
      </c>
      <c r="AB351" s="213" t="s">
        <v>1643</v>
      </c>
      <c r="AC351" s="213" t="s">
        <v>1643</v>
      </c>
      <c r="AD351" s="213" t="s">
        <v>1643</v>
      </c>
      <c r="AE351" s="213" t="s">
        <v>1643</v>
      </c>
      <c r="AF351" s="213" t="s">
        <v>1643</v>
      </c>
      <c r="AG351" s="214" t="s">
        <v>1644</v>
      </c>
      <c r="AH351" s="212" t="s">
        <v>1644</v>
      </c>
      <c r="AI351" s="213" t="s">
        <v>1644</v>
      </c>
      <c r="AJ351" s="213" t="s">
        <v>1644</v>
      </c>
      <c r="AK351" s="213" t="s">
        <v>1644</v>
      </c>
      <c r="AL351" s="213" t="s">
        <v>1644</v>
      </c>
      <c r="AM351" s="213" t="s">
        <v>1643</v>
      </c>
      <c r="AN351" s="213" t="s">
        <v>1643</v>
      </c>
      <c r="AO351" s="213" t="s">
        <v>1643</v>
      </c>
      <c r="AP351" s="213" t="s">
        <v>1643</v>
      </c>
      <c r="AQ351" s="213" t="s">
        <v>1644</v>
      </c>
      <c r="AR351" s="213" t="s">
        <v>1644</v>
      </c>
      <c r="AS351" s="214" t="s">
        <v>1644</v>
      </c>
    </row>
    <row r="352" spans="1:45" ht="15.75" thickBot="1" x14ac:dyDescent="0.3">
      <c r="A352" s="212" t="s">
        <v>925</v>
      </c>
      <c r="B352" s="48" t="s">
        <v>926</v>
      </c>
      <c r="C352" s="214" t="s">
        <v>837</v>
      </c>
      <c r="D352" s="218">
        <v>40</v>
      </c>
      <c r="E352" s="219">
        <v>79098</v>
      </c>
      <c r="F352" s="219">
        <v>110738</v>
      </c>
      <c r="G352" s="221">
        <v>40</v>
      </c>
      <c r="H352" s="219">
        <v>60831</v>
      </c>
      <c r="I352" s="219">
        <v>81671</v>
      </c>
      <c r="J352" s="221">
        <v>40</v>
      </c>
      <c r="K352" s="219">
        <v>60831</v>
      </c>
      <c r="L352" s="219">
        <v>76065</v>
      </c>
      <c r="M352" s="221">
        <v>40</v>
      </c>
      <c r="N352" s="219">
        <v>52889</v>
      </c>
      <c r="O352" s="219">
        <v>66111</v>
      </c>
      <c r="P352" s="221">
        <v>40</v>
      </c>
      <c r="Q352" s="219">
        <v>79098</v>
      </c>
      <c r="R352" s="219">
        <v>110738</v>
      </c>
      <c r="S352" s="221">
        <v>40</v>
      </c>
      <c r="T352" s="219">
        <v>26464</v>
      </c>
      <c r="U352" s="222">
        <v>36691</v>
      </c>
      <c r="V352" s="212" t="s">
        <v>1643</v>
      </c>
      <c r="W352" s="213" t="s">
        <v>1643</v>
      </c>
      <c r="X352" s="213" t="s">
        <v>1643</v>
      </c>
      <c r="Y352" s="213" t="s">
        <v>1643</v>
      </c>
      <c r="Z352" s="213" t="s">
        <v>1643</v>
      </c>
      <c r="AA352" s="213" t="s">
        <v>1643</v>
      </c>
      <c r="AB352" s="213" t="s">
        <v>1643</v>
      </c>
      <c r="AC352" s="213" t="s">
        <v>1643</v>
      </c>
      <c r="AD352" s="213" t="s">
        <v>1643</v>
      </c>
      <c r="AE352" s="213" t="s">
        <v>1643</v>
      </c>
      <c r="AF352" s="213" t="s">
        <v>1643</v>
      </c>
      <c r="AG352" s="214" t="s">
        <v>1644</v>
      </c>
      <c r="AH352" s="212" t="s">
        <v>1644</v>
      </c>
      <c r="AI352" s="213" t="s">
        <v>1644</v>
      </c>
      <c r="AJ352" s="213" t="s">
        <v>1643</v>
      </c>
      <c r="AK352" s="213" t="s">
        <v>1643</v>
      </c>
      <c r="AL352" s="213" t="s">
        <v>1644</v>
      </c>
      <c r="AM352" s="213" t="s">
        <v>1643</v>
      </c>
      <c r="AN352" s="213" t="s">
        <v>1643</v>
      </c>
      <c r="AO352" s="213" t="s">
        <v>1643</v>
      </c>
      <c r="AP352" s="213" t="s">
        <v>1643</v>
      </c>
      <c r="AQ352" s="213" t="s">
        <v>1643</v>
      </c>
      <c r="AR352" s="213" t="s">
        <v>1643</v>
      </c>
      <c r="AS352" s="214" t="s">
        <v>1644</v>
      </c>
    </row>
    <row r="353" spans="1:45" ht="15.75" thickBot="1" x14ac:dyDescent="0.3">
      <c r="A353" s="212" t="s">
        <v>955</v>
      </c>
      <c r="B353" s="48" t="s">
        <v>956</v>
      </c>
      <c r="C353" s="214" t="s">
        <v>837</v>
      </c>
      <c r="D353" s="223" t="s">
        <v>850</v>
      </c>
      <c r="E353" s="220" t="s">
        <v>850</v>
      </c>
      <c r="F353" s="220" t="s">
        <v>850</v>
      </c>
      <c r="G353" s="220" t="s">
        <v>850</v>
      </c>
      <c r="H353" s="220" t="s">
        <v>850</v>
      </c>
      <c r="I353" s="220" t="s">
        <v>850</v>
      </c>
      <c r="J353" s="221">
        <v>40</v>
      </c>
      <c r="K353" s="219">
        <v>54683</v>
      </c>
      <c r="L353" s="219">
        <v>60798</v>
      </c>
      <c r="M353" s="221">
        <v>40</v>
      </c>
      <c r="N353" s="219">
        <v>47611</v>
      </c>
      <c r="O353" s="219">
        <v>49795</v>
      </c>
      <c r="P353" s="221">
        <v>40</v>
      </c>
      <c r="Q353" s="219">
        <v>46654</v>
      </c>
      <c r="R353" s="219">
        <v>59800</v>
      </c>
      <c r="S353" s="221">
        <v>40</v>
      </c>
      <c r="T353" s="219">
        <v>30118</v>
      </c>
      <c r="U353" s="222">
        <v>44408</v>
      </c>
      <c r="V353" s="212" t="s">
        <v>1643</v>
      </c>
      <c r="W353" s="213" t="s">
        <v>1643</v>
      </c>
      <c r="X353" s="213" t="s">
        <v>1643</v>
      </c>
      <c r="Y353" s="213" t="s">
        <v>1643</v>
      </c>
      <c r="Z353" s="213" t="s">
        <v>1643</v>
      </c>
      <c r="AA353" s="213" t="s">
        <v>1643</v>
      </c>
      <c r="AB353" s="213" t="s">
        <v>1643</v>
      </c>
      <c r="AC353" s="213" t="s">
        <v>1643</v>
      </c>
      <c r="AD353" s="213" t="s">
        <v>1643</v>
      </c>
      <c r="AE353" s="213" t="s">
        <v>1644</v>
      </c>
      <c r="AF353" s="213" t="s">
        <v>1643</v>
      </c>
      <c r="AG353" s="214" t="s">
        <v>1644</v>
      </c>
      <c r="AH353" s="212" t="s">
        <v>1644</v>
      </c>
      <c r="AI353" s="213" t="s">
        <v>1644</v>
      </c>
      <c r="AJ353" s="213" t="s">
        <v>1643</v>
      </c>
      <c r="AK353" s="213" t="s">
        <v>1644</v>
      </c>
      <c r="AL353" s="213" t="s">
        <v>1643</v>
      </c>
      <c r="AM353" s="213" t="s">
        <v>1643</v>
      </c>
      <c r="AN353" s="213" t="s">
        <v>1643</v>
      </c>
      <c r="AO353" s="213" t="s">
        <v>1643</v>
      </c>
      <c r="AP353" s="213" t="s">
        <v>1644</v>
      </c>
      <c r="AQ353" s="213" t="s">
        <v>1644</v>
      </c>
      <c r="AR353" s="213" t="s">
        <v>1643</v>
      </c>
      <c r="AS353" s="214" t="s">
        <v>1644</v>
      </c>
    </row>
    <row r="354" spans="1:45" ht="15.75" thickBot="1" x14ac:dyDescent="0.3">
      <c r="A354" s="212" t="s">
        <v>961</v>
      </c>
      <c r="B354" s="48" t="s">
        <v>962</v>
      </c>
      <c r="C354" s="214" t="s">
        <v>837</v>
      </c>
      <c r="D354" s="218">
        <v>38</v>
      </c>
      <c r="E354" s="219">
        <v>83731</v>
      </c>
      <c r="F354" s="219">
        <v>104569</v>
      </c>
      <c r="G354" s="221">
        <v>38</v>
      </c>
      <c r="H354" s="219">
        <v>57565</v>
      </c>
      <c r="I354" s="219">
        <v>71891</v>
      </c>
      <c r="J354" s="221">
        <v>38</v>
      </c>
      <c r="K354" s="219">
        <v>48041</v>
      </c>
      <c r="L354" s="219">
        <v>59996</v>
      </c>
      <c r="M354" s="221">
        <v>38</v>
      </c>
      <c r="N354" s="219">
        <v>45005</v>
      </c>
      <c r="O354" s="219">
        <v>56206</v>
      </c>
      <c r="P354" s="221">
        <v>38</v>
      </c>
      <c r="Q354" s="219">
        <v>83731</v>
      </c>
      <c r="R354" s="219">
        <v>104569</v>
      </c>
      <c r="S354" s="221">
        <v>38</v>
      </c>
      <c r="T354" s="219">
        <v>28260</v>
      </c>
      <c r="U354" s="222">
        <v>35292</v>
      </c>
      <c r="V354" s="212" t="s">
        <v>1643</v>
      </c>
      <c r="W354" s="213" t="s">
        <v>1643</v>
      </c>
      <c r="X354" s="213" t="s">
        <v>1643</v>
      </c>
      <c r="Y354" s="213" t="s">
        <v>1643</v>
      </c>
      <c r="Z354" s="213" t="s">
        <v>1643</v>
      </c>
      <c r="AA354" s="213" t="s">
        <v>1643</v>
      </c>
      <c r="AB354" s="213" t="s">
        <v>1643</v>
      </c>
      <c r="AC354" s="213" t="s">
        <v>1643</v>
      </c>
      <c r="AD354" s="213" t="s">
        <v>1643</v>
      </c>
      <c r="AE354" s="213" t="s">
        <v>1643</v>
      </c>
      <c r="AF354" s="213" t="s">
        <v>1644</v>
      </c>
      <c r="AG354" s="214" t="s">
        <v>1644</v>
      </c>
      <c r="AH354" s="212" t="s">
        <v>1644</v>
      </c>
      <c r="AI354" s="213" t="s">
        <v>1644</v>
      </c>
      <c r="AJ354" s="213" t="s">
        <v>1643</v>
      </c>
      <c r="AK354" s="213" t="s">
        <v>1643</v>
      </c>
      <c r="AL354" s="213" t="s">
        <v>1644</v>
      </c>
      <c r="AM354" s="213" t="s">
        <v>1643</v>
      </c>
      <c r="AN354" s="213" t="s">
        <v>1643</v>
      </c>
      <c r="AO354" s="213" t="s">
        <v>1643</v>
      </c>
      <c r="AP354" s="213" t="s">
        <v>1643</v>
      </c>
      <c r="AQ354" s="213" t="s">
        <v>1643</v>
      </c>
      <c r="AR354" s="213" t="s">
        <v>1644</v>
      </c>
      <c r="AS354" s="214" t="s">
        <v>1644</v>
      </c>
    </row>
    <row r="355" spans="1:45" ht="15.75" thickBot="1" x14ac:dyDescent="0.3">
      <c r="A355" s="212" t="s">
        <v>995</v>
      </c>
      <c r="B355" s="48" t="s">
        <v>996</v>
      </c>
      <c r="C355" s="214" t="s">
        <v>837</v>
      </c>
      <c r="D355" s="223" t="s">
        <v>850</v>
      </c>
      <c r="E355" s="220" t="s">
        <v>850</v>
      </c>
      <c r="F355" s="220" t="s">
        <v>850</v>
      </c>
      <c r="G355" s="221">
        <v>40</v>
      </c>
      <c r="H355" s="219">
        <v>47000</v>
      </c>
      <c r="I355" s="219">
        <v>50000</v>
      </c>
      <c r="J355" s="220" t="s">
        <v>850</v>
      </c>
      <c r="K355" s="220" t="s">
        <v>850</v>
      </c>
      <c r="L355" s="220" t="s">
        <v>850</v>
      </c>
      <c r="M355" s="221">
        <v>40</v>
      </c>
      <c r="N355" s="219">
        <v>39000</v>
      </c>
      <c r="O355" s="219">
        <v>41000</v>
      </c>
      <c r="P355" s="220" t="s">
        <v>850</v>
      </c>
      <c r="Q355" s="220" t="s">
        <v>850</v>
      </c>
      <c r="R355" s="220" t="s">
        <v>850</v>
      </c>
      <c r="S355" s="221">
        <v>20</v>
      </c>
      <c r="T355" s="219">
        <v>11500</v>
      </c>
      <c r="U355" s="222">
        <v>16600</v>
      </c>
      <c r="V355" s="212" t="s">
        <v>1643</v>
      </c>
      <c r="W355" s="213" t="s">
        <v>1643</v>
      </c>
      <c r="X355" s="213" t="s">
        <v>1643</v>
      </c>
      <c r="Y355" s="213" t="s">
        <v>1643</v>
      </c>
      <c r="Z355" s="213" t="s">
        <v>1643</v>
      </c>
      <c r="AA355" s="213" t="s">
        <v>1643</v>
      </c>
      <c r="AB355" s="213" t="s">
        <v>1643</v>
      </c>
      <c r="AC355" s="213" t="s">
        <v>1643</v>
      </c>
      <c r="AD355" s="213" t="s">
        <v>1643</v>
      </c>
      <c r="AE355" s="213" t="s">
        <v>1643</v>
      </c>
      <c r="AF355" s="213" t="s">
        <v>1643</v>
      </c>
      <c r="AG355" s="214" t="s">
        <v>1643</v>
      </c>
      <c r="AH355" s="212" t="s">
        <v>1644</v>
      </c>
      <c r="AI355" s="213" t="s">
        <v>1644</v>
      </c>
      <c r="AJ355" s="213" t="s">
        <v>1644</v>
      </c>
      <c r="AK355" s="213" t="s">
        <v>1644</v>
      </c>
      <c r="AL355" s="213" t="s">
        <v>1644</v>
      </c>
      <c r="AM355" s="213" t="s">
        <v>1643</v>
      </c>
      <c r="AN355" s="213" t="s">
        <v>1644</v>
      </c>
      <c r="AO355" s="213" t="s">
        <v>1644</v>
      </c>
      <c r="AP355" s="213" t="s">
        <v>1644</v>
      </c>
      <c r="AQ355" s="213" t="s">
        <v>1644</v>
      </c>
      <c r="AR355" s="213" t="s">
        <v>1644</v>
      </c>
      <c r="AS355" s="214" t="s">
        <v>1644</v>
      </c>
    </row>
    <row r="356" spans="1:45" ht="15.75" thickBot="1" x14ac:dyDescent="0.3">
      <c r="A356" s="212" t="s">
        <v>997</v>
      </c>
      <c r="B356" s="48" t="s">
        <v>998</v>
      </c>
      <c r="C356" s="214" t="s">
        <v>837</v>
      </c>
      <c r="D356" s="218">
        <v>40</v>
      </c>
      <c r="E356" s="219">
        <v>76626</v>
      </c>
      <c r="F356" s="219">
        <v>97067</v>
      </c>
      <c r="G356" s="221">
        <v>40</v>
      </c>
      <c r="H356" s="219">
        <v>65973</v>
      </c>
      <c r="I356" s="219">
        <v>83572</v>
      </c>
      <c r="J356" s="221">
        <v>38</v>
      </c>
      <c r="K356" s="219">
        <v>62656</v>
      </c>
      <c r="L356" s="219">
        <v>79372</v>
      </c>
      <c r="M356" s="221">
        <v>38</v>
      </c>
      <c r="N356" s="219">
        <v>52176</v>
      </c>
      <c r="O356" s="219">
        <v>66095</v>
      </c>
      <c r="P356" s="221">
        <v>38</v>
      </c>
      <c r="Q356" s="219">
        <v>480009</v>
      </c>
      <c r="R356" s="219">
        <v>60816</v>
      </c>
      <c r="S356" s="221">
        <v>38</v>
      </c>
      <c r="T356" s="219">
        <v>43613</v>
      </c>
      <c r="U356" s="222">
        <v>55248</v>
      </c>
      <c r="V356" s="212" t="s">
        <v>1643</v>
      </c>
      <c r="W356" s="213" t="s">
        <v>1643</v>
      </c>
      <c r="X356" s="213" t="s">
        <v>1643</v>
      </c>
      <c r="Y356" s="213" t="s">
        <v>1643</v>
      </c>
      <c r="Z356" s="213" t="s">
        <v>1643</v>
      </c>
      <c r="AA356" s="213" t="s">
        <v>1643</v>
      </c>
      <c r="AB356" s="213" t="s">
        <v>1643</v>
      </c>
      <c r="AC356" s="213" t="s">
        <v>1643</v>
      </c>
      <c r="AD356" s="213" t="s">
        <v>1643</v>
      </c>
      <c r="AE356" s="213" t="s">
        <v>1644</v>
      </c>
      <c r="AF356" s="213" t="s">
        <v>1643</v>
      </c>
      <c r="AG356" s="214" t="s">
        <v>1643</v>
      </c>
      <c r="AH356" s="212" t="s">
        <v>1643</v>
      </c>
      <c r="AI356" s="213" t="s">
        <v>1644</v>
      </c>
      <c r="AJ356" s="213" t="s">
        <v>1644</v>
      </c>
      <c r="AK356" s="213" t="s">
        <v>1644</v>
      </c>
      <c r="AL356" s="213" t="s">
        <v>1644</v>
      </c>
      <c r="AM356" s="213" t="s">
        <v>1644</v>
      </c>
      <c r="AN356" s="213" t="s">
        <v>1644</v>
      </c>
      <c r="AO356" s="213" t="s">
        <v>1644</v>
      </c>
      <c r="AP356" s="213" t="s">
        <v>1643</v>
      </c>
      <c r="AQ356" s="213" t="s">
        <v>1644</v>
      </c>
      <c r="AR356" s="213" t="s">
        <v>1643</v>
      </c>
      <c r="AS356" s="214" t="s">
        <v>1644</v>
      </c>
    </row>
    <row r="357" spans="1:45" ht="15.75" thickBot="1" x14ac:dyDescent="0.3">
      <c r="A357" s="212" t="s">
        <v>1005</v>
      </c>
      <c r="B357" s="48" t="s">
        <v>1006</v>
      </c>
      <c r="C357" s="214" t="s">
        <v>837</v>
      </c>
      <c r="D357" s="225"/>
      <c r="E357" s="226"/>
      <c r="F357" s="226"/>
      <c r="G357" s="221">
        <v>40</v>
      </c>
      <c r="H357" s="219">
        <v>60975</v>
      </c>
      <c r="I357" s="219">
        <v>68297</v>
      </c>
      <c r="J357" s="221">
        <v>40</v>
      </c>
      <c r="K357" s="219">
        <v>55184</v>
      </c>
      <c r="L357" s="219">
        <v>60647</v>
      </c>
      <c r="M357" s="221">
        <v>40</v>
      </c>
      <c r="N357" s="219">
        <v>40214</v>
      </c>
      <c r="O357" s="219">
        <v>48299</v>
      </c>
      <c r="P357" s="221">
        <v>40</v>
      </c>
      <c r="Q357" s="219">
        <v>65650</v>
      </c>
      <c r="R357" s="219">
        <v>85823</v>
      </c>
      <c r="S357" s="221">
        <v>40</v>
      </c>
      <c r="T357" s="219">
        <v>25697</v>
      </c>
      <c r="U357" s="222">
        <v>35492</v>
      </c>
      <c r="V357" s="212" t="s">
        <v>1643</v>
      </c>
      <c r="W357" s="213" t="s">
        <v>1643</v>
      </c>
      <c r="X357" s="213" t="s">
        <v>1643</v>
      </c>
      <c r="Y357" s="213" t="s">
        <v>1643</v>
      </c>
      <c r="Z357" s="213" t="s">
        <v>1643</v>
      </c>
      <c r="AA357" s="213" t="s">
        <v>1643</v>
      </c>
      <c r="AB357" s="213" t="s">
        <v>1643</v>
      </c>
      <c r="AC357" s="213" t="s">
        <v>1643</v>
      </c>
      <c r="AD357" s="213" t="s">
        <v>1643</v>
      </c>
      <c r="AE357" s="213" t="s">
        <v>1644</v>
      </c>
      <c r="AF357" s="213" t="s">
        <v>1643</v>
      </c>
      <c r="AG357" s="214" t="s">
        <v>1643</v>
      </c>
      <c r="AH357" s="212" t="s">
        <v>1644</v>
      </c>
      <c r="AI357" s="213" t="s">
        <v>1644</v>
      </c>
      <c r="AJ357" s="213" t="s">
        <v>1643</v>
      </c>
      <c r="AK357" s="213" t="s">
        <v>1644</v>
      </c>
      <c r="AL357" s="213" t="s">
        <v>1644</v>
      </c>
      <c r="AM357" s="213" t="s">
        <v>1644</v>
      </c>
      <c r="AN357" s="213" t="s">
        <v>1644</v>
      </c>
      <c r="AO357" s="213" t="s">
        <v>1643</v>
      </c>
      <c r="AP357" s="213" t="s">
        <v>1644</v>
      </c>
      <c r="AQ357" s="213" t="s">
        <v>1644</v>
      </c>
      <c r="AR357" s="213" t="s">
        <v>1644</v>
      </c>
      <c r="AS357" s="214" t="s">
        <v>1644</v>
      </c>
    </row>
    <row r="358" spans="1:45" ht="15.75" thickBot="1" x14ac:dyDescent="0.3">
      <c r="A358" s="212" t="s">
        <v>1051</v>
      </c>
      <c r="B358" s="48" t="s">
        <v>1052</v>
      </c>
      <c r="C358" s="214" t="s">
        <v>837</v>
      </c>
      <c r="D358" s="225"/>
      <c r="E358" s="226"/>
      <c r="F358" s="226"/>
      <c r="G358" s="221">
        <v>40</v>
      </c>
      <c r="H358" s="219">
        <v>51429</v>
      </c>
      <c r="I358" s="219">
        <v>82366</v>
      </c>
      <c r="J358" s="221">
        <v>40</v>
      </c>
      <c r="K358" s="219">
        <v>44966</v>
      </c>
      <c r="L358" s="219">
        <v>72665</v>
      </c>
      <c r="M358" s="221">
        <v>40</v>
      </c>
      <c r="N358" s="219">
        <v>41809</v>
      </c>
      <c r="O358" s="219">
        <v>62348</v>
      </c>
      <c r="P358" s="221">
        <v>40</v>
      </c>
      <c r="Q358" s="219">
        <v>34639</v>
      </c>
      <c r="R358" s="219">
        <v>57282</v>
      </c>
      <c r="S358" s="221">
        <v>40</v>
      </c>
      <c r="T358" s="219">
        <v>27052</v>
      </c>
      <c r="U358" s="222">
        <v>44383</v>
      </c>
      <c r="V358" s="212" t="s">
        <v>1643</v>
      </c>
      <c r="W358" s="213" t="s">
        <v>1643</v>
      </c>
      <c r="X358" s="213" t="s">
        <v>1643</v>
      </c>
      <c r="Y358" s="213" t="s">
        <v>1643</v>
      </c>
      <c r="Z358" s="213" t="s">
        <v>1643</v>
      </c>
      <c r="AA358" s="213" t="s">
        <v>1643</v>
      </c>
      <c r="AB358" s="213" t="s">
        <v>1643</v>
      </c>
      <c r="AC358" s="213" t="s">
        <v>1643</v>
      </c>
      <c r="AD358" s="213" t="s">
        <v>1644</v>
      </c>
      <c r="AE358" s="213" t="s">
        <v>1643</v>
      </c>
      <c r="AF358" s="213" t="s">
        <v>1643</v>
      </c>
      <c r="AG358" s="214" t="s">
        <v>1644</v>
      </c>
      <c r="AH358" s="212" t="s">
        <v>1644</v>
      </c>
      <c r="AI358" s="213" t="s">
        <v>1644</v>
      </c>
      <c r="AJ358" s="213" t="s">
        <v>1643</v>
      </c>
      <c r="AK358" s="213" t="s">
        <v>1643</v>
      </c>
      <c r="AL358" s="213" t="s">
        <v>1644</v>
      </c>
      <c r="AM358" s="213" t="s">
        <v>1643</v>
      </c>
      <c r="AN358" s="213" t="s">
        <v>1643</v>
      </c>
      <c r="AO358" s="213" t="s">
        <v>1643</v>
      </c>
      <c r="AP358" s="213" t="s">
        <v>1644</v>
      </c>
      <c r="AQ358" s="213" t="s">
        <v>1643</v>
      </c>
      <c r="AR358" s="213" t="s">
        <v>1643</v>
      </c>
      <c r="AS358" s="214" t="s">
        <v>1644</v>
      </c>
    </row>
    <row r="359" spans="1:45" ht="15.75" thickBot="1" x14ac:dyDescent="0.3">
      <c r="A359" s="212" t="s">
        <v>1063</v>
      </c>
      <c r="B359" s="48" t="s">
        <v>1064</v>
      </c>
      <c r="C359" s="214" t="s">
        <v>837</v>
      </c>
      <c r="D359" s="225"/>
      <c r="E359" s="226"/>
      <c r="F359" s="226"/>
      <c r="G359" s="221" t="s">
        <v>3453</v>
      </c>
      <c r="H359" s="219">
        <v>59312</v>
      </c>
      <c r="I359" s="219">
        <v>80050</v>
      </c>
      <c r="J359" s="221">
        <v>40</v>
      </c>
      <c r="K359" s="219">
        <v>48681</v>
      </c>
      <c r="L359" s="219">
        <v>60197</v>
      </c>
      <c r="M359" s="221">
        <v>40</v>
      </c>
      <c r="N359" s="219">
        <v>41681</v>
      </c>
      <c r="O359" s="219">
        <v>53197</v>
      </c>
      <c r="P359" s="221">
        <v>40</v>
      </c>
      <c r="Q359" s="219">
        <v>32618</v>
      </c>
      <c r="R359" s="219">
        <v>42033</v>
      </c>
      <c r="S359" s="221">
        <v>40</v>
      </c>
      <c r="T359" s="219">
        <v>24461</v>
      </c>
      <c r="U359" s="222">
        <v>31429</v>
      </c>
      <c r="V359" s="212" t="s">
        <v>1643</v>
      </c>
      <c r="W359" s="213" t="s">
        <v>1643</v>
      </c>
      <c r="X359" s="213" t="s">
        <v>1643</v>
      </c>
      <c r="Y359" s="213" t="s">
        <v>1643</v>
      </c>
      <c r="Z359" s="213" t="s">
        <v>1643</v>
      </c>
      <c r="AA359" s="213" t="s">
        <v>1643</v>
      </c>
      <c r="AB359" s="213" t="s">
        <v>1643</v>
      </c>
      <c r="AC359" s="213" t="s">
        <v>1643</v>
      </c>
      <c r="AD359" s="213" t="s">
        <v>1643</v>
      </c>
      <c r="AE359" s="213" t="s">
        <v>1643</v>
      </c>
      <c r="AF359" s="213" t="s">
        <v>1643</v>
      </c>
      <c r="AG359" s="214" t="s">
        <v>1643</v>
      </c>
      <c r="AH359" s="212" t="s">
        <v>1644</v>
      </c>
      <c r="AI359" s="213" t="s">
        <v>1644</v>
      </c>
      <c r="AJ359" s="213" t="s">
        <v>1644</v>
      </c>
      <c r="AK359" s="213" t="s">
        <v>1644</v>
      </c>
      <c r="AL359" s="213" t="s">
        <v>1644</v>
      </c>
      <c r="AM359" s="213" t="s">
        <v>1644</v>
      </c>
      <c r="AN359" s="213" t="s">
        <v>1644</v>
      </c>
      <c r="AO359" s="213" t="s">
        <v>1643</v>
      </c>
      <c r="AP359" s="213" t="s">
        <v>1643</v>
      </c>
      <c r="AQ359" s="213" t="s">
        <v>1644</v>
      </c>
      <c r="AR359" s="213" t="s">
        <v>1644</v>
      </c>
      <c r="AS359" s="214" t="s">
        <v>1644</v>
      </c>
    </row>
    <row r="360" spans="1:45" ht="15.75" thickBot="1" x14ac:dyDescent="0.3">
      <c r="A360" s="212" t="s">
        <v>1089</v>
      </c>
      <c r="B360" s="48" t="s">
        <v>1090</v>
      </c>
      <c r="C360" s="214" t="s">
        <v>837</v>
      </c>
      <c r="D360" s="225"/>
      <c r="E360" s="226"/>
      <c r="F360" s="226"/>
      <c r="G360" s="221">
        <v>40</v>
      </c>
      <c r="H360" s="219">
        <v>61904</v>
      </c>
      <c r="I360" s="219">
        <v>68843</v>
      </c>
      <c r="J360" s="221">
        <v>40</v>
      </c>
      <c r="K360" s="219">
        <v>52707</v>
      </c>
      <c r="L360" s="219">
        <v>64709</v>
      </c>
      <c r="M360" s="221">
        <v>40</v>
      </c>
      <c r="N360" s="219">
        <v>46300</v>
      </c>
      <c r="O360" s="219">
        <v>59904</v>
      </c>
      <c r="P360" s="221">
        <v>40</v>
      </c>
      <c r="Q360" s="219">
        <v>39707</v>
      </c>
      <c r="R360" s="219">
        <v>49067</v>
      </c>
      <c r="S360" s="221">
        <v>40</v>
      </c>
      <c r="T360" s="219">
        <v>35963</v>
      </c>
      <c r="U360" s="222">
        <v>48921</v>
      </c>
      <c r="V360" s="212" t="s">
        <v>1643</v>
      </c>
      <c r="W360" s="213" t="s">
        <v>1643</v>
      </c>
      <c r="X360" s="213" t="s">
        <v>1643</v>
      </c>
      <c r="Y360" s="213" t="s">
        <v>1643</v>
      </c>
      <c r="Z360" s="213" t="s">
        <v>1643</v>
      </c>
      <c r="AA360" s="213" t="s">
        <v>1643</v>
      </c>
      <c r="AB360" s="213" t="s">
        <v>1643</v>
      </c>
      <c r="AC360" s="213" t="s">
        <v>1643</v>
      </c>
      <c r="AD360" s="213" t="s">
        <v>1644</v>
      </c>
      <c r="AE360" s="213" t="s">
        <v>1643</v>
      </c>
      <c r="AF360" s="213" t="s">
        <v>1643</v>
      </c>
      <c r="AG360" s="214" t="s">
        <v>1644</v>
      </c>
      <c r="AH360" s="212" t="s">
        <v>1644</v>
      </c>
      <c r="AI360" s="213" t="s">
        <v>1644</v>
      </c>
      <c r="AJ360" s="213" t="s">
        <v>1644</v>
      </c>
      <c r="AK360" s="213" t="s">
        <v>1644</v>
      </c>
      <c r="AL360" s="213" t="s">
        <v>1644</v>
      </c>
      <c r="AM360" s="213" t="s">
        <v>1644</v>
      </c>
      <c r="AN360" s="213" t="s">
        <v>1644</v>
      </c>
      <c r="AO360" s="213" t="s">
        <v>1644</v>
      </c>
      <c r="AP360" s="213" t="s">
        <v>1644</v>
      </c>
      <c r="AQ360" s="213" t="s">
        <v>1644</v>
      </c>
      <c r="AR360" s="213" t="s">
        <v>1644</v>
      </c>
      <c r="AS360" s="214" t="s">
        <v>1644</v>
      </c>
    </row>
    <row r="361" spans="1:45" ht="15.75" thickBot="1" x14ac:dyDescent="0.3">
      <c r="A361" s="212" t="s">
        <v>1103</v>
      </c>
      <c r="B361" s="48" t="s">
        <v>1104</v>
      </c>
      <c r="C361" s="214" t="s">
        <v>837</v>
      </c>
      <c r="D361" s="223" t="s">
        <v>850</v>
      </c>
      <c r="E361" s="220" t="s">
        <v>850</v>
      </c>
      <c r="F361" s="220" t="s">
        <v>850</v>
      </c>
      <c r="G361" s="221">
        <v>40</v>
      </c>
      <c r="H361" s="219">
        <v>57552</v>
      </c>
      <c r="I361" s="219">
        <v>68620</v>
      </c>
      <c r="J361" s="221">
        <v>40</v>
      </c>
      <c r="K361" s="219">
        <v>46550</v>
      </c>
      <c r="L361" s="219">
        <v>64209</v>
      </c>
      <c r="M361" s="221">
        <v>40</v>
      </c>
      <c r="N361" s="219">
        <v>41080</v>
      </c>
      <c r="O361" s="219">
        <v>56680</v>
      </c>
      <c r="P361" s="220" t="s">
        <v>850</v>
      </c>
      <c r="Q361" s="220" t="s">
        <v>850</v>
      </c>
      <c r="R361" s="220" t="s">
        <v>850</v>
      </c>
      <c r="S361" s="221">
        <v>40</v>
      </c>
      <c r="T361" s="219">
        <v>32219</v>
      </c>
      <c r="U361" s="222">
        <v>44450</v>
      </c>
      <c r="V361" s="212" t="s">
        <v>1643</v>
      </c>
      <c r="W361" s="213" t="s">
        <v>1643</v>
      </c>
      <c r="X361" s="213" t="s">
        <v>1643</v>
      </c>
      <c r="Y361" s="213" t="s">
        <v>1644</v>
      </c>
      <c r="Z361" s="213" t="s">
        <v>1643</v>
      </c>
      <c r="AA361" s="213" t="s">
        <v>1643</v>
      </c>
      <c r="AB361" s="213" t="s">
        <v>1643</v>
      </c>
      <c r="AC361" s="213" t="s">
        <v>1643</v>
      </c>
      <c r="AD361" s="213" t="s">
        <v>1643</v>
      </c>
      <c r="AE361" s="213" t="s">
        <v>1643</v>
      </c>
      <c r="AF361" s="213" t="s">
        <v>1643</v>
      </c>
      <c r="AG361" s="214" t="s">
        <v>1644</v>
      </c>
      <c r="AH361" s="212" t="s">
        <v>1644</v>
      </c>
      <c r="AI361" s="213" t="s">
        <v>1644</v>
      </c>
      <c r="AJ361" s="213" t="s">
        <v>1644</v>
      </c>
      <c r="AK361" s="213" t="s">
        <v>1644</v>
      </c>
      <c r="AL361" s="213" t="s">
        <v>1644</v>
      </c>
      <c r="AM361" s="213" t="s">
        <v>1643</v>
      </c>
      <c r="AN361" s="213" t="s">
        <v>1644</v>
      </c>
      <c r="AO361" s="213" t="s">
        <v>1644</v>
      </c>
      <c r="AP361" s="213" t="s">
        <v>1644</v>
      </c>
      <c r="AQ361" s="213" t="s">
        <v>1644</v>
      </c>
      <c r="AR361" s="213" t="s">
        <v>1644</v>
      </c>
      <c r="AS361" s="214" t="s">
        <v>1644</v>
      </c>
    </row>
    <row r="362" spans="1:45" ht="15.75" thickBot="1" x14ac:dyDescent="0.3">
      <c r="A362" s="212" t="s">
        <v>1107</v>
      </c>
      <c r="B362" s="48" t="s">
        <v>1108</v>
      </c>
      <c r="C362" s="214" t="s">
        <v>837</v>
      </c>
      <c r="D362" s="218">
        <v>40</v>
      </c>
      <c r="E362" s="219">
        <v>81976</v>
      </c>
      <c r="F362" s="219">
        <v>104835</v>
      </c>
      <c r="G362" s="221">
        <v>40</v>
      </c>
      <c r="H362" s="219">
        <v>56001</v>
      </c>
      <c r="I362" s="219">
        <v>78941</v>
      </c>
      <c r="J362" s="221">
        <v>40</v>
      </c>
      <c r="K362" s="219">
        <v>69082</v>
      </c>
      <c r="L362" s="219">
        <v>87026</v>
      </c>
      <c r="M362" s="221">
        <v>40</v>
      </c>
      <c r="N362" s="219">
        <v>56001</v>
      </c>
      <c r="O362" s="219">
        <v>70233</v>
      </c>
      <c r="P362" s="221">
        <v>40</v>
      </c>
      <c r="Q362" s="219">
        <v>56001</v>
      </c>
      <c r="R362" s="219">
        <v>90044</v>
      </c>
      <c r="S362" s="221">
        <v>20</v>
      </c>
      <c r="T362" s="219">
        <v>14788</v>
      </c>
      <c r="U362" s="222">
        <v>15989</v>
      </c>
      <c r="V362" s="212" t="s">
        <v>1643</v>
      </c>
      <c r="W362" s="213" t="s">
        <v>1643</v>
      </c>
      <c r="X362" s="213" t="s">
        <v>1643</v>
      </c>
      <c r="Y362" s="213" t="s">
        <v>1644</v>
      </c>
      <c r="Z362" s="213" t="s">
        <v>1643</v>
      </c>
      <c r="AA362" s="213" t="s">
        <v>1643</v>
      </c>
      <c r="AB362" s="213" t="s">
        <v>1643</v>
      </c>
      <c r="AC362" s="213" t="s">
        <v>1643</v>
      </c>
      <c r="AD362" s="213" t="s">
        <v>1643</v>
      </c>
      <c r="AE362" s="213" t="s">
        <v>1643</v>
      </c>
      <c r="AF362" s="213" t="s">
        <v>1643</v>
      </c>
      <c r="AG362" s="214" t="s">
        <v>1644</v>
      </c>
      <c r="AH362" s="212" t="s">
        <v>1643</v>
      </c>
      <c r="AI362" s="213" t="s">
        <v>1643</v>
      </c>
      <c r="AJ362" s="213" t="s">
        <v>1643</v>
      </c>
      <c r="AK362" s="213" t="s">
        <v>1644</v>
      </c>
      <c r="AL362" s="213" t="s">
        <v>1643</v>
      </c>
      <c r="AM362" s="213" t="s">
        <v>1643</v>
      </c>
      <c r="AN362" s="213" t="s">
        <v>1643</v>
      </c>
      <c r="AO362" s="213" t="s">
        <v>1643</v>
      </c>
      <c r="AP362" s="213" t="s">
        <v>1643</v>
      </c>
      <c r="AQ362" s="213" t="s">
        <v>1643</v>
      </c>
      <c r="AR362" s="213" t="s">
        <v>1643</v>
      </c>
      <c r="AS362" s="214" t="s">
        <v>1644</v>
      </c>
    </row>
    <row r="363" spans="1:45" ht="15.75" thickBot="1" x14ac:dyDescent="0.3">
      <c r="A363" s="212" t="s">
        <v>1111</v>
      </c>
      <c r="B363" s="48" t="s">
        <v>1112</v>
      </c>
      <c r="C363" s="214" t="s">
        <v>837</v>
      </c>
      <c r="D363" s="218">
        <v>40</v>
      </c>
      <c r="E363" s="219">
        <v>65000</v>
      </c>
      <c r="F363" s="219">
        <v>82000</v>
      </c>
      <c r="G363" s="221">
        <v>40</v>
      </c>
      <c r="H363" s="219">
        <v>66209</v>
      </c>
      <c r="I363" s="219">
        <v>74230</v>
      </c>
      <c r="J363" s="221">
        <v>40</v>
      </c>
      <c r="K363" s="219">
        <v>49225</v>
      </c>
      <c r="L363" s="219">
        <v>63994</v>
      </c>
      <c r="M363" s="221">
        <v>40</v>
      </c>
      <c r="N363" s="219">
        <v>49225</v>
      </c>
      <c r="O363" s="219">
        <v>49225</v>
      </c>
      <c r="P363" s="221">
        <v>40</v>
      </c>
      <c r="Q363" s="219">
        <v>46125</v>
      </c>
      <c r="R363" s="219">
        <v>62000</v>
      </c>
      <c r="S363" s="221">
        <v>40</v>
      </c>
      <c r="T363" s="219">
        <v>30766</v>
      </c>
      <c r="U363" s="222">
        <v>39683</v>
      </c>
      <c r="V363" s="212" t="s">
        <v>1643</v>
      </c>
      <c r="W363" s="213" t="s">
        <v>1643</v>
      </c>
      <c r="X363" s="213" t="s">
        <v>1643</v>
      </c>
      <c r="Y363" s="213" t="s">
        <v>1644</v>
      </c>
      <c r="Z363" s="213" t="s">
        <v>1643</v>
      </c>
      <c r="AA363" s="213" t="s">
        <v>1643</v>
      </c>
      <c r="AB363" s="213" t="s">
        <v>1643</v>
      </c>
      <c r="AC363" s="213" t="s">
        <v>1643</v>
      </c>
      <c r="AD363" s="213" t="s">
        <v>1644</v>
      </c>
      <c r="AE363" s="213" t="s">
        <v>1643</v>
      </c>
      <c r="AF363" s="213" t="s">
        <v>1643</v>
      </c>
      <c r="AG363" s="214" t="s">
        <v>1644</v>
      </c>
      <c r="AH363" s="212" t="s">
        <v>1643</v>
      </c>
      <c r="AI363" s="213" t="s">
        <v>1643</v>
      </c>
      <c r="AJ363" s="213" t="s">
        <v>1643</v>
      </c>
      <c r="AK363" s="213" t="s">
        <v>1644</v>
      </c>
      <c r="AL363" s="213" t="s">
        <v>1643</v>
      </c>
      <c r="AM363" s="213" t="s">
        <v>1643</v>
      </c>
      <c r="AN363" s="213" t="s">
        <v>1643</v>
      </c>
      <c r="AO363" s="213" t="s">
        <v>1643</v>
      </c>
      <c r="AP363" s="213" t="s">
        <v>1644</v>
      </c>
      <c r="AQ363" s="213" t="s">
        <v>1643</v>
      </c>
      <c r="AR363" s="213" t="s">
        <v>1643</v>
      </c>
      <c r="AS363" s="214" t="s">
        <v>1644</v>
      </c>
    </row>
    <row r="364" spans="1:45" ht="15.75" thickBot="1" x14ac:dyDescent="0.3">
      <c r="A364" s="212" t="s">
        <v>1137</v>
      </c>
      <c r="B364" s="48" t="s">
        <v>1138</v>
      </c>
      <c r="C364" s="214" t="s">
        <v>837</v>
      </c>
      <c r="D364" s="218">
        <v>40</v>
      </c>
      <c r="E364" s="219">
        <v>66165</v>
      </c>
      <c r="F364" s="219">
        <v>80434</v>
      </c>
      <c r="G364" s="221">
        <v>40</v>
      </c>
      <c r="H364" s="219">
        <v>53581</v>
      </c>
      <c r="I364" s="219">
        <v>66165</v>
      </c>
      <c r="J364" s="221">
        <v>40</v>
      </c>
      <c r="K364" s="219">
        <v>49192</v>
      </c>
      <c r="L364" s="219">
        <v>60154</v>
      </c>
      <c r="M364" s="221">
        <v>40</v>
      </c>
      <c r="N364" s="219">
        <v>38043</v>
      </c>
      <c r="O364" s="219">
        <v>49483</v>
      </c>
      <c r="P364" s="221">
        <v>40</v>
      </c>
      <c r="Q364" s="219">
        <v>38043</v>
      </c>
      <c r="R364" s="219">
        <v>49483</v>
      </c>
      <c r="S364" s="221">
        <v>40</v>
      </c>
      <c r="T364" s="219">
        <v>34008</v>
      </c>
      <c r="U364" s="222">
        <v>43451</v>
      </c>
      <c r="V364" s="212" t="s">
        <v>1643</v>
      </c>
      <c r="W364" s="213" t="s">
        <v>1643</v>
      </c>
      <c r="X364" s="213" t="s">
        <v>1643</v>
      </c>
      <c r="Y364" s="213" t="s">
        <v>1643</v>
      </c>
      <c r="Z364" s="213" t="s">
        <v>1644</v>
      </c>
      <c r="AA364" s="213" t="s">
        <v>1643</v>
      </c>
      <c r="AB364" s="213" t="s">
        <v>1643</v>
      </c>
      <c r="AC364" s="213" t="s">
        <v>1643</v>
      </c>
      <c r="AD364" s="213" t="s">
        <v>1643</v>
      </c>
      <c r="AE364" s="213" t="s">
        <v>1643</v>
      </c>
      <c r="AF364" s="213" t="s">
        <v>1643</v>
      </c>
      <c r="AG364" s="214" t="s">
        <v>1644</v>
      </c>
      <c r="AH364" s="212" t="s">
        <v>1644</v>
      </c>
      <c r="AI364" s="213" t="s">
        <v>1644</v>
      </c>
      <c r="AJ364" s="213" t="s">
        <v>1644</v>
      </c>
      <c r="AK364" s="213" t="s">
        <v>1644</v>
      </c>
      <c r="AL364" s="213" t="s">
        <v>1644</v>
      </c>
      <c r="AM364" s="213" t="s">
        <v>1644</v>
      </c>
      <c r="AN364" s="213" t="s">
        <v>1644</v>
      </c>
      <c r="AO364" s="213" t="s">
        <v>1644</v>
      </c>
      <c r="AP364" s="213" t="s">
        <v>1643</v>
      </c>
      <c r="AQ364" s="213" t="s">
        <v>1644</v>
      </c>
      <c r="AR364" s="213" t="s">
        <v>1644</v>
      </c>
      <c r="AS364" s="214" t="s">
        <v>1644</v>
      </c>
    </row>
    <row r="365" spans="1:45" ht="15.75" thickBot="1" x14ac:dyDescent="0.3">
      <c r="A365" s="212" t="s">
        <v>1159</v>
      </c>
      <c r="B365" s="48" t="s">
        <v>1160</v>
      </c>
      <c r="C365" s="214" t="s">
        <v>837</v>
      </c>
      <c r="D365" s="223" t="s">
        <v>850</v>
      </c>
      <c r="E365" s="220" t="s">
        <v>850</v>
      </c>
      <c r="F365" s="220" t="s">
        <v>850</v>
      </c>
      <c r="G365" s="221">
        <v>41</v>
      </c>
      <c r="H365" s="219">
        <v>39541</v>
      </c>
      <c r="I365" s="219">
        <v>72779</v>
      </c>
      <c r="J365" s="220" t="s">
        <v>850</v>
      </c>
      <c r="K365" s="220" t="s">
        <v>850</v>
      </c>
      <c r="L365" s="220" t="s">
        <v>850</v>
      </c>
      <c r="M365" s="221">
        <v>40</v>
      </c>
      <c r="N365" s="219">
        <v>34840</v>
      </c>
      <c r="O365" s="219">
        <v>55744</v>
      </c>
      <c r="P365" s="221">
        <v>40</v>
      </c>
      <c r="Q365" s="219">
        <v>39541</v>
      </c>
      <c r="R365" s="219">
        <v>63242</v>
      </c>
      <c r="S365" s="221">
        <v>22</v>
      </c>
      <c r="T365" s="219">
        <v>14872</v>
      </c>
      <c r="U365" s="222">
        <v>49130</v>
      </c>
      <c r="V365" s="212" t="s">
        <v>1643</v>
      </c>
      <c r="W365" s="213" t="s">
        <v>1644</v>
      </c>
      <c r="X365" s="213" t="s">
        <v>1643</v>
      </c>
      <c r="Y365" s="213" t="s">
        <v>1643</v>
      </c>
      <c r="Z365" s="213" t="s">
        <v>1644</v>
      </c>
      <c r="AA365" s="213" t="s">
        <v>1643</v>
      </c>
      <c r="AB365" s="213" t="s">
        <v>1643</v>
      </c>
      <c r="AC365" s="213" t="s">
        <v>1643</v>
      </c>
      <c r="AD365" s="213" t="s">
        <v>1643</v>
      </c>
      <c r="AE365" s="213" t="s">
        <v>1644</v>
      </c>
      <c r="AF365" s="213" t="s">
        <v>1644</v>
      </c>
      <c r="AG365" s="214" t="s">
        <v>1644</v>
      </c>
      <c r="AH365" s="212" t="s">
        <v>1644</v>
      </c>
      <c r="AI365" s="213" t="s">
        <v>1644</v>
      </c>
      <c r="AJ365" s="213" t="s">
        <v>1644</v>
      </c>
      <c r="AK365" s="213" t="s">
        <v>1644</v>
      </c>
      <c r="AL365" s="213" t="s">
        <v>1644</v>
      </c>
      <c r="AM365" s="213" t="s">
        <v>1643</v>
      </c>
      <c r="AN365" s="213" t="s">
        <v>1643</v>
      </c>
      <c r="AO365" s="213" t="s">
        <v>1643</v>
      </c>
      <c r="AP365" s="213" t="s">
        <v>1643</v>
      </c>
      <c r="AQ365" s="213" t="s">
        <v>1644</v>
      </c>
      <c r="AR365" s="213" t="s">
        <v>1644</v>
      </c>
      <c r="AS365" s="214" t="s">
        <v>1644</v>
      </c>
    </row>
    <row r="366" spans="1:45" ht="15.75" thickBot="1" x14ac:dyDescent="0.3">
      <c r="A366" s="212" t="s">
        <v>1179</v>
      </c>
      <c r="B366" s="48" t="s">
        <v>1180</v>
      </c>
      <c r="C366" s="214" t="s">
        <v>837</v>
      </c>
      <c r="D366" s="218">
        <v>40</v>
      </c>
      <c r="E366" s="219">
        <v>72100</v>
      </c>
      <c r="F366" s="219">
        <v>84800</v>
      </c>
      <c r="G366" s="221">
        <v>40</v>
      </c>
      <c r="H366" s="219">
        <v>38396</v>
      </c>
      <c r="I366" s="219">
        <v>63876</v>
      </c>
      <c r="J366" s="221">
        <v>40</v>
      </c>
      <c r="K366" s="219">
        <v>46987</v>
      </c>
      <c r="L366" s="219">
        <v>54974</v>
      </c>
      <c r="M366" s="221">
        <v>40</v>
      </c>
      <c r="N366" s="219">
        <v>40060</v>
      </c>
      <c r="O366" s="219">
        <v>48609</v>
      </c>
      <c r="P366" s="221">
        <v>40</v>
      </c>
      <c r="Q366" s="219">
        <v>58349</v>
      </c>
      <c r="R366" s="219">
        <v>68958</v>
      </c>
      <c r="S366" s="221">
        <v>26</v>
      </c>
      <c r="T366" s="219">
        <v>25002</v>
      </c>
      <c r="U366" s="222">
        <v>35380</v>
      </c>
      <c r="V366" s="212" t="s">
        <v>1643</v>
      </c>
      <c r="W366" s="213" t="s">
        <v>1643</v>
      </c>
      <c r="X366" s="213" t="s">
        <v>1643</v>
      </c>
      <c r="Y366" s="213" t="s">
        <v>1643</v>
      </c>
      <c r="Z366" s="213" t="s">
        <v>1643</v>
      </c>
      <c r="AA366" s="213" t="s">
        <v>1643</v>
      </c>
      <c r="AB366" s="213" t="s">
        <v>1643</v>
      </c>
      <c r="AC366" s="213" t="s">
        <v>1643</v>
      </c>
      <c r="AD366" s="213" t="s">
        <v>1644</v>
      </c>
      <c r="AE366" s="213" t="s">
        <v>1643</v>
      </c>
      <c r="AF366" s="213" t="s">
        <v>1643</v>
      </c>
      <c r="AG366" s="214" t="s">
        <v>1644</v>
      </c>
      <c r="AH366" s="212" t="s">
        <v>1644</v>
      </c>
      <c r="AI366" s="213" t="s">
        <v>1644</v>
      </c>
      <c r="AJ366" s="213" t="s">
        <v>1644</v>
      </c>
      <c r="AK366" s="213" t="s">
        <v>1644</v>
      </c>
      <c r="AL366" s="213" t="s">
        <v>1644</v>
      </c>
      <c r="AM366" s="213" t="s">
        <v>1643</v>
      </c>
      <c r="AN366" s="213" t="s">
        <v>1643</v>
      </c>
      <c r="AO366" s="213" t="s">
        <v>1644</v>
      </c>
      <c r="AP366" s="213" t="s">
        <v>1644</v>
      </c>
      <c r="AQ366" s="213" t="s">
        <v>1643</v>
      </c>
      <c r="AR366" s="213" t="s">
        <v>1643</v>
      </c>
      <c r="AS366" s="214" t="s">
        <v>1644</v>
      </c>
    </row>
    <row r="367" spans="1:45" ht="15.75" thickBot="1" x14ac:dyDescent="0.3">
      <c r="A367" s="212" t="s">
        <v>1187</v>
      </c>
      <c r="B367" s="48" t="s">
        <v>1188</v>
      </c>
      <c r="C367" s="214" t="s">
        <v>837</v>
      </c>
      <c r="D367" s="218">
        <v>40</v>
      </c>
      <c r="E367" s="219">
        <v>74965</v>
      </c>
      <c r="F367" s="219">
        <v>98965</v>
      </c>
      <c r="G367" s="221">
        <v>40</v>
      </c>
      <c r="H367" s="219">
        <v>66490</v>
      </c>
      <c r="I367" s="219">
        <v>88490</v>
      </c>
      <c r="J367" s="221">
        <v>40</v>
      </c>
      <c r="K367" s="219">
        <v>61915</v>
      </c>
      <c r="L367" s="219">
        <v>72562</v>
      </c>
      <c r="M367" s="221">
        <v>40</v>
      </c>
      <c r="N367" s="219">
        <v>50998</v>
      </c>
      <c r="O367" s="219">
        <v>61916</v>
      </c>
      <c r="P367" s="221">
        <v>40</v>
      </c>
      <c r="Q367" s="219">
        <v>35910</v>
      </c>
      <c r="R367" s="219">
        <v>72215</v>
      </c>
      <c r="S367" s="221">
        <v>40</v>
      </c>
      <c r="T367" s="219">
        <v>30284</v>
      </c>
      <c r="U367" s="222">
        <v>45654</v>
      </c>
      <c r="V367" s="212" t="s">
        <v>1643</v>
      </c>
      <c r="W367" s="213" t="s">
        <v>1643</v>
      </c>
      <c r="X367" s="213" t="s">
        <v>1643</v>
      </c>
      <c r="Y367" s="213" t="s">
        <v>1643</v>
      </c>
      <c r="Z367" s="213" t="s">
        <v>1643</v>
      </c>
      <c r="AA367" s="213" t="s">
        <v>1643</v>
      </c>
      <c r="AB367" s="213" t="s">
        <v>1643</v>
      </c>
      <c r="AC367" s="213" t="s">
        <v>1643</v>
      </c>
      <c r="AD367" s="213" t="s">
        <v>1644</v>
      </c>
      <c r="AE367" s="213" t="s">
        <v>1643</v>
      </c>
      <c r="AF367" s="213" t="s">
        <v>1643</v>
      </c>
      <c r="AG367" s="214" t="s">
        <v>1644</v>
      </c>
      <c r="AH367" s="212" t="s">
        <v>1643</v>
      </c>
      <c r="AI367" s="213" t="s">
        <v>1643</v>
      </c>
      <c r="AJ367" s="213" t="s">
        <v>1643</v>
      </c>
      <c r="AK367" s="213" t="s">
        <v>1643</v>
      </c>
      <c r="AL367" s="213" t="s">
        <v>1643</v>
      </c>
      <c r="AM367" s="213" t="s">
        <v>1643</v>
      </c>
      <c r="AN367" s="213" t="s">
        <v>1643</v>
      </c>
      <c r="AO367" s="213" t="s">
        <v>1643</v>
      </c>
      <c r="AP367" s="213" t="s">
        <v>1644</v>
      </c>
      <c r="AQ367" s="213" t="s">
        <v>1643</v>
      </c>
      <c r="AR367" s="213" t="s">
        <v>1643</v>
      </c>
      <c r="AS367" s="214" t="s">
        <v>1644</v>
      </c>
    </row>
    <row r="368" spans="1:45" ht="15.75" thickBot="1" x14ac:dyDescent="0.3">
      <c r="A368" s="212" t="s">
        <v>1191</v>
      </c>
      <c r="B368" s="48" t="s">
        <v>1192</v>
      </c>
      <c r="C368" s="214" t="s">
        <v>837</v>
      </c>
      <c r="D368" s="223" t="s">
        <v>850</v>
      </c>
      <c r="E368" s="220" t="s">
        <v>850</v>
      </c>
      <c r="F368" s="220" t="s">
        <v>850</v>
      </c>
      <c r="G368" s="221">
        <v>40</v>
      </c>
      <c r="H368" s="219">
        <v>52240</v>
      </c>
      <c r="I368" s="219">
        <v>88500</v>
      </c>
      <c r="J368" s="221">
        <v>40</v>
      </c>
      <c r="K368" s="219">
        <v>52104</v>
      </c>
      <c r="L368" s="219">
        <v>64917</v>
      </c>
      <c r="M368" s="221">
        <v>33</v>
      </c>
      <c r="N368" s="219">
        <v>46384</v>
      </c>
      <c r="O368" s="219">
        <v>63024</v>
      </c>
      <c r="P368" s="221">
        <v>40</v>
      </c>
      <c r="Q368" s="219">
        <v>49150</v>
      </c>
      <c r="R368" s="219">
        <v>61838</v>
      </c>
      <c r="S368" s="221">
        <v>23</v>
      </c>
      <c r="T368" s="219">
        <v>24440</v>
      </c>
      <c r="U368" s="222">
        <v>38522</v>
      </c>
      <c r="V368" s="212" t="s">
        <v>1643</v>
      </c>
      <c r="W368" s="213" t="s">
        <v>1643</v>
      </c>
      <c r="X368" s="213" t="s">
        <v>1643</v>
      </c>
      <c r="Y368" s="213" t="s">
        <v>1643</v>
      </c>
      <c r="Z368" s="213" t="s">
        <v>1643</v>
      </c>
      <c r="AA368" s="213" t="s">
        <v>1643</v>
      </c>
      <c r="AB368" s="213" t="s">
        <v>1643</v>
      </c>
      <c r="AC368" s="213" t="s">
        <v>1643</v>
      </c>
      <c r="AD368" s="213" t="s">
        <v>1643</v>
      </c>
      <c r="AE368" s="213" t="s">
        <v>1643</v>
      </c>
      <c r="AF368" s="213" t="s">
        <v>1644</v>
      </c>
      <c r="AG368" s="214" t="s">
        <v>1644</v>
      </c>
      <c r="AH368" s="212" t="s">
        <v>1644</v>
      </c>
      <c r="AI368" s="213" t="s">
        <v>1644</v>
      </c>
      <c r="AJ368" s="213" t="s">
        <v>1644</v>
      </c>
      <c r="AK368" s="213" t="s">
        <v>1643</v>
      </c>
      <c r="AL368" s="213" t="s">
        <v>1644</v>
      </c>
      <c r="AM368" s="213" t="s">
        <v>1643</v>
      </c>
      <c r="AN368" s="213" t="s">
        <v>1643</v>
      </c>
      <c r="AO368" s="213" t="s">
        <v>1643</v>
      </c>
      <c r="AP368" s="213" t="s">
        <v>1643</v>
      </c>
      <c r="AQ368" s="213" t="s">
        <v>1644</v>
      </c>
      <c r="AR368" s="213" t="s">
        <v>1644</v>
      </c>
      <c r="AS368" s="214" t="s">
        <v>1644</v>
      </c>
    </row>
    <row r="369" spans="1:45" ht="15.75" thickBot="1" x14ac:dyDescent="0.3">
      <c r="A369" s="212" t="s">
        <v>1201</v>
      </c>
      <c r="B369" s="48" t="s">
        <v>1202</v>
      </c>
      <c r="C369" s="214" t="s">
        <v>837</v>
      </c>
      <c r="D369" s="218">
        <v>40</v>
      </c>
      <c r="E369" s="219">
        <v>52000</v>
      </c>
      <c r="F369" s="219">
        <v>69000</v>
      </c>
      <c r="G369" s="221">
        <v>40</v>
      </c>
      <c r="H369" s="219">
        <v>45000</v>
      </c>
      <c r="I369" s="219">
        <v>61000</v>
      </c>
      <c r="J369" s="220" t="s">
        <v>850</v>
      </c>
      <c r="K369" s="220" t="s">
        <v>850</v>
      </c>
      <c r="L369" s="220" t="s">
        <v>850</v>
      </c>
      <c r="M369" s="220" t="s">
        <v>850</v>
      </c>
      <c r="N369" s="220" t="s">
        <v>850</v>
      </c>
      <c r="O369" s="220" t="s">
        <v>850</v>
      </c>
      <c r="P369" s="227"/>
      <c r="Q369" s="226"/>
      <c r="R369" s="226"/>
      <c r="S369" s="221">
        <v>40</v>
      </c>
      <c r="T369" s="219">
        <v>27435</v>
      </c>
      <c r="U369" s="222">
        <v>34237</v>
      </c>
      <c r="V369" s="212" t="s">
        <v>1643</v>
      </c>
      <c r="W369" s="213" t="s">
        <v>1643</v>
      </c>
      <c r="X369" s="213" t="s">
        <v>1643</v>
      </c>
      <c r="Y369" s="213" t="s">
        <v>1643</v>
      </c>
      <c r="Z369" s="213" t="s">
        <v>1643</v>
      </c>
      <c r="AA369" s="213" t="s">
        <v>1643</v>
      </c>
      <c r="AB369" s="213" t="s">
        <v>1643</v>
      </c>
      <c r="AC369" s="213" t="s">
        <v>1643</v>
      </c>
      <c r="AD369" s="213" t="s">
        <v>1643</v>
      </c>
      <c r="AE369" s="213" t="s">
        <v>1643</v>
      </c>
      <c r="AF369" s="213" t="s">
        <v>1643</v>
      </c>
      <c r="AG369" s="214" t="s">
        <v>1644</v>
      </c>
      <c r="AH369" s="212" t="s">
        <v>1644</v>
      </c>
      <c r="AI369" s="213" t="s">
        <v>1644</v>
      </c>
      <c r="AJ369" s="213" t="s">
        <v>1643</v>
      </c>
      <c r="AK369" s="213" t="s">
        <v>1643</v>
      </c>
      <c r="AL369" s="213" t="s">
        <v>1644</v>
      </c>
      <c r="AM369" s="213" t="s">
        <v>1643</v>
      </c>
      <c r="AN369" s="213" t="s">
        <v>1643</v>
      </c>
      <c r="AO369" s="213" t="s">
        <v>1643</v>
      </c>
      <c r="AP369" s="213" t="s">
        <v>1643</v>
      </c>
      <c r="AQ369" s="213" t="s">
        <v>1643</v>
      </c>
      <c r="AR369" s="213" t="s">
        <v>1643</v>
      </c>
      <c r="AS369" s="214" t="s">
        <v>1644</v>
      </c>
    </row>
    <row r="370" spans="1:45" ht="15.75" thickBot="1" x14ac:dyDescent="0.3">
      <c r="A370" s="212" t="s">
        <v>1227</v>
      </c>
      <c r="B370" s="48" t="s">
        <v>1228</v>
      </c>
      <c r="C370" s="214" t="s">
        <v>837</v>
      </c>
      <c r="D370" s="223" t="s">
        <v>850</v>
      </c>
      <c r="E370" s="220" t="s">
        <v>850</v>
      </c>
      <c r="F370" s="220" t="s">
        <v>850</v>
      </c>
      <c r="G370" s="221">
        <v>40</v>
      </c>
      <c r="H370" s="219">
        <v>65312</v>
      </c>
      <c r="I370" s="219">
        <v>76169</v>
      </c>
      <c r="J370" s="221">
        <v>40</v>
      </c>
      <c r="K370" s="219">
        <v>60964</v>
      </c>
      <c r="L370" s="219">
        <v>71323</v>
      </c>
      <c r="M370" s="221">
        <v>40</v>
      </c>
      <c r="N370" s="219">
        <v>48859</v>
      </c>
      <c r="O370" s="219">
        <v>57137</v>
      </c>
      <c r="P370" s="221">
        <v>40</v>
      </c>
      <c r="Q370" s="219">
        <v>65312</v>
      </c>
      <c r="R370" s="219">
        <v>76169</v>
      </c>
      <c r="S370" s="221">
        <v>40</v>
      </c>
      <c r="T370" s="219">
        <v>34340</v>
      </c>
      <c r="U370" s="222">
        <v>37939</v>
      </c>
      <c r="V370" s="212" t="s">
        <v>1643</v>
      </c>
      <c r="W370" s="213" t="s">
        <v>1643</v>
      </c>
      <c r="X370" s="213" t="s">
        <v>1643</v>
      </c>
      <c r="Y370" s="213" t="s">
        <v>1644</v>
      </c>
      <c r="Z370" s="213" t="s">
        <v>1643</v>
      </c>
      <c r="AA370" s="213" t="s">
        <v>1643</v>
      </c>
      <c r="AB370" s="213" t="s">
        <v>1643</v>
      </c>
      <c r="AC370" s="213" t="s">
        <v>1643</v>
      </c>
      <c r="AD370" s="213" t="s">
        <v>1643</v>
      </c>
      <c r="AE370" s="213" t="s">
        <v>1643</v>
      </c>
      <c r="AF370" s="213" t="s">
        <v>1643</v>
      </c>
      <c r="AG370" s="214" t="s">
        <v>1643</v>
      </c>
      <c r="AH370" s="212" t="s">
        <v>1643</v>
      </c>
      <c r="AI370" s="213" t="s">
        <v>1643</v>
      </c>
      <c r="AJ370" s="213" t="s">
        <v>1643</v>
      </c>
      <c r="AK370" s="213" t="s">
        <v>1644</v>
      </c>
      <c r="AL370" s="213" t="s">
        <v>1643</v>
      </c>
      <c r="AM370" s="213" t="s">
        <v>1643</v>
      </c>
      <c r="AN370" s="213" t="s">
        <v>1643</v>
      </c>
      <c r="AO370" s="213" t="s">
        <v>1643</v>
      </c>
      <c r="AP370" s="213" t="s">
        <v>1643</v>
      </c>
      <c r="AQ370" s="213" t="s">
        <v>1643</v>
      </c>
      <c r="AR370" s="213" t="s">
        <v>1643</v>
      </c>
      <c r="AS370" s="214" t="s">
        <v>1643</v>
      </c>
    </row>
    <row r="371" spans="1:45" ht="15.75" thickBot="1" x14ac:dyDescent="0.3">
      <c r="A371" s="212" t="s">
        <v>1293</v>
      </c>
      <c r="B371" s="48" t="s">
        <v>1294</v>
      </c>
      <c r="C371" s="214" t="s">
        <v>837</v>
      </c>
      <c r="D371" s="225"/>
      <c r="E371" s="226"/>
      <c r="F371" s="226"/>
      <c r="G371" s="221">
        <v>40</v>
      </c>
      <c r="H371" s="219">
        <v>47944</v>
      </c>
      <c r="I371" s="219">
        <v>64584</v>
      </c>
      <c r="J371" s="221">
        <v>40</v>
      </c>
      <c r="K371" s="219">
        <v>44221</v>
      </c>
      <c r="L371" s="219">
        <v>62462</v>
      </c>
      <c r="M371" s="221">
        <v>31</v>
      </c>
      <c r="N371" s="219">
        <v>12673</v>
      </c>
      <c r="O371" s="219">
        <v>56077</v>
      </c>
      <c r="P371" s="221">
        <v>40</v>
      </c>
      <c r="Q371" s="219">
        <v>42890</v>
      </c>
      <c r="R371" s="219">
        <v>62462</v>
      </c>
      <c r="S371" s="221">
        <v>22</v>
      </c>
      <c r="T371" s="219">
        <v>3305</v>
      </c>
      <c r="U371" s="222">
        <v>38938</v>
      </c>
      <c r="V371" s="212" t="s">
        <v>1643</v>
      </c>
      <c r="W371" s="213" t="s">
        <v>1643</v>
      </c>
      <c r="X371" s="213" t="s">
        <v>1643</v>
      </c>
      <c r="Y371" s="213" t="s">
        <v>1643</v>
      </c>
      <c r="Z371" s="213" t="s">
        <v>1643</v>
      </c>
      <c r="AA371" s="213" t="s">
        <v>1643</v>
      </c>
      <c r="AB371" s="213" t="s">
        <v>1643</v>
      </c>
      <c r="AC371" s="213" t="s">
        <v>1643</v>
      </c>
      <c r="AD371" s="213" t="s">
        <v>1643</v>
      </c>
      <c r="AE371" s="213" t="s">
        <v>1643</v>
      </c>
      <c r="AF371" s="213" t="s">
        <v>1643</v>
      </c>
      <c r="AG371" s="214" t="s">
        <v>1643</v>
      </c>
      <c r="AH371" s="212" t="s">
        <v>1644</v>
      </c>
      <c r="AI371" s="213" t="s">
        <v>1644</v>
      </c>
      <c r="AJ371" s="213" t="s">
        <v>1643</v>
      </c>
      <c r="AK371" s="213" t="s">
        <v>1643</v>
      </c>
      <c r="AL371" s="213" t="s">
        <v>1644</v>
      </c>
      <c r="AM371" s="213" t="s">
        <v>1643</v>
      </c>
      <c r="AN371" s="213" t="s">
        <v>1644</v>
      </c>
      <c r="AO371" s="213" t="s">
        <v>1644</v>
      </c>
      <c r="AP371" s="213" t="s">
        <v>1643</v>
      </c>
      <c r="AQ371" s="213" t="s">
        <v>1644</v>
      </c>
      <c r="AR371" s="213" t="s">
        <v>1644</v>
      </c>
      <c r="AS371" s="214" t="s">
        <v>1643</v>
      </c>
    </row>
    <row r="372" spans="1:45" ht="15.75" thickBot="1" x14ac:dyDescent="0.3">
      <c r="A372" s="212" t="s">
        <v>1307</v>
      </c>
      <c r="B372" s="48" t="s">
        <v>1308</v>
      </c>
      <c r="C372" s="214" t="s">
        <v>837</v>
      </c>
      <c r="D372" s="218">
        <v>40</v>
      </c>
      <c r="E372" s="219">
        <v>58115</v>
      </c>
      <c r="F372" s="219">
        <v>69097</v>
      </c>
      <c r="G372" s="221">
        <v>40</v>
      </c>
      <c r="H372" s="219">
        <v>52000</v>
      </c>
      <c r="I372" s="219">
        <v>61360</v>
      </c>
      <c r="J372" s="221">
        <v>40</v>
      </c>
      <c r="K372" s="219">
        <v>46862</v>
      </c>
      <c r="L372" s="219">
        <v>55681</v>
      </c>
      <c r="M372" s="221">
        <v>40</v>
      </c>
      <c r="N372" s="219">
        <v>41204</v>
      </c>
      <c r="O372" s="219">
        <v>48880</v>
      </c>
      <c r="P372" s="221">
        <v>40</v>
      </c>
      <c r="Q372" s="219">
        <v>37169</v>
      </c>
      <c r="R372" s="219">
        <v>44262</v>
      </c>
      <c r="S372" s="221">
        <v>24</v>
      </c>
      <c r="T372" s="219">
        <v>29473</v>
      </c>
      <c r="U372" s="222">
        <v>33987</v>
      </c>
      <c r="V372" s="212" t="s">
        <v>1643</v>
      </c>
      <c r="W372" s="213" t="s">
        <v>1643</v>
      </c>
      <c r="X372" s="213" t="s">
        <v>1643</v>
      </c>
      <c r="Y372" s="213" t="s">
        <v>1643</v>
      </c>
      <c r="Z372" s="213" t="s">
        <v>1643</v>
      </c>
      <c r="AA372" s="213" t="s">
        <v>1643</v>
      </c>
      <c r="AB372" s="213" t="s">
        <v>1643</v>
      </c>
      <c r="AC372" s="213" t="s">
        <v>1643</v>
      </c>
      <c r="AD372" s="213" t="s">
        <v>1643</v>
      </c>
      <c r="AE372" s="213" t="s">
        <v>1643</v>
      </c>
      <c r="AF372" s="213" t="s">
        <v>1643</v>
      </c>
      <c r="AG372" s="214" t="s">
        <v>1643</v>
      </c>
      <c r="AH372" s="212" t="s">
        <v>1644</v>
      </c>
      <c r="AI372" s="213" t="s">
        <v>1644</v>
      </c>
      <c r="AJ372" s="213" t="s">
        <v>1644</v>
      </c>
      <c r="AK372" s="213" t="s">
        <v>1644</v>
      </c>
      <c r="AL372" s="213" t="s">
        <v>1644</v>
      </c>
      <c r="AM372" s="213" t="s">
        <v>1644</v>
      </c>
      <c r="AN372" s="213" t="s">
        <v>1644</v>
      </c>
      <c r="AO372" s="213" t="s">
        <v>1644</v>
      </c>
      <c r="AP372" s="213" t="s">
        <v>1644</v>
      </c>
      <c r="AQ372" s="213" t="s">
        <v>1644</v>
      </c>
      <c r="AR372" s="213" t="s">
        <v>1644</v>
      </c>
      <c r="AS372" s="214" t="s">
        <v>1644</v>
      </c>
    </row>
    <row r="373" spans="1:45" ht="15.75" thickBot="1" x14ac:dyDescent="0.3">
      <c r="A373" s="212" t="s">
        <v>1327</v>
      </c>
      <c r="B373" s="48" t="s">
        <v>1328</v>
      </c>
      <c r="C373" s="214" t="s">
        <v>837</v>
      </c>
      <c r="D373" s="218" t="s">
        <v>3453</v>
      </c>
      <c r="E373" s="219">
        <v>66146</v>
      </c>
      <c r="F373" s="219">
        <v>92604</v>
      </c>
      <c r="G373" s="221">
        <v>40</v>
      </c>
      <c r="H373" s="219">
        <v>50111</v>
      </c>
      <c r="I373" s="219">
        <v>77170</v>
      </c>
      <c r="J373" s="221">
        <v>40</v>
      </c>
      <c r="K373" s="219">
        <v>50111</v>
      </c>
      <c r="L373" s="219">
        <v>67649</v>
      </c>
      <c r="M373" s="221">
        <v>18</v>
      </c>
      <c r="N373" s="219">
        <v>45555</v>
      </c>
      <c r="O373" s="219">
        <v>59222</v>
      </c>
      <c r="P373" s="221">
        <v>40</v>
      </c>
      <c r="Q373" s="219">
        <v>55122</v>
      </c>
      <c r="R373" s="219">
        <v>77170</v>
      </c>
      <c r="S373" s="221">
        <v>24</v>
      </c>
      <c r="T373" s="219">
        <v>24050</v>
      </c>
      <c r="U373" s="222">
        <v>30063</v>
      </c>
      <c r="V373" s="212" t="s">
        <v>1643</v>
      </c>
      <c r="W373" s="213" t="s">
        <v>1643</v>
      </c>
      <c r="X373" s="213" t="s">
        <v>1643</v>
      </c>
      <c r="Y373" s="213" t="s">
        <v>1643</v>
      </c>
      <c r="Z373" s="213" t="s">
        <v>1643</v>
      </c>
      <c r="AA373" s="213" t="s">
        <v>1643</v>
      </c>
      <c r="AB373" s="213" t="s">
        <v>1643</v>
      </c>
      <c r="AC373" s="213" t="s">
        <v>1643</v>
      </c>
      <c r="AD373" s="213" t="s">
        <v>1643</v>
      </c>
      <c r="AE373" s="213" t="s">
        <v>1644</v>
      </c>
      <c r="AF373" s="213" t="s">
        <v>1643</v>
      </c>
      <c r="AG373" s="214" t="s">
        <v>1644</v>
      </c>
      <c r="AH373" s="212" t="s">
        <v>1644</v>
      </c>
      <c r="AI373" s="213" t="s">
        <v>1644</v>
      </c>
      <c r="AJ373" s="213" t="s">
        <v>1644</v>
      </c>
      <c r="AK373" s="213" t="s">
        <v>1644</v>
      </c>
      <c r="AL373" s="213" t="s">
        <v>1644</v>
      </c>
      <c r="AM373" s="213" t="s">
        <v>1643</v>
      </c>
      <c r="AN373" s="213" t="s">
        <v>1643</v>
      </c>
      <c r="AO373" s="213" t="s">
        <v>1643</v>
      </c>
      <c r="AP373" s="213" t="s">
        <v>1644</v>
      </c>
      <c r="AQ373" s="213" t="s">
        <v>1644</v>
      </c>
      <c r="AR373" s="213" t="s">
        <v>1643</v>
      </c>
      <c r="AS373" s="214" t="s">
        <v>1644</v>
      </c>
    </row>
    <row r="374" spans="1:45" ht="15.75" thickBot="1" x14ac:dyDescent="0.3">
      <c r="A374" s="212" t="s">
        <v>1375</v>
      </c>
      <c r="B374" s="48" t="s">
        <v>1376</v>
      </c>
      <c r="C374" s="214" t="s">
        <v>837</v>
      </c>
      <c r="D374" s="223" t="s">
        <v>850</v>
      </c>
      <c r="E374" s="220" t="s">
        <v>850</v>
      </c>
      <c r="F374" s="220" t="s">
        <v>850</v>
      </c>
      <c r="G374" s="220" t="s">
        <v>850</v>
      </c>
      <c r="H374" s="220" t="s">
        <v>850</v>
      </c>
      <c r="I374" s="220" t="s">
        <v>850</v>
      </c>
      <c r="J374" s="220" t="s">
        <v>850</v>
      </c>
      <c r="K374" s="220" t="s">
        <v>850</v>
      </c>
      <c r="L374" s="220" t="s">
        <v>850</v>
      </c>
      <c r="M374" s="221">
        <v>40</v>
      </c>
      <c r="N374" s="219">
        <v>37400</v>
      </c>
      <c r="O374" s="219">
        <v>40000</v>
      </c>
      <c r="P374" s="221">
        <v>29</v>
      </c>
      <c r="Q374" s="219">
        <v>27000</v>
      </c>
      <c r="R374" s="219">
        <v>27000</v>
      </c>
      <c r="S374" s="221">
        <v>29</v>
      </c>
      <c r="T374" s="219">
        <v>12000</v>
      </c>
      <c r="U374" s="222">
        <v>25000</v>
      </c>
      <c r="V374" s="212" t="s">
        <v>1643</v>
      </c>
      <c r="W374" s="213" t="s">
        <v>1643</v>
      </c>
      <c r="X374" s="213" t="s">
        <v>1644</v>
      </c>
      <c r="Y374" s="213" t="s">
        <v>1644</v>
      </c>
      <c r="Z374" s="213" t="s">
        <v>1644</v>
      </c>
      <c r="AA374" s="213" t="s">
        <v>1643</v>
      </c>
      <c r="AB374" s="213" t="s">
        <v>1643</v>
      </c>
      <c r="AC374" s="213" t="s">
        <v>1643</v>
      </c>
      <c r="AD374" s="213" t="s">
        <v>1644</v>
      </c>
      <c r="AE374" s="213" t="s">
        <v>1644</v>
      </c>
      <c r="AF374" s="213" t="s">
        <v>1643</v>
      </c>
      <c r="AG374" s="214" t="s">
        <v>1644</v>
      </c>
      <c r="AH374" s="212" t="s">
        <v>1644</v>
      </c>
      <c r="AI374" s="213" t="s">
        <v>1644</v>
      </c>
      <c r="AJ374" s="213" t="s">
        <v>1644</v>
      </c>
      <c r="AK374" s="213" t="s">
        <v>1644</v>
      </c>
      <c r="AL374" s="213" t="s">
        <v>1644</v>
      </c>
      <c r="AM374" s="213" t="s">
        <v>1643</v>
      </c>
      <c r="AN374" s="213" t="s">
        <v>1644</v>
      </c>
      <c r="AO374" s="213" t="s">
        <v>1644</v>
      </c>
      <c r="AP374" s="213" t="s">
        <v>1644</v>
      </c>
      <c r="AQ374" s="213" t="s">
        <v>1644</v>
      </c>
      <c r="AR374" s="213" t="s">
        <v>1643</v>
      </c>
      <c r="AS374" s="214" t="s">
        <v>1644</v>
      </c>
    </row>
    <row r="375" spans="1:45" ht="15.75" thickBot="1" x14ac:dyDescent="0.3">
      <c r="A375" s="212" t="s">
        <v>1379</v>
      </c>
      <c r="B375" s="48" t="s">
        <v>1380</v>
      </c>
      <c r="C375" s="214" t="s">
        <v>837</v>
      </c>
      <c r="D375" s="225"/>
      <c r="E375" s="226"/>
      <c r="F375" s="226"/>
      <c r="G375" s="221">
        <v>45</v>
      </c>
      <c r="H375" s="219">
        <v>47000</v>
      </c>
      <c r="I375" s="219">
        <v>78720</v>
      </c>
      <c r="J375" s="221">
        <v>40</v>
      </c>
      <c r="K375" s="219">
        <v>44410</v>
      </c>
      <c r="L375" s="219">
        <v>61474</v>
      </c>
      <c r="M375" s="221">
        <v>40</v>
      </c>
      <c r="N375" s="219">
        <v>44410</v>
      </c>
      <c r="O375" s="219">
        <v>61474</v>
      </c>
      <c r="P375" s="221">
        <v>45</v>
      </c>
      <c r="Q375" s="219">
        <v>47000</v>
      </c>
      <c r="R375" s="219">
        <v>78720</v>
      </c>
      <c r="S375" s="221">
        <v>20</v>
      </c>
      <c r="T375" s="219">
        <v>29640</v>
      </c>
      <c r="U375" s="222">
        <v>38667</v>
      </c>
      <c r="V375" s="212" t="s">
        <v>1643</v>
      </c>
      <c r="W375" s="213" t="s">
        <v>1643</v>
      </c>
      <c r="X375" s="213" t="s">
        <v>1643</v>
      </c>
      <c r="Y375" s="213" t="s">
        <v>1644</v>
      </c>
      <c r="Z375" s="213" t="s">
        <v>1643</v>
      </c>
      <c r="AA375" s="213" t="s">
        <v>1643</v>
      </c>
      <c r="AB375" s="213" t="s">
        <v>1643</v>
      </c>
      <c r="AC375" s="213" t="s">
        <v>1643</v>
      </c>
      <c r="AD375" s="213" t="s">
        <v>1643</v>
      </c>
      <c r="AE375" s="213" t="s">
        <v>1643</v>
      </c>
      <c r="AF375" s="213" t="s">
        <v>1644</v>
      </c>
      <c r="AG375" s="214" t="s">
        <v>1644</v>
      </c>
      <c r="AH375" s="212" t="s">
        <v>1644</v>
      </c>
      <c r="AI375" s="213" t="s">
        <v>1644</v>
      </c>
      <c r="AJ375" s="213" t="s">
        <v>1644</v>
      </c>
      <c r="AK375" s="213" t="s">
        <v>1644</v>
      </c>
      <c r="AL375" s="213" t="s">
        <v>1644</v>
      </c>
      <c r="AM375" s="213" t="s">
        <v>1644</v>
      </c>
      <c r="AN375" s="213" t="s">
        <v>1644</v>
      </c>
      <c r="AO375" s="213" t="s">
        <v>1644</v>
      </c>
      <c r="AP375" s="213" t="s">
        <v>1644</v>
      </c>
      <c r="AQ375" s="213" t="s">
        <v>1643</v>
      </c>
      <c r="AR375" s="213" t="s">
        <v>1644</v>
      </c>
      <c r="AS375" s="214" t="s">
        <v>1644</v>
      </c>
    </row>
    <row r="376" spans="1:45" ht="15.75" thickBot="1" x14ac:dyDescent="0.3">
      <c r="A376" s="212" t="s">
        <v>1389</v>
      </c>
      <c r="B376" s="48" t="s">
        <v>1390</v>
      </c>
      <c r="C376" s="214" t="s">
        <v>837</v>
      </c>
      <c r="D376" s="225"/>
      <c r="E376" s="226"/>
      <c r="F376" s="226"/>
      <c r="G376" s="221">
        <v>40</v>
      </c>
      <c r="H376" s="219">
        <v>55373</v>
      </c>
      <c r="I376" s="219">
        <v>69775</v>
      </c>
      <c r="J376" s="227"/>
      <c r="K376" s="226"/>
      <c r="L376" s="226"/>
      <c r="M376" s="221">
        <v>40</v>
      </c>
      <c r="N376" s="219">
        <v>44295</v>
      </c>
      <c r="O376" s="219">
        <v>55833</v>
      </c>
      <c r="P376" s="221">
        <v>40</v>
      </c>
      <c r="Q376" s="219">
        <v>42328</v>
      </c>
      <c r="R376" s="219">
        <v>53363</v>
      </c>
      <c r="S376" s="221">
        <v>25</v>
      </c>
      <c r="T376" s="219">
        <v>15119</v>
      </c>
      <c r="U376" s="222">
        <v>25844</v>
      </c>
      <c r="V376" s="212" t="s">
        <v>1643</v>
      </c>
      <c r="W376" s="213" t="s">
        <v>1643</v>
      </c>
      <c r="X376" s="213" t="s">
        <v>1643</v>
      </c>
      <c r="Y376" s="213" t="s">
        <v>1643</v>
      </c>
      <c r="Z376" s="213" t="s">
        <v>1643</v>
      </c>
      <c r="AA376" s="213" t="s">
        <v>1643</v>
      </c>
      <c r="AB376" s="213" t="s">
        <v>1643</v>
      </c>
      <c r="AC376" s="213" t="s">
        <v>1643</v>
      </c>
      <c r="AD376" s="213" t="s">
        <v>1643</v>
      </c>
      <c r="AE376" s="213" t="s">
        <v>1644</v>
      </c>
      <c r="AF376" s="213" t="s">
        <v>1643</v>
      </c>
      <c r="AG376" s="214" t="s">
        <v>1644</v>
      </c>
      <c r="AH376" s="212" t="s">
        <v>1644</v>
      </c>
      <c r="AI376" s="213" t="s">
        <v>1644</v>
      </c>
      <c r="AJ376" s="213" t="s">
        <v>1643</v>
      </c>
      <c r="AK376" s="213" t="s">
        <v>1644</v>
      </c>
      <c r="AL376" s="213" t="s">
        <v>1644</v>
      </c>
      <c r="AM376" s="213" t="s">
        <v>1643</v>
      </c>
      <c r="AN376" s="213" t="s">
        <v>1643</v>
      </c>
      <c r="AO376" s="213" t="s">
        <v>1643</v>
      </c>
      <c r="AP376" s="213" t="s">
        <v>1643</v>
      </c>
      <c r="AQ376" s="213" t="s">
        <v>1644</v>
      </c>
      <c r="AR376" s="213" t="s">
        <v>1643</v>
      </c>
      <c r="AS376" s="214" t="s">
        <v>1644</v>
      </c>
    </row>
    <row r="377" spans="1:45" ht="15.75" thickBot="1" x14ac:dyDescent="0.3">
      <c r="A377" s="212" t="s">
        <v>1423</v>
      </c>
      <c r="B377" s="48" t="s">
        <v>1424</v>
      </c>
      <c r="C377" s="214" t="s">
        <v>837</v>
      </c>
      <c r="D377" s="218">
        <v>38</v>
      </c>
      <c r="E377" s="219">
        <v>64730</v>
      </c>
      <c r="F377" s="219">
        <v>92130</v>
      </c>
      <c r="G377" s="221">
        <v>38</v>
      </c>
      <c r="H377" s="219">
        <v>52164</v>
      </c>
      <c r="I377" s="219">
        <v>74245</v>
      </c>
      <c r="J377" s="221">
        <v>38</v>
      </c>
      <c r="K377" s="219">
        <v>45477</v>
      </c>
      <c r="L377" s="219">
        <v>62239</v>
      </c>
      <c r="M377" s="221">
        <v>38</v>
      </c>
      <c r="N377" s="219">
        <v>42048</v>
      </c>
      <c r="O377" s="219">
        <v>57545</v>
      </c>
      <c r="P377" s="221">
        <v>38</v>
      </c>
      <c r="Q377" s="219">
        <v>34967</v>
      </c>
      <c r="R377" s="219">
        <v>47854</v>
      </c>
      <c r="S377" s="221">
        <v>38</v>
      </c>
      <c r="T377" s="219">
        <v>255549</v>
      </c>
      <c r="U377" s="222">
        <v>37959</v>
      </c>
      <c r="V377" s="212" t="s">
        <v>1643</v>
      </c>
      <c r="W377" s="213" t="s">
        <v>1643</v>
      </c>
      <c r="X377" s="213" t="s">
        <v>1644</v>
      </c>
      <c r="Y377" s="213" t="s">
        <v>1643</v>
      </c>
      <c r="Z377" s="213" t="s">
        <v>1643</v>
      </c>
      <c r="AA377" s="213" t="s">
        <v>1643</v>
      </c>
      <c r="AB377" s="213" t="s">
        <v>1643</v>
      </c>
      <c r="AC377" s="213" t="s">
        <v>1643</v>
      </c>
      <c r="AD377" s="213" t="s">
        <v>1643</v>
      </c>
      <c r="AE377" s="213" t="s">
        <v>1643</v>
      </c>
      <c r="AF377" s="213" t="s">
        <v>1644</v>
      </c>
      <c r="AG377" s="214" t="s">
        <v>1644</v>
      </c>
      <c r="AH377" s="212" t="s">
        <v>1644</v>
      </c>
      <c r="AI377" s="213" t="s">
        <v>1644</v>
      </c>
      <c r="AJ377" s="213" t="s">
        <v>1644</v>
      </c>
      <c r="AK377" s="213" t="s">
        <v>1643</v>
      </c>
      <c r="AL377" s="213" t="s">
        <v>1644</v>
      </c>
      <c r="AM377" s="213" t="s">
        <v>1643</v>
      </c>
      <c r="AN377" s="213" t="s">
        <v>1643</v>
      </c>
      <c r="AO377" s="213" t="s">
        <v>1643</v>
      </c>
      <c r="AP377" s="213" t="s">
        <v>1643</v>
      </c>
      <c r="AQ377" s="213" t="s">
        <v>1643</v>
      </c>
      <c r="AR377" s="213" t="s">
        <v>1644</v>
      </c>
      <c r="AS377" s="214" t="s">
        <v>1644</v>
      </c>
    </row>
    <row r="378" spans="1:45" ht="15.75" thickBot="1" x14ac:dyDescent="0.3">
      <c r="A378" s="212" t="s">
        <v>1433</v>
      </c>
      <c r="B378" s="48" t="s">
        <v>1434</v>
      </c>
      <c r="C378" s="214" t="s">
        <v>837</v>
      </c>
      <c r="D378" s="223" t="s">
        <v>850</v>
      </c>
      <c r="E378" s="220" t="s">
        <v>850</v>
      </c>
      <c r="F378" s="220" t="s">
        <v>850</v>
      </c>
      <c r="G378" s="221">
        <v>40</v>
      </c>
      <c r="H378" s="219">
        <v>58848</v>
      </c>
      <c r="I378" s="219">
        <v>64943</v>
      </c>
      <c r="J378" s="221">
        <v>40</v>
      </c>
      <c r="K378" s="219">
        <v>53479</v>
      </c>
      <c r="L378" s="219">
        <v>58847</v>
      </c>
      <c r="M378" s="221">
        <v>40</v>
      </c>
      <c r="N378" s="219">
        <v>44099</v>
      </c>
      <c r="O378" s="219">
        <v>53499</v>
      </c>
      <c r="P378" s="221">
        <v>40</v>
      </c>
      <c r="Q378" s="219">
        <v>47414</v>
      </c>
      <c r="R378" s="219">
        <v>54350</v>
      </c>
      <c r="S378" s="221">
        <v>40</v>
      </c>
      <c r="T378" s="219">
        <v>39254</v>
      </c>
      <c r="U378" s="222">
        <v>41329</v>
      </c>
      <c r="V378" s="212" t="s">
        <v>1643</v>
      </c>
      <c r="W378" s="213" t="s">
        <v>1643</v>
      </c>
      <c r="X378" s="213" t="s">
        <v>1643</v>
      </c>
      <c r="Y378" s="213" t="s">
        <v>1644</v>
      </c>
      <c r="Z378" s="213" t="s">
        <v>1643</v>
      </c>
      <c r="AA378" s="213" t="s">
        <v>1643</v>
      </c>
      <c r="AB378" s="213" t="s">
        <v>1643</v>
      </c>
      <c r="AC378" s="213" t="s">
        <v>1643</v>
      </c>
      <c r="AD378" s="213" t="s">
        <v>1643</v>
      </c>
      <c r="AE378" s="213" t="s">
        <v>1643</v>
      </c>
      <c r="AF378" s="213" t="s">
        <v>1643</v>
      </c>
      <c r="AG378" s="214" t="s">
        <v>1643</v>
      </c>
      <c r="AH378" s="212" t="s">
        <v>1644</v>
      </c>
      <c r="AI378" s="213" t="s">
        <v>1644</v>
      </c>
      <c r="AJ378" s="213" t="s">
        <v>1644</v>
      </c>
      <c r="AK378" s="213" t="s">
        <v>1644</v>
      </c>
      <c r="AL378" s="213" t="s">
        <v>1644</v>
      </c>
      <c r="AM378" s="213" t="s">
        <v>1644</v>
      </c>
      <c r="AN378" s="213" t="s">
        <v>1644</v>
      </c>
      <c r="AO378" s="213" t="s">
        <v>1644</v>
      </c>
      <c r="AP378" s="213" t="s">
        <v>1644</v>
      </c>
      <c r="AQ378" s="213" t="s">
        <v>1644</v>
      </c>
      <c r="AR378" s="213" t="s">
        <v>1644</v>
      </c>
      <c r="AS378" s="214" t="s">
        <v>1644</v>
      </c>
    </row>
    <row r="379" spans="1:45" ht="15.75" thickBot="1" x14ac:dyDescent="0.3">
      <c r="A379" s="212" t="s">
        <v>1439</v>
      </c>
      <c r="B379" s="48" t="s">
        <v>1440</v>
      </c>
      <c r="C379" s="214" t="s">
        <v>837</v>
      </c>
      <c r="D379" s="218">
        <v>40</v>
      </c>
      <c r="E379" s="219">
        <v>41763</v>
      </c>
      <c r="F379" s="219">
        <v>43433</v>
      </c>
      <c r="G379" s="221">
        <v>40</v>
      </c>
      <c r="H379" s="219">
        <v>29341</v>
      </c>
      <c r="I379" s="219">
        <v>31736</v>
      </c>
      <c r="J379" s="221">
        <v>40</v>
      </c>
      <c r="K379" s="219">
        <v>46977</v>
      </c>
      <c r="L379" s="219">
        <v>50810</v>
      </c>
      <c r="M379" s="221">
        <v>40</v>
      </c>
      <c r="N379" s="219">
        <v>40156</v>
      </c>
      <c r="O379" s="219">
        <v>43433</v>
      </c>
      <c r="P379" s="227"/>
      <c r="Q379" s="226"/>
      <c r="R379" s="226"/>
      <c r="S379" s="221">
        <v>40</v>
      </c>
      <c r="T379" s="219">
        <v>27129</v>
      </c>
      <c r="U379" s="222">
        <v>29341</v>
      </c>
      <c r="V379" s="212" t="s">
        <v>1643</v>
      </c>
      <c r="W379" s="213" t="s">
        <v>1643</v>
      </c>
      <c r="X379" s="213" t="s">
        <v>1643</v>
      </c>
      <c r="Y379" s="213" t="s">
        <v>1643</v>
      </c>
      <c r="Z379" s="213" t="s">
        <v>1643</v>
      </c>
      <c r="AA379" s="213" t="s">
        <v>1643</v>
      </c>
      <c r="AB379" s="213" t="s">
        <v>1643</v>
      </c>
      <c r="AC379" s="213" t="s">
        <v>1643</v>
      </c>
      <c r="AD379" s="213" t="s">
        <v>1643</v>
      </c>
      <c r="AE379" s="213" t="s">
        <v>1643</v>
      </c>
      <c r="AF379" s="213" t="s">
        <v>1644</v>
      </c>
      <c r="AG379" s="214" t="s">
        <v>1644</v>
      </c>
      <c r="AH379" s="212" t="s">
        <v>1643</v>
      </c>
      <c r="AI379" s="213" t="s">
        <v>1644</v>
      </c>
      <c r="AJ379" s="213" t="s">
        <v>1644</v>
      </c>
      <c r="AK379" s="213" t="s">
        <v>1644</v>
      </c>
      <c r="AL379" s="213" t="s">
        <v>1644</v>
      </c>
      <c r="AM379" s="213" t="s">
        <v>1643</v>
      </c>
      <c r="AN379" s="213" t="s">
        <v>1643</v>
      </c>
      <c r="AO379" s="213" t="s">
        <v>1643</v>
      </c>
      <c r="AP379" s="213" t="s">
        <v>1643</v>
      </c>
      <c r="AQ379" s="213" t="s">
        <v>1644</v>
      </c>
      <c r="AR379" s="213" t="s">
        <v>1644</v>
      </c>
      <c r="AS379" s="214" t="s">
        <v>1644</v>
      </c>
    </row>
    <row r="380" spans="1:45" ht="15.75" thickBot="1" x14ac:dyDescent="0.3">
      <c r="A380" s="212" t="s">
        <v>1441</v>
      </c>
      <c r="B380" s="48" t="s">
        <v>1442</v>
      </c>
      <c r="C380" s="214" t="s">
        <v>837</v>
      </c>
      <c r="D380" s="218">
        <v>38</v>
      </c>
      <c r="E380" s="219">
        <v>62914</v>
      </c>
      <c r="F380" s="219">
        <v>74018</v>
      </c>
      <c r="G380" s="227"/>
      <c r="H380" s="226"/>
      <c r="I380" s="226"/>
      <c r="J380" s="221">
        <v>38</v>
      </c>
      <c r="K380" s="219">
        <v>54332</v>
      </c>
      <c r="L380" s="219">
        <v>64941</v>
      </c>
      <c r="M380" s="221">
        <v>38</v>
      </c>
      <c r="N380" s="219">
        <v>44493</v>
      </c>
      <c r="O380" s="219">
        <v>51561</v>
      </c>
      <c r="P380" s="221">
        <v>38</v>
      </c>
      <c r="Q380" s="219">
        <v>36507</v>
      </c>
      <c r="R380" s="219">
        <v>45634</v>
      </c>
      <c r="S380" s="221">
        <v>38</v>
      </c>
      <c r="T380" s="219">
        <v>34551</v>
      </c>
      <c r="U380" s="222">
        <v>45634</v>
      </c>
      <c r="V380" s="212" t="s">
        <v>1643</v>
      </c>
      <c r="W380" s="213" t="s">
        <v>1643</v>
      </c>
      <c r="X380" s="213" t="s">
        <v>1643</v>
      </c>
      <c r="Y380" s="213" t="s">
        <v>1643</v>
      </c>
      <c r="Z380" s="213" t="s">
        <v>1643</v>
      </c>
      <c r="AA380" s="213" t="s">
        <v>1643</v>
      </c>
      <c r="AB380" s="213" t="s">
        <v>1643</v>
      </c>
      <c r="AC380" s="213" t="s">
        <v>1643</v>
      </c>
      <c r="AD380" s="213" t="s">
        <v>1643</v>
      </c>
      <c r="AE380" s="213" t="s">
        <v>1643</v>
      </c>
      <c r="AF380" s="213" t="s">
        <v>1643</v>
      </c>
      <c r="AG380" s="214" t="s">
        <v>1643</v>
      </c>
      <c r="AH380" s="212" t="s">
        <v>1644</v>
      </c>
      <c r="AI380" s="213" t="s">
        <v>1644</v>
      </c>
      <c r="AJ380" s="213" t="s">
        <v>1644</v>
      </c>
      <c r="AK380" s="213" t="s">
        <v>1644</v>
      </c>
      <c r="AL380" s="213" t="s">
        <v>1644</v>
      </c>
      <c r="AM380" s="213" t="s">
        <v>1644</v>
      </c>
      <c r="AN380" s="213" t="s">
        <v>1644</v>
      </c>
      <c r="AO380" s="213" t="s">
        <v>1644</v>
      </c>
      <c r="AP380" s="213" t="s">
        <v>1644</v>
      </c>
      <c r="AQ380" s="213" t="s">
        <v>1644</v>
      </c>
      <c r="AR380" s="213" t="s">
        <v>1644</v>
      </c>
      <c r="AS380" s="214" t="s">
        <v>1644</v>
      </c>
    </row>
    <row r="381" spans="1:45" ht="15.75" thickBot="1" x14ac:dyDescent="0.3">
      <c r="A381" s="212" t="s">
        <v>1470</v>
      </c>
      <c r="B381" s="48" t="s">
        <v>1471</v>
      </c>
      <c r="C381" s="214" t="s">
        <v>837</v>
      </c>
      <c r="D381" s="218">
        <v>38</v>
      </c>
      <c r="E381" s="219">
        <v>78206</v>
      </c>
      <c r="F381" s="219">
        <v>89939</v>
      </c>
      <c r="G381" s="227"/>
      <c r="H381" s="226"/>
      <c r="I381" s="226"/>
      <c r="J381" s="221">
        <v>38</v>
      </c>
      <c r="K381" s="219">
        <v>54261</v>
      </c>
      <c r="L381" s="219">
        <v>62396</v>
      </c>
      <c r="M381" s="221">
        <v>38</v>
      </c>
      <c r="N381" s="219">
        <v>54261</v>
      </c>
      <c r="O381" s="219">
        <v>62396</v>
      </c>
      <c r="P381" s="227"/>
      <c r="Q381" s="226"/>
      <c r="R381" s="226"/>
      <c r="S381" s="221">
        <v>38</v>
      </c>
      <c r="T381" s="219">
        <v>36543</v>
      </c>
      <c r="U381" s="222">
        <v>42026</v>
      </c>
      <c r="V381" s="212" t="s">
        <v>1643</v>
      </c>
      <c r="W381" s="213" t="s">
        <v>1643</v>
      </c>
      <c r="X381" s="213" t="s">
        <v>1643</v>
      </c>
      <c r="Y381" s="213" t="s">
        <v>1643</v>
      </c>
      <c r="Z381" s="213" t="s">
        <v>1643</v>
      </c>
      <c r="AA381" s="213" t="s">
        <v>1643</v>
      </c>
      <c r="AB381" s="213" t="s">
        <v>1643</v>
      </c>
      <c r="AC381" s="213" t="s">
        <v>1643</v>
      </c>
      <c r="AD381" s="213" t="s">
        <v>1643</v>
      </c>
      <c r="AE381" s="213" t="s">
        <v>1643</v>
      </c>
      <c r="AF381" s="213" t="s">
        <v>1643</v>
      </c>
      <c r="AG381" s="214" t="s">
        <v>1644</v>
      </c>
      <c r="AH381" s="212" t="s">
        <v>1644</v>
      </c>
      <c r="AI381" s="213" t="s">
        <v>1644</v>
      </c>
      <c r="AJ381" s="213" t="s">
        <v>1644</v>
      </c>
      <c r="AK381" s="213" t="s">
        <v>1644</v>
      </c>
      <c r="AL381" s="213" t="s">
        <v>1644</v>
      </c>
      <c r="AM381" s="213" t="s">
        <v>1644</v>
      </c>
      <c r="AN381" s="213" t="s">
        <v>1644</v>
      </c>
      <c r="AO381" s="213" t="s">
        <v>1644</v>
      </c>
      <c r="AP381" s="213" t="s">
        <v>1644</v>
      </c>
      <c r="AQ381" s="213" t="s">
        <v>1644</v>
      </c>
      <c r="AR381" s="213" t="s">
        <v>1644</v>
      </c>
      <c r="AS381" s="214" t="s">
        <v>1644</v>
      </c>
    </row>
    <row r="382" spans="1:45" ht="15.75" thickBot="1" x14ac:dyDescent="0.3">
      <c r="A382" s="212" t="s">
        <v>1482</v>
      </c>
      <c r="B382" s="48" t="s">
        <v>1483</v>
      </c>
      <c r="C382" s="214" t="s">
        <v>837</v>
      </c>
      <c r="D382" s="218">
        <v>40</v>
      </c>
      <c r="E382" s="219">
        <v>62396</v>
      </c>
      <c r="F382" s="219">
        <v>76800</v>
      </c>
      <c r="G382" s="221">
        <v>40</v>
      </c>
      <c r="H382" s="219">
        <v>57264</v>
      </c>
      <c r="I382" s="219">
        <v>70483</v>
      </c>
      <c r="J382" s="221">
        <v>40</v>
      </c>
      <c r="K382" s="219">
        <v>48739</v>
      </c>
      <c r="L382" s="219">
        <v>59900</v>
      </c>
      <c r="M382" s="221">
        <v>40</v>
      </c>
      <c r="N382" s="219">
        <v>42252</v>
      </c>
      <c r="O382" s="219">
        <v>52007</v>
      </c>
      <c r="P382" s="221">
        <v>40</v>
      </c>
      <c r="Q382" s="219">
        <v>39613</v>
      </c>
      <c r="R382" s="219">
        <v>48757</v>
      </c>
      <c r="S382" s="221">
        <v>40</v>
      </c>
      <c r="T382" s="219">
        <v>33502</v>
      </c>
      <c r="U382" s="222">
        <v>43370</v>
      </c>
      <c r="V382" s="212" t="s">
        <v>1643</v>
      </c>
      <c r="W382" s="213" t="s">
        <v>1643</v>
      </c>
      <c r="X382" s="213" t="s">
        <v>1643</v>
      </c>
      <c r="Y382" s="213" t="s">
        <v>1643</v>
      </c>
      <c r="Z382" s="213" t="s">
        <v>1643</v>
      </c>
      <c r="AA382" s="213" t="s">
        <v>1643</v>
      </c>
      <c r="AB382" s="213" t="s">
        <v>1643</v>
      </c>
      <c r="AC382" s="213" t="s">
        <v>1643</v>
      </c>
      <c r="AD382" s="213" t="s">
        <v>1643</v>
      </c>
      <c r="AE382" s="213" t="s">
        <v>1643</v>
      </c>
      <c r="AF382" s="213" t="s">
        <v>1643</v>
      </c>
      <c r="AG382" s="214" t="s">
        <v>1644</v>
      </c>
      <c r="AH382" s="212" t="s">
        <v>1644</v>
      </c>
      <c r="AI382" s="213" t="s">
        <v>1644</v>
      </c>
      <c r="AJ382" s="213" t="s">
        <v>1644</v>
      </c>
      <c r="AK382" s="213" t="s">
        <v>1644</v>
      </c>
      <c r="AL382" s="213" t="s">
        <v>1644</v>
      </c>
      <c r="AM382" s="213" t="s">
        <v>1644</v>
      </c>
      <c r="AN382" s="213" t="s">
        <v>1644</v>
      </c>
      <c r="AO382" s="213" t="s">
        <v>1644</v>
      </c>
      <c r="AP382" s="213" t="s">
        <v>1644</v>
      </c>
      <c r="AQ382" s="213" t="s">
        <v>1644</v>
      </c>
      <c r="AR382" s="213" t="s">
        <v>1644</v>
      </c>
      <c r="AS382" s="214" t="s">
        <v>1644</v>
      </c>
    </row>
    <row r="383" spans="1:45" ht="15.75" thickBot="1" x14ac:dyDescent="0.3">
      <c r="A383" s="212" t="s">
        <v>1496</v>
      </c>
      <c r="B383" s="48" t="s">
        <v>1497</v>
      </c>
      <c r="C383" s="214" t="s">
        <v>837</v>
      </c>
      <c r="D383" s="223" t="s">
        <v>850</v>
      </c>
      <c r="E383" s="220" t="s">
        <v>850</v>
      </c>
      <c r="F383" s="220" t="s">
        <v>850</v>
      </c>
      <c r="G383" s="221">
        <v>38</v>
      </c>
      <c r="H383" s="219">
        <v>63424</v>
      </c>
      <c r="I383" s="219">
        <v>71949</v>
      </c>
      <c r="J383" s="221">
        <v>38</v>
      </c>
      <c r="K383" s="219">
        <v>53334</v>
      </c>
      <c r="L383" s="219">
        <v>66558</v>
      </c>
      <c r="M383" s="221">
        <v>20</v>
      </c>
      <c r="N383" s="219">
        <v>25284</v>
      </c>
      <c r="O383" s="219">
        <v>28398</v>
      </c>
      <c r="P383" s="220" t="s">
        <v>850</v>
      </c>
      <c r="Q383" s="220" t="s">
        <v>850</v>
      </c>
      <c r="R383" s="220" t="s">
        <v>850</v>
      </c>
      <c r="S383" s="221">
        <v>20</v>
      </c>
      <c r="T383" s="219">
        <v>16626</v>
      </c>
      <c r="U383" s="222">
        <v>19717</v>
      </c>
      <c r="V383" s="212" t="s">
        <v>1643</v>
      </c>
      <c r="W383" s="213" t="s">
        <v>1643</v>
      </c>
      <c r="X383" s="213" t="s">
        <v>1643</v>
      </c>
      <c r="Y383" s="213" t="s">
        <v>1644</v>
      </c>
      <c r="Z383" s="213" t="s">
        <v>1643</v>
      </c>
      <c r="AA383" s="213" t="s">
        <v>1643</v>
      </c>
      <c r="AB383" s="213" t="s">
        <v>1643</v>
      </c>
      <c r="AC383" s="213" t="s">
        <v>1643</v>
      </c>
      <c r="AD383" s="213" t="s">
        <v>1643</v>
      </c>
      <c r="AE383" s="213" t="s">
        <v>1643</v>
      </c>
      <c r="AF383" s="213" t="s">
        <v>1643</v>
      </c>
      <c r="AG383" s="214" t="s">
        <v>1643</v>
      </c>
      <c r="AH383" s="212" t="s">
        <v>1644</v>
      </c>
      <c r="AI383" s="213" t="s">
        <v>1644</v>
      </c>
      <c r="AJ383" s="213" t="s">
        <v>1644</v>
      </c>
      <c r="AK383" s="213" t="s">
        <v>1644</v>
      </c>
      <c r="AL383" s="213" t="s">
        <v>1644</v>
      </c>
      <c r="AM383" s="213" t="s">
        <v>1644</v>
      </c>
      <c r="AN383" s="213" t="s">
        <v>1644</v>
      </c>
      <c r="AO383" s="213" t="s">
        <v>1644</v>
      </c>
      <c r="AP383" s="213" t="s">
        <v>1644</v>
      </c>
      <c r="AQ383" s="213" t="s">
        <v>1643</v>
      </c>
      <c r="AR383" s="213" t="s">
        <v>1643</v>
      </c>
      <c r="AS383" s="214" t="s">
        <v>1644</v>
      </c>
    </row>
    <row r="384" spans="1:45" ht="15.75" thickBot="1" x14ac:dyDescent="0.3">
      <c r="A384" s="212" t="s">
        <v>1512</v>
      </c>
      <c r="B384" s="48" t="s">
        <v>1513</v>
      </c>
      <c r="C384" s="214" t="s">
        <v>837</v>
      </c>
      <c r="D384" s="218">
        <v>40</v>
      </c>
      <c r="E384" s="219">
        <v>55000</v>
      </c>
      <c r="F384" s="219">
        <v>60000</v>
      </c>
      <c r="G384" s="220" t="s">
        <v>850</v>
      </c>
      <c r="H384" s="220" t="s">
        <v>850</v>
      </c>
      <c r="I384" s="220" t="s">
        <v>850</v>
      </c>
      <c r="J384" s="220" t="s">
        <v>850</v>
      </c>
      <c r="K384" s="220" t="s">
        <v>850</v>
      </c>
      <c r="L384" s="220" t="s">
        <v>850</v>
      </c>
      <c r="M384" s="220" t="s">
        <v>850</v>
      </c>
      <c r="N384" s="220" t="s">
        <v>850</v>
      </c>
      <c r="O384" s="220" t="s">
        <v>850</v>
      </c>
      <c r="P384" s="221">
        <v>40</v>
      </c>
      <c r="Q384" s="219">
        <v>31200</v>
      </c>
      <c r="R384" s="219">
        <v>34008</v>
      </c>
      <c r="S384" s="221">
        <v>25</v>
      </c>
      <c r="T384" s="219">
        <v>14300</v>
      </c>
      <c r="U384" s="222">
        <v>17225</v>
      </c>
      <c r="V384" s="212" t="s">
        <v>1643</v>
      </c>
      <c r="W384" s="213" t="s">
        <v>1643</v>
      </c>
      <c r="X384" s="213" t="s">
        <v>1643</v>
      </c>
      <c r="Y384" s="213" t="s">
        <v>1644</v>
      </c>
      <c r="Z384" s="213" t="s">
        <v>1643</v>
      </c>
      <c r="AA384" s="213" t="s">
        <v>1644</v>
      </c>
      <c r="AB384" s="213" t="s">
        <v>1644</v>
      </c>
      <c r="AC384" s="213" t="s">
        <v>1644</v>
      </c>
      <c r="AD384" s="213" t="s">
        <v>1643</v>
      </c>
      <c r="AE384" s="213" t="s">
        <v>1644</v>
      </c>
      <c r="AF384" s="213" t="s">
        <v>1643</v>
      </c>
      <c r="AG384" s="214" t="s">
        <v>1644</v>
      </c>
      <c r="AH384" s="212" t="s">
        <v>1644</v>
      </c>
      <c r="AI384" s="213" t="s">
        <v>1644</v>
      </c>
      <c r="AJ384" s="213" t="s">
        <v>1644</v>
      </c>
      <c r="AK384" s="213" t="s">
        <v>1644</v>
      </c>
      <c r="AL384" s="213" t="s">
        <v>1644</v>
      </c>
      <c r="AM384" s="213" t="s">
        <v>1644</v>
      </c>
      <c r="AN384" s="213" t="s">
        <v>1644</v>
      </c>
      <c r="AO384" s="213" t="s">
        <v>1644</v>
      </c>
      <c r="AP384" s="213" t="s">
        <v>1644</v>
      </c>
      <c r="AQ384" s="213" t="s">
        <v>1644</v>
      </c>
      <c r="AR384" s="213" t="s">
        <v>1644</v>
      </c>
      <c r="AS384" s="214" t="s">
        <v>1644</v>
      </c>
    </row>
    <row r="385" spans="1:45" ht="15.75" thickBot="1" x14ac:dyDescent="0.3">
      <c r="A385" s="212" t="s">
        <v>1538</v>
      </c>
      <c r="B385" s="48" t="s">
        <v>1539</v>
      </c>
      <c r="C385" s="214" t="s">
        <v>837</v>
      </c>
      <c r="D385" s="218">
        <v>40</v>
      </c>
      <c r="E385" s="219">
        <v>71925</v>
      </c>
      <c r="F385" s="219">
        <v>78290</v>
      </c>
      <c r="G385" s="221">
        <v>40</v>
      </c>
      <c r="H385" s="219">
        <v>42266</v>
      </c>
      <c r="I385" s="219">
        <v>57680</v>
      </c>
      <c r="J385" s="221">
        <v>40</v>
      </c>
      <c r="K385" s="219">
        <v>43555</v>
      </c>
      <c r="L385" s="219">
        <v>57387</v>
      </c>
      <c r="M385" s="221">
        <v>40</v>
      </c>
      <c r="N385" s="219">
        <v>35360</v>
      </c>
      <c r="O385" s="219">
        <v>57309</v>
      </c>
      <c r="P385" s="221">
        <v>40</v>
      </c>
      <c r="Q385" s="219">
        <v>42266</v>
      </c>
      <c r="R385" s="219">
        <v>57387</v>
      </c>
      <c r="S385" s="221">
        <v>40</v>
      </c>
      <c r="T385" s="219">
        <v>31346</v>
      </c>
      <c r="U385" s="222">
        <v>42702</v>
      </c>
      <c r="V385" s="212" t="s">
        <v>1643</v>
      </c>
      <c r="W385" s="213" t="s">
        <v>1643</v>
      </c>
      <c r="X385" s="213" t="s">
        <v>1643</v>
      </c>
      <c r="Y385" s="213" t="s">
        <v>1643</v>
      </c>
      <c r="Z385" s="213" t="s">
        <v>1643</v>
      </c>
      <c r="AA385" s="213" t="s">
        <v>1643</v>
      </c>
      <c r="AB385" s="213" t="s">
        <v>1643</v>
      </c>
      <c r="AC385" s="213" t="s">
        <v>1643</v>
      </c>
      <c r="AD385" s="210" t="s">
        <v>1644</v>
      </c>
      <c r="AE385" s="213" t="s">
        <v>1643</v>
      </c>
      <c r="AF385" s="213" t="s">
        <v>1643</v>
      </c>
      <c r="AG385" s="214" t="s">
        <v>1643</v>
      </c>
      <c r="AH385" s="212" t="s">
        <v>1643</v>
      </c>
      <c r="AI385" s="213" t="s">
        <v>1643</v>
      </c>
      <c r="AJ385" s="210" t="s">
        <v>1644</v>
      </c>
      <c r="AK385" s="210" t="s">
        <v>1644</v>
      </c>
      <c r="AL385" s="213" t="s">
        <v>1643</v>
      </c>
      <c r="AM385" s="213" t="s">
        <v>1643</v>
      </c>
      <c r="AN385" s="213" t="s">
        <v>1643</v>
      </c>
      <c r="AO385" s="213" t="s">
        <v>1643</v>
      </c>
      <c r="AP385" s="210" t="s">
        <v>1644</v>
      </c>
      <c r="AQ385" s="210" t="s">
        <v>1644</v>
      </c>
      <c r="AR385" s="213" t="s">
        <v>1643</v>
      </c>
      <c r="AS385" s="211" t="s">
        <v>1644</v>
      </c>
    </row>
    <row r="386" spans="1:45" ht="15.75" thickBot="1" x14ac:dyDescent="0.3">
      <c r="A386" s="212" t="s">
        <v>1540</v>
      </c>
      <c r="B386" s="48" t="s">
        <v>1541</v>
      </c>
      <c r="C386" s="214" t="s">
        <v>837</v>
      </c>
      <c r="D386" s="218">
        <v>40</v>
      </c>
      <c r="E386" s="219">
        <v>48494</v>
      </c>
      <c r="F386" s="219">
        <v>56731</v>
      </c>
      <c r="G386" s="220" t="s">
        <v>850</v>
      </c>
      <c r="H386" s="220" t="s">
        <v>850</v>
      </c>
      <c r="I386" s="220" t="s">
        <v>850</v>
      </c>
      <c r="J386" s="220" t="s">
        <v>850</v>
      </c>
      <c r="K386" s="219">
        <v>40411</v>
      </c>
      <c r="L386" s="219">
        <v>47276</v>
      </c>
      <c r="M386" s="221">
        <v>40</v>
      </c>
      <c r="N386" s="219">
        <v>36654</v>
      </c>
      <c r="O386" s="219">
        <v>42880</v>
      </c>
      <c r="P386" s="220" t="s">
        <v>850</v>
      </c>
      <c r="Q386" s="220" t="s">
        <v>850</v>
      </c>
      <c r="R386" s="220" t="s">
        <v>850</v>
      </c>
      <c r="S386" s="220" t="s">
        <v>850</v>
      </c>
      <c r="T386" s="219">
        <v>18096</v>
      </c>
      <c r="U386" s="222">
        <v>19604</v>
      </c>
      <c r="V386" s="212" t="s">
        <v>1643</v>
      </c>
      <c r="W386" s="213" t="s">
        <v>1643</v>
      </c>
      <c r="X386" s="213" t="s">
        <v>1643</v>
      </c>
      <c r="Y386" s="213" t="s">
        <v>1644</v>
      </c>
      <c r="Z386" s="213" t="s">
        <v>1643</v>
      </c>
      <c r="AA386" s="213" t="s">
        <v>1643</v>
      </c>
      <c r="AB386" s="213" t="s">
        <v>1643</v>
      </c>
      <c r="AC386" s="213" t="s">
        <v>1643</v>
      </c>
      <c r="AD386" s="213" t="s">
        <v>1643</v>
      </c>
      <c r="AE386" s="213" t="s">
        <v>1643</v>
      </c>
      <c r="AF386" s="213" t="s">
        <v>1643</v>
      </c>
      <c r="AG386" s="214" t="s">
        <v>1644</v>
      </c>
      <c r="AH386" s="212" t="s">
        <v>1644</v>
      </c>
      <c r="AI386" s="213" t="s">
        <v>1644</v>
      </c>
      <c r="AJ386" s="213" t="s">
        <v>1644</v>
      </c>
      <c r="AK386" s="213" t="s">
        <v>1644</v>
      </c>
      <c r="AL386" s="213" t="s">
        <v>1644</v>
      </c>
      <c r="AM386" s="213" t="s">
        <v>1644</v>
      </c>
      <c r="AN386" s="213" t="s">
        <v>1644</v>
      </c>
      <c r="AO386" s="213" t="s">
        <v>1644</v>
      </c>
      <c r="AP386" s="213" t="s">
        <v>1644</v>
      </c>
      <c r="AQ386" s="213" t="s">
        <v>1644</v>
      </c>
      <c r="AR386" s="213" t="s">
        <v>1644</v>
      </c>
      <c r="AS386" s="214" t="s">
        <v>1644</v>
      </c>
    </row>
    <row r="387" spans="1:45" ht="15.75" thickBot="1" x14ac:dyDescent="0.3">
      <c r="A387" s="212" t="s">
        <v>1542</v>
      </c>
      <c r="B387" s="48" t="s">
        <v>1543</v>
      </c>
      <c r="C387" s="214" t="s">
        <v>837</v>
      </c>
      <c r="D387" s="218">
        <v>40</v>
      </c>
      <c r="E387" s="219">
        <v>57633</v>
      </c>
      <c r="F387" s="219">
        <v>86448</v>
      </c>
      <c r="G387" s="221">
        <v>40</v>
      </c>
      <c r="H387" s="219">
        <v>48439</v>
      </c>
      <c r="I387" s="219">
        <v>72660</v>
      </c>
      <c r="J387" s="221">
        <v>40</v>
      </c>
      <c r="K387" s="219">
        <v>41247</v>
      </c>
      <c r="L387" s="219">
        <v>61868</v>
      </c>
      <c r="M387" s="221">
        <v>20</v>
      </c>
      <c r="N387" s="219">
        <v>19240</v>
      </c>
      <c r="O387" s="219">
        <v>25780</v>
      </c>
      <c r="P387" s="221">
        <v>20</v>
      </c>
      <c r="Q387" s="219">
        <v>11960</v>
      </c>
      <c r="R387" s="219">
        <v>17160</v>
      </c>
      <c r="S387" s="221">
        <v>20</v>
      </c>
      <c r="T387" s="219">
        <v>11960</v>
      </c>
      <c r="U387" s="222">
        <v>17160</v>
      </c>
      <c r="V387" s="212" t="s">
        <v>1643</v>
      </c>
      <c r="W387" s="213" t="s">
        <v>1643</v>
      </c>
      <c r="X387" s="213" t="s">
        <v>1643</v>
      </c>
      <c r="Y387" s="213" t="s">
        <v>1644</v>
      </c>
      <c r="Z387" s="213" t="s">
        <v>1643</v>
      </c>
      <c r="AA387" s="213" t="s">
        <v>1643</v>
      </c>
      <c r="AB387" s="213" t="s">
        <v>1643</v>
      </c>
      <c r="AC387" s="213" t="s">
        <v>1643</v>
      </c>
      <c r="AD387" s="213" t="s">
        <v>1643</v>
      </c>
      <c r="AE387" s="213" t="s">
        <v>1643</v>
      </c>
      <c r="AF387" s="213" t="s">
        <v>1643</v>
      </c>
      <c r="AG387" s="214" t="s">
        <v>1644</v>
      </c>
      <c r="AH387" s="212" t="s">
        <v>1644</v>
      </c>
      <c r="AI387" s="213" t="s">
        <v>1644</v>
      </c>
      <c r="AJ387" s="213" t="s">
        <v>1644</v>
      </c>
      <c r="AK387" s="213" t="s">
        <v>1644</v>
      </c>
      <c r="AL387" s="213" t="s">
        <v>1644</v>
      </c>
      <c r="AM387" s="213" t="s">
        <v>1644</v>
      </c>
      <c r="AN387" s="213" t="s">
        <v>1644</v>
      </c>
      <c r="AO387" s="213" t="s">
        <v>1644</v>
      </c>
      <c r="AP387" s="213" t="s">
        <v>1644</v>
      </c>
      <c r="AQ387" s="213" t="s">
        <v>1644</v>
      </c>
      <c r="AR387" s="213" t="s">
        <v>1644</v>
      </c>
      <c r="AS387" s="214" t="s">
        <v>1643</v>
      </c>
    </row>
    <row r="388" spans="1:45" ht="15.75" thickBot="1" x14ac:dyDescent="0.3">
      <c r="A388" s="212" t="s">
        <v>1564</v>
      </c>
      <c r="B388" s="48" t="s">
        <v>1565</v>
      </c>
      <c r="C388" s="214" t="s">
        <v>837</v>
      </c>
      <c r="D388" s="225"/>
      <c r="E388" s="226"/>
      <c r="F388" s="226"/>
      <c r="G388" s="221">
        <v>38</v>
      </c>
      <c r="H388" s="219">
        <v>75678</v>
      </c>
      <c r="I388" s="219">
        <v>81859</v>
      </c>
      <c r="J388" s="221">
        <v>38</v>
      </c>
      <c r="K388" s="219">
        <v>65321</v>
      </c>
      <c r="L388" s="219">
        <v>66965</v>
      </c>
      <c r="M388" s="221">
        <v>38</v>
      </c>
      <c r="N388" s="219">
        <v>51912</v>
      </c>
      <c r="O388" s="219">
        <v>56502</v>
      </c>
      <c r="P388" s="227"/>
      <c r="Q388" s="226"/>
      <c r="R388" s="226"/>
      <c r="S388" s="221">
        <v>38</v>
      </c>
      <c r="T388" s="219">
        <v>37850</v>
      </c>
      <c r="U388" s="222">
        <v>38802</v>
      </c>
      <c r="V388" s="212" t="s">
        <v>1643</v>
      </c>
      <c r="W388" s="213" t="s">
        <v>1643</v>
      </c>
      <c r="X388" s="213" t="s">
        <v>1643</v>
      </c>
      <c r="Y388" s="213" t="s">
        <v>1643</v>
      </c>
      <c r="Z388" s="213" t="s">
        <v>1643</v>
      </c>
      <c r="AA388" s="213" t="s">
        <v>1643</v>
      </c>
      <c r="AB388" s="213" t="s">
        <v>1643</v>
      </c>
      <c r="AC388" s="213" t="s">
        <v>1643</v>
      </c>
      <c r="AD388" s="213" t="s">
        <v>1643</v>
      </c>
      <c r="AE388" s="213" t="s">
        <v>1643</v>
      </c>
      <c r="AF388" s="213" t="s">
        <v>1643</v>
      </c>
      <c r="AG388" s="214" t="s">
        <v>1643</v>
      </c>
      <c r="AH388" s="212" t="s">
        <v>1644</v>
      </c>
      <c r="AI388" s="213" t="s">
        <v>1644</v>
      </c>
      <c r="AJ388" s="213" t="s">
        <v>1644</v>
      </c>
      <c r="AK388" s="213" t="s">
        <v>1644</v>
      </c>
      <c r="AL388" s="213" t="s">
        <v>1644</v>
      </c>
      <c r="AM388" s="213" t="s">
        <v>1644</v>
      </c>
      <c r="AN388" s="213" t="s">
        <v>1644</v>
      </c>
      <c r="AO388" s="213" t="s">
        <v>1644</v>
      </c>
      <c r="AP388" s="213" t="s">
        <v>1644</v>
      </c>
      <c r="AQ388" s="213" t="s">
        <v>1644</v>
      </c>
      <c r="AR388" s="213" t="s">
        <v>1644</v>
      </c>
      <c r="AS388" s="214" t="s">
        <v>1644</v>
      </c>
    </row>
    <row r="389" spans="1:45" ht="15.75" thickBot="1" x14ac:dyDescent="0.3">
      <c r="A389" s="212" t="s">
        <v>1566</v>
      </c>
      <c r="B389" s="48" t="s">
        <v>1567</v>
      </c>
      <c r="C389" s="214" t="s">
        <v>837</v>
      </c>
      <c r="D389" s="223" t="s">
        <v>850</v>
      </c>
      <c r="E389" s="220" t="s">
        <v>850</v>
      </c>
      <c r="F389" s="220" t="s">
        <v>850</v>
      </c>
      <c r="G389" s="221">
        <v>40</v>
      </c>
      <c r="H389" s="219">
        <v>46592</v>
      </c>
      <c r="I389" s="219">
        <v>54808</v>
      </c>
      <c r="J389" s="220" t="s">
        <v>850</v>
      </c>
      <c r="K389" s="220" t="s">
        <v>850</v>
      </c>
      <c r="L389" s="220" t="s">
        <v>850</v>
      </c>
      <c r="M389" s="221">
        <v>40</v>
      </c>
      <c r="N389" s="219">
        <v>39021</v>
      </c>
      <c r="O389" s="219">
        <v>45885</v>
      </c>
      <c r="P389" s="221">
        <v>40</v>
      </c>
      <c r="Q389" s="219">
        <v>51756</v>
      </c>
      <c r="R389" s="219">
        <v>60893</v>
      </c>
      <c r="S389" s="220" t="s">
        <v>850</v>
      </c>
      <c r="T389" s="220" t="s">
        <v>850</v>
      </c>
      <c r="U389" s="224" t="s">
        <v>850</v>
      </c>
      <c r="V389" s="212" t="s">
        <v>1643</v>
      </c>
      <c r="W389" s="213" t="s">
        <v>1643</v>
      </c>
      <c r="X389" s="213" t="s">
        <v>1643</v>
      </c>
      <c r="Y389" s="213" t="s">
        <v>1643</v>
      </c>
      <c r="Z389" s="213" t="s">
        <v>1643</v>
      </c>
      <c r="AA389" s="213" t="s">
        <v>1643</v>
      </c>
      <c r="AB389" s="213" t="s">
        <v>1643</v>
      </c>
      <c r="AC389" s="213" t="s">
        <v>1643</v>
      </c>
      <c r="AD389" s="213" t="s">
        <v>1643</v>
      </c>
      <c r="AE389" s="213" t="s">
        <v>1643</v>
      </c>
      <c r="AF389" s="213" t="s">
        <v>1643</v>
      </c>
      <c r="AG389" s="214" t="s">
        <v>1644</v>
      </c>
      <c r="AH389" s="212" t="s">
        <v>1644</v>
      </c>
      <c r="AI389" s="213" t="s">
        <v>1644</v>
      </c>
      <c r="AJ389" s="213" t="s">
        <v>1644</v>
      </c>
      <c r="AK389" s="213" t="s">
        <v>1644</v>
      </c>
      <c r="AL389" s="213" t="s">
        <v>1644</v>
      </c>
      <c r="AM389" s="213" t="s">
        <v>1644</v>
      </c>
      <c r="AN389" s="213" t="s">
        <v>1644</v>
      </c>
      <c r="AO389" s="213" t="s">
        <v>1643</v>
      </c>
      <c r="AP389" s="213" t="s">
        <v>1644</v>
      </c>
      <c r="AQ389" s="213" t="s">
        <v>1644</v>
      </c>
      <c r="AR389" s="213" t="s">
        <v>1644</v>
      </c>
      <c r="AS389" s="214" t="s">
        <v>1644</v>
      </c>
    </row>
    <row r="390" spans="1:45" ht="15.75" thickBot="1" x14ac:dyDescent="0.3">
      <c r="A390" s="212" t="s">
        <v>1574</v>
      </c>
      <c r="B390" s="48" t="s">
        <v>1575</v>
      </c>
      <c r="C390" s="214" t="s">
        <v>837</v>
      </c>
      <c r="D390" s="223" t="s">
        <v>850</v>
      </c>
      <c r="E390" s="220" t="s">
        <v>850</v>
      </c>
      <c r="F390" s="220" t="s">
        <v>850</v>
      </c>
      <c r="G390" s="221">
        <v>35</v>
      </c>
      <c r="H390" s="219">
        <v>54280</v>
      </c>
      <c r="I390" s="219">
        <v>77390</v>
      </c>
      <c r="J390" s="221">
        <v>35</v>
      </c>
      <c r="K390" s="219">
        <v>44136</v>
      </c>
      <c r="L390" s="219">
        <v>62927</v>
      </c>
      <c r="M390" s="221">
        <v>35</v>
      </c>
      <c r="N390" s="219">
        <v>39923</v>
      </c>
      <c r="O390" s="219">
        <v>56921</v>
      </c>
      <c r="P390" s="221">
        <v>35</v>
      </c>
      <c r="Q390" s="219">
        <v>38760</v>
      </c>
      <c r="R390" s="219">
        <v>62927</v>
      </c>
      <c r="S390" s="221">
        <v>20</v>
      </c>
      <c r="T390" s="219">
        <v>13020</v>
      </c>
      <c r="U390" s="222">
        <v>18564</v>
      </c>
      <c r="V390" s="212" t="s">
        <v>1643</v>
      </c>
      <c r="W390" s="213" t="s">
        <v>1643</v>
      </c>
      <c r="X390" s="213" t="s">
        <v>1643</v>
      </c>
      <c r="Y390" s="213" t="s">
        <v>1643</v>
      </c>
      <c r="Z390" s="213" t="s">
        <v>1643</v>
      </c>
      <c r="AA390" s="213" t="s">
        <v>1643</v>
      </c>
      <c r="AB390" s="213" t="s">
        <v>1643</v>
      </c>
      <c r="AC390" s="213" t="s">
        <v>1643</v>
      </c>
      <c r="AD390" s="213" t="s">
        <v>1643</v>
      </c>
      <c r="AE390" s="213" t="s">
        <v>1643</v>
      </c>
      <c r="AF390" s="213" t="s">
        <v>1643</v>
      </c>
      <c r="AG390" s="214" t="s">
        <v>1644</v>
      </c>
      <c r="AH390" s="212" t="s">
        <v>1644</v>
      </c>
      <c r="AI390" s="213" t="s">
        <v>1644</v>
      </c>
      <c r="AJ390" s="213" t="s">
        <v>1644</v>
      </c>
      <c r="AK390" s="213" t="s">
        <v>1644</v>
      </c>
      <c r="AL390" s="213" t="s">
        <v>1644</v>
      </c>
      <c r="AM390" s="213" t="s">
        <v>1643</v>
      </c>
      <c r="AN390" s="213" t="s">
        <v>1643</v>
      </c>
      <c r="AO390" s="213" t="s">
        <v>1643</v>
      </c>
      <c r="AP390" s="213" t="s">
        <v>1643</v>
      </c>
      <c r="AQ390" s="213" t="s">
        <v>1644</v>
      </c>
      <c r="AR390" s="213" t="s">
        <v>1643</v>
      </c>
      <c r="AS390" s="214" t="s">
        <v>1644</v>
      </c>
    </row>
    <row r="391" spans="1:45" ht="15.75" thickBot="1" x14ac:dyDescent="0.3">
      <c r="A391" s="212" t="s">
        <v>1594</v>
      </c>
      <c r="B391" s="48" t="s">
        <v>1595</v>
      </c>
      <c r="C391" s="214" t="s">
        <v>837</v>
      </c>
      <c r="D391" s="218">
        <v>40</v>
      </c>
      <c r="E391" s="219">
        <v>89857</v>
      </c>
      <c r="F391" s="219">
        <v>89857</v>
      </c>
      <c r="G391" s="221">
        <v>40</v>
      </c>
      <c r="H391" s="219">
        <v>40972</v>
      </c>
      <c r="I391" s="219">
        <v>82959</v>
      </c>
      <c r="J391" s="221">
        <v>40</v>
      </c>
      <c r="K391" s="219">
        <v>39972</v>
      </c>
      <c r="L391" s="219">
        <v>81959</v>
      </c>
      <c r="M391" s="221">
        <v>40</v>
      </c>
      <c r="N391" s="219">
        <v>39972</v>
      </c>
      <c r="O391" s="219">
        <v>81959</v>
      </c>
      <c r="P391" s="221">
        <v>40</v>
      </c>
      <c r="Q391" s="219">
        <v>39972</v>
      </c>
      <c r="R391" s="219">
        <v>81959</v>
      </c>
      <c r="S391" s="221">
        <v>34</v>
      </c>
      <c r="T391" s="219">
        <v>27331</v>
      </c>
      <c r="U391" s="222">
        <v>46792</v>
      </c>
      <c r="V391" s="212" t="s">
        <v>1643</v>
      </c>
      <c r="W391" s="213" t="s">
        <v>1643</v>
      </c>
      <c r="X391" s="213" t="s">
        <v>1643</v>
      </c>
      <c r="Y391" s="213" t="s">
        <v>1643</v>
      </c>
      <c r="Z391" s="213" t="s">
        <v>1643</v>
      </c>
      <c r="AA391" s="213" t="s">
        <v>1643</v>
      </c>
      <c r="AB391" s="213" t="s">
        <v>1643</v>
      </c>
      <c r="AC391" s="213" t="s">
        <v>1643</v>
      </c>
      <c r="AD391" s="213" t="s">
        <v>1644</v>
      </c>
      <c r="AE391" s="213" t="s">
        <v>1643</v>
      </c>
      <c r="AF391" s="213" t="s">
        <v>1643</v>
      </c>
      <c r="AG391" s="214" t="s">
        <v>1644</v>
      </c>
      <c r="AH391" s="212" t="s">
        <v>1643</v>
      </c>
      <c r="AI391" s="213" t="s">
        <v>1643</v>
      </c>
      <c r="AJ391" s="213" t="s">
        <v>1643</v>
      </c>
      <c r="AK391" s="213" t="s">
        <v>1643</v>
      </c>
      <c r="AL391" s="213" t="s">
        <v>1643</v>
      </c>
      <c r="AM391" s="213" t="s">
        <v>1643</v>
      </c>
      <c r="AN391" s="213" t="s">
        <v>1643</v>
      </c>
      <c r="AO391" s="213" t="s">
        <v>1643</v>
      </c>
      <c r="AP391" s="213" t="s">
        <v>1644</v>
      </c>
      <c r="AQ391" s="213" t="s">
        <v>1643</v>
      </c>
      <c r="AR391" s="213" t="s">
        <v>1643</v>
      </c>
      <c r="AS391" s="214" t="s">
        <v>1644</v>
      </c>
    </row>
    <row r="392" spans="1:45" ht="15.75" thickBot="1" x14ac:dyDescent="0.3">
      <c r="A392" s="212" t="s">
        <v>1596</v>
      </c>
      <c r="B392" s="48" t="s">
        <v>1597</v>
      </c>
      <c r="C392" s="214" t="s">
        <v>837</v>
      </c>
      <c r="D392" s="225"/>
      <c r="E392" s="226"/>
      <c r="F392" s="226"/>
      <c r="G392" s="221">
        <v>40</v>
      </c>
      <c r="H392" s="219">
        <v>53895</v>
      </c>
      <c r="I392" s="219">
        <v>58020</v>
      </c>
      <c r="J392" s="221">
        <v>40</v>
      </c>
      <c r="K392" s="219">
        <v>44720</v>
      </c>
      <c r="L392" s="219">
        <v>46800</v>
      </c>
      <c r="M392" s="221">
        <v>40</v>
      </c>
      <c r="N392" s="219">
        <v>41600</v>
      </c>
      <c r="O392" s="219">
        <v>44512</v>
      </c>
      <c r="P392" s="221">
        <v>40</v>
      </c>
      <c r="Q392" s="219">
        <v>37440</v>
      </c>
      <c r="R392" s="219">
        <v>38688</v>
      </c>
      <c r="S392" s="221">
        <v>34</v>
      </c>
      <c r="T392" s="219">
        <v>22880</v>
      </c>
      <c r="U392" s="222">
        <v>29952</v>
      </c>
      <c r="V392" s="212" t="s">
        <v>1643</v>
      </c>
      <c r="W392" s="213" t="s">
        <v>1643</v>
      </c>
      <c r="X392" s="213" t="s">
        <v>1643</v>
      </c>
      <c r="Y392" s="213" t="s">
        <v>1643</v>
      </c>
      <c r="Z392" s="213" t="s">
        <v>1643</v>
      </c>
      <c r="AA392" s="213" t="s">
        <v>1644</v>
      </c>
      <c r="AB392" s="213" t="s">
        <v>1643</v>
      </c>
      <c r="AC392" s="213" t="s">
        <v>1643</v>
      </c>
      <c r="AD392" s="213" t="s">
        <v>1643</v>
      </c>
      <c r="AE392" s="213" t="s">
        <v>1644</v>
      </c>
      <c r="AF392" s="213" t="s">
        <v>1643</v>
      </c>
      <c r="AG392" s="214" t="s">
        <v>1644</v>
      </c>
      <c r="AH392" s="212" t="s">
        <v>1643</v>
      </c>
      <c r="AI392" s="213" t="s">
        <v>1644</v>
      </c>
      <c r="AJ392" s="213" t="s">
        <v>1644</v>
      </c>
      <c r="AK392" s="213" t="s">
        <v>1644</v>
      </c>
      <c r="AL392" s="213" t="s">
        <v>1644</v>
      </c>
      <c r="AM392" s="213" t="s">
        <v>1644</v>
      </c>
      <c r="AN392" s="213" t="s">
        <v>1643</v>
      </c>
      <c r="AO392" s="213" t="s">
        <v>1643</v>
      </c>
      <c r="AP392" s="213" t="s">
        <v>1644</v>
      </c>
      <c r="AQ392" s="213" t="s">
        <v>1644</v>
      </c>
      <c r="AR392" s="213" t="s">
        <v>1643</v>
      </c>
      <c r="AS392" s="214" t="s">
        <v>1644</v>
      </c>
    </row>
    <row r="393" spans="1:45" ht="15.75" thickBot="1" x14ac:dyDescent="0.3">
      <c r="A393" s="215" t="s">
        <v>1602</v>
      </c>
      <c r="B393" s="48" t="s">
        <v>1603</v>
      </c>
      <c r="C393" s="217" t="s">
        <v>837</v>
      </c>
      <c r="D393" s="230">
        <v>40</v>
      </c>
      <c r="E393" s="231">
        <v>58473</v>
      </c>
      <c r="F393" s="231">
        <v>80108</v>
      </c>
      <c r="G393" s="232">
        <v>40</v>
      </c>
      <c r="H393" s="231">
        <v>52000</v>
      </c>
      <c r="I393" s="231">
        <v>70000</v>
      </c>
      <c r="J393" s="232">
        <v>40</v>
      </c>
      <c r="K393" s="231">
        <v>39726</v>
      </c>
      <c r="L393" s="231">
        <v>51854</v>
      </c>
      <c r="M393" s="232">
        <v>40</v>
      </c>
      <c r="N393" s="231">
        <v>39726</v>
      </c>
      <c r="O393" s="231">
        <v>51854</v>
      </c>
      <c r="P393" s="232">
        <v>40</v>
      </c>
      <c r="Q393" s="231">
        <v>32000</v>
      </c>
      <c r="R393" s="231">
        <v>43000</v>
      </c>
      <c r="S393" s="232">
        <v>40</v>
      </c>
      <c r="T393" s="231">
        <v>26436</v>
      </c>
      <c r="U393" s="233">
        <v>34486</v>
      </c>
      <c r="V393" s="215" t="s">
        <v>1643</v>
      </c>
      <c r="W393" s="216" t="s">
        <v>1643</v>
      </c>
      <c r="X393" s="216" t="s">
        <v>1643</v>
      </c>
      <c r="Y393" s="216" t="s">
        <v>1644</v>
      </c>
      <c r="Z393" s="216" t="s">
        <v>1643</v>
      </c>
      <c r="AA393" s="216" t="s">
        <v>1643</v>
      </c>
      <c r="AB393" s="216" t="s">
        <v>1643</v>
      </c>
      <c r="AC393" s="216" t="s">
        <v>1643</v>
      </c>
      <c r="AD393" s="216" t="s">
        <v>1643</v>
      </c>
      <c r="AE393" s="216" t="s">
        <v>1643</v>
      </c>
      <c r="AF393" s="216" t="s">
        <v>1643</v>
      </c>
      <c r="AG393" s="217" t="s">
        <v>1644</v>
      </c>
      <c r="AH393" s="215" t="s">
        <v>1644</v>
      </c>
      <c r="AI393" s="216" t="s">
        <v>1644</v>
      </c>
      <c r="AJ393" s="216" t="s">
        <v>1644</v>
      </c>
      <c r="AK393" s="216" t="s">
        <v>1644</v>
      </c>
      <c r="AL393" s="216" t="s">
        <v>1644</v>
      </c>
      <c r="AM393" s="216" t="s">
        <v>1643</v>
      </c>
      <c r="AN393" s="216" t="s">
        <v>1643</v>
      </c>
      <c r="AO393" s="216" t="s">
        <v>1643</v>
      </c>
      <c r="AP393" s="216" t="s">
        <v>1644</v>
      </c>
      <c r="AQ393" s="216" t="s">
        <v>1644</v>
      </c>
      <c r="AR393" s="216" t="s">
        <v>1643</v>
      </c>
      <c r="AS393" s="217" t="s">
        <v>1644</v>
      </c>
    </row>
    <row r="394" spans="1:45" ht="15.75" thickBot="1" x14ac:dyDescent="0.3"/>
    <row r="395" spans="1:45" ht="18.75" thickBot="1" x14ac:dyDescent="0.3">
      <c r="B395" s="147" t="s">
        <v>3450</v>
      </c>
      <c r="C395" s="154">
        <f>SUBTOTAL(103,Table12[Library Class])</f>
        <v>390</v>
      </c>
    </row>
    <row r="396" spans="1:45" ht="15.75" x14ac:dyDescent="0.25">
      <c r="C396" s="200" t="s">
        <v>3465</v>
      </c>
      <c r="D396" s="234">
        <f>SUBTOTAL(101,Table12[Assistant Director Average Hrs/Wk])</f>
        <v>33.175324675324674</v>
      </c>
      <c r="E396" s="181">
        <f>SUBTOTAL(101,Table12[Assistant Director Minimum Salary])</f>
        <v>35683.832258064518</v>
      </c>
      <c r="F396" s="181">
        <f>SUBTOTAL(101,Table12[Assistant Director Maximum Salary])</f>
        <v>48210.529032258062</v>
      </c>
      <c r="G396" s="234">
        <f>SUBTOTAL(101,Table12[Department/Branch Head Average Hrs/Wk])</f>
        <v>36.403846153846153</v>
      </c>
      <c r="H396" s="181">
        <f>SUBTOTAL(101,Table12[Department/Branch Head Minimum Salary])</f>
        <v>37585.133757961783</v>
      </c>
      <c r="I396" s="181">
        <f>SUBTOTAL(101,Table12[Department/Branch Head Maximum Salary])</f>
        <v>51140.082802547768</v>
      </c>
      <c r="J396" s="234">
        <f>SUBTOTAL(101,Table12[Senior Level Librarian Average Hrs/Wk])</f>
        <v>32.87222222222222</v>
      </c>
      <c r="K396" s="181">
        <f>SUBTOTAL(101,Table12[Senior Level Librarian Minimum Salary])</f>
        <v>31152.29891304348</v>
      </c>
      <c r="L396" s="181">
        <f>SUBTOTAL(101,Table12[Senior Level Librarian Maximum Salary])</f>
        <v>39217.193548387098</v>
      </c>
      <c r="M396" s="234">
        <f>SUBTOTAL(101,Table12[Entry Level Librarian Average Hrs/Wk])</f>
        <v>27.760975609756098</v>
      </c>
      <c r="N396" s="181">
        <f>SUBTOTAL(101,Table12[Entry Level Librarian Minimum Salary])</f>
        <v>23909.504761904762</v>
      </c>
      <c r="O396" s="181">
        <f>SUBTOTAL(101,Table12[Entry Level Librarian Maximum Salary])</f>
        <v>31169.271428571428</v>
      </c>
      <c r="P396" s="234">
        <f>SUBTOTAL(101,Table12[Computer/Technology Specialist Average Hrs/Wk])</f>
        <v>31.689075630252102</v>
      </c>
      <c r="Q396" s="181">
        <f>SUBTOTAL(101,Table12[Computer/Technology Specialist Minimum Salary])</f>
        <v>35772.422764227646</v>
      </c>
      <c r="R396" s="181">
        <f>SUBTOTAL(101,Table12[Computer/Technology Specialist Maximum Salary])</f>
        <v>42874.172131147541</v>
      </c>
      <c r="S396" s="234">
        <f>SUBTOTAL(101,Table12[Library Clerk Average Hrs/Wk])</f>
        <v>23.021276595744681</v>
      </c>
      <c r="T396" s="181">
        <f>SUBTOTAL(101,Table12[Library Clerk Minimum Salary])</f>
        <v>14120.739644970414</v>
      </c>
      <c r="U396" s="181">
        <f>SUBTOTAL(101,Table12[Library Clerk Maximum Salary])</f>
        <v>19771.867256637168</v>
      </c>
    </row>
    <row r="397" spans="1:45" ht="15.75" thickBot="1" x14ac:dyDescent="0.3"/>
    <row r="398" spans="1:45" ht="45.75" thickBot="1" x14ac:dyDescent="0.3">
      <c r="B398" s="235" t="s">
        <v>3477</v>
      </c>
      <c r="C398" s="236" t="s">
        <v>3390</v>
      </c>
      <c r="D398" s="236" t="s">
        <v>3391</v>
      </c>
      <c r="E398" s="236" t="s">
        <v>3392</v>
      </c>
      <c r="F398" s="236" t="s">
        <v>3393</v>
      </c>
      <c r="G398" s="236" t="s">
        <v>3394</v>
      </c>
      <c r="H398" s="236" t="s">
        <v>3395</v>
      </c>
      <c r="I398" s="236" t="s">
        <v>3396</v>
      </c>
      <c r="J398" s="236" t="s">
        <v>3397</v>
      </c>
      <c r="K398" s="236" t="s">
        <v>3398</v>
      </c>
      <c r="L398" s="236" t="s">
        <v>3399</v>
      </c>
      <c r="M398" s="236" t="s">
        <v>3400</v>
      </c>
      <c r="N398" s="236" t="s">
        <v>3401</v>
      </c>
    </row>
    <row r="399" spans="1:45" ht="15.75" thickBot="1" x14ac:dyDescent="0.3">
      <c r="B399" s="237" t="s">
        <v>3456</v>
      </c>
      <c r="C399" s="238">
        <v>7.4626865671641784E-2</v>
      </c>
      <c r="D399" s="238">
        <v>2.9850746268656716E-2</v>
      </c>
      <c r="E399" s="238">
        <v>2.9850746268656716E-2</v>
      </c>
      <c r="F399" s="238">
        <v>2.9850746268656716E-2</v>
      </c>
      <c r="G399" s="238">
        <v>2.9850746268656716E-2</v>
      </c>
      <c r="H399" s="238">
        <v>8.9552238805970144E-2</v>
      </c>
      <c r="I399" s="238">
        <v>0.20895522388059701</v>
      </c>
      <c r="J399" s="238">
        <v>0.19402985074626866</v>
      </c>
      <c r="K399" s="238">
        <v>7.4626865671641784E-2</v>
      </c>
      <c r="L399" s="238">
        <v>4.4776119402985072E-2</v>
      </c>
      <c r="M399" s="238">
        <v>0.1044776119402985</v>
      </c>
      <c r="N399" s="239">
        <v>7.4626865671641784E-2</v>
      </c>
    </row>
    <row r="400" spans="1:45" ht="15.75" thickBot="1" x14ac:dyDescent="0.3">
      <c r="B400" s="191" t="s">
        <v>3457</v>
      </c>
      <c r="C400" s="240">
        <v>0.19230769230769232</v>
      </c>
      <c r="D400" s="241">
        <v>0.10256410256410256</v>
      </c>
      <c r="E400" s="241">
        <v>7.6923076923076927E-2</v>
      </c>
      <c r="F400" s="241">
        <v>0.11538461538461539</v>
      </c>
      <c r="G400" s="241">
        <v>0.10256410256410256</v>
      </c>
      <c r="H400" s="241">
        <v>0.38461538461538464</v>
      </c>
      <c r="I400" s="241">
        <v>0.52564102564102566</v>
      </c>
      <c r="J400" s="241">
        <v>0.51282051282051277</v>
      </c>
      <c r="K400" s="241">
        <v>7.6923076923076927E-2</v>
      </c>
      <c r="L400" s="241">
        <v>7.6923076923076927E-2</v>
      </c>
      <c r="M400" s="241">
        <v>0.29487179487179488</v>
      </c>
      <c r="N400" s="242">
        <v>5.128205128205128E-2</v>
      </c>
    </row>
    <row r="401" spans="2:14" ht="15.75" thickBot="1" x14ac:dyDescent="0.3">
      <c r="B401" s="243" t="s">
        <v>3458</v>
      </c>
      <c r="C401" s="244">
        <v>0.46153846153846156</v>
      </c>
      <c r="D401" s="244">
        <v>0.35897435897435898</v>
      </c>
      <c r="E401" s="244">
        <v>0.30769230769230771</v>
      </c>
      <c r="F401" s="244">
        <v>0.26923076923076922</v>
      </c>
      <c r="G401" s="244">
        <v>0.32051282051282054</v>
      </c>
      <c r="H401" s="244">
        <v>0.5641025641025641</v>
      </c>
      <c r="I401" s="244">
        <v>0.62820512820512819</v>
      </c>
      <c r="J401" s="244">
        <v>0.65384615384615385</v>
      </c>
      <c r="K401" s="244">
        <v>0.24358974358974358</v>
      </c>
      <c r="L401" s="244">
        <v>0.23076923076923078</v>
      </c>
      <c r="M401" s="244">
        <v>0.5</v>
      </c>
      <c r="N401" s="245">
        <v>0.15384615384615385</v>
      </c>
    </row>
    <row r="402" spans="2:14" ht="15.75" thickBot="1" x14ac:dyDescent="0.3">
      <c r="B402" s="191" t="s">
        <v>3459</v>
      </c>
      <c r="C402" s="240">
        <v>0.78481012658227844</v>
      </c>
      <c r="D402" s="241">
        <v>0.67088607594936711</v>
      </c>
      <c r="E402" s="241">
        <v>0.64556962025316456</v>
      </c>
      <c r="F402" s="241">
        <v>0.50632911392405067</v>
      </c>
      <c r="G402" s="241">
        <v>0.60759493670886078</v>
      </c>
      <c r="H402" s="241">
        <v>0.87341772151898733</v>
      </c>
      <c r="I402" s="241">
        <v>0.91139240506329111</v>
      </c>
      <c r="J402" s="241">
        <v>0.91139240506329111</v>
      </c>
      <c r="K402" s="241">
        <v>0.50632911392405067</v>
      </c>
      <c r="L402" s="241">
        <v>0.43037974683544306</v>
      </c>
      <c r="M402" s="241">
        <v>0.620253164556962</v>
      </c>
      <c r="N402" s="242">
        <v>0.26582278481012656</v>
      </c>
    </row>
    <row r="403" spans="2:14" ht="15.75" thickBot="1" x14ac:dyDescent="0.3">
      <c r="B403" s="243" t="s">
        <v>3460</v>
      </c>
      <c r="C403" s="244">
        <v>0.95348837209302328</v>
      </c>
      <c r="D403" s="244">
        <v>0.97674418604651159</v>
      </c>
      <c r="E403" s="244">
        <v>0.88372093023255816</v>
      </c>
      <c r="F403" s="244">
        <v>0.7441860465116279</v>
      </c>
      <c r="G403" s="244">
        <v>0.90697674418604646</v>
      </c>
      <c r="H403" s="244">
        <v>0.97674418604651159</v>
      </c>
      <c r="I403" s="244">
        <v>0.97674418604651159</v>
      </c>
      <c r="J403" s="244">
        <v>0.97674418604651159</v>
      </c>
      <c r="K403" s="244">
        <v>0.69767441860465118</v>
      </c>
      <c r="L403" s="244">
        <v>0.69767441860465118</v>
      </c>
      <c r="M403" s="244">
        <v>0.81395348837209303</v>
      </c>
      <c r="N403" s="245">
        <v>0.46511627906976744</v>
      </c>
    </row>
    <row r="404" spans="2:14" ht="15.75" thickBot="1" x14ac:dyDescent="0.3">
      <c r="B404" s="191" t="s">
        <v>3461</v>
      </c>
      <c r="C404" s="240">
        <v>1</v>
      </c>
      <c r="D404" s="241">
        <v>0.97777777777777775</v>
      </c>
      <c r="E404" s="241">
        <v>0.9555555555555556</v>
      </c>
      <c r="F404" s="241">
        <v>0.71111111111111114</v>
      </c>
      <c r="G404" s="241">
        <v>0.91111111111111109</v>
      </c>
      <c r="H404" s="241">
        <v>0.9555555555555556</v>
      </c>
      <c r="I404" s="241">
        <v>0.97777777777777775</v>
      </c>
      <c r="J404" s="241">
        <v>0.97777777777777775</v>
      </c>
      <c r="K404" s="241">
        <v>0.82222222222222219</v>
      </c>
      <c r="L404" s="241">
        <v>0.77777777777777779</v>
      </c>
      <c r="M404" s="241">
        <v>0.84444444444444444</v>
      </c>
      <c r="N404" s="242">
        <v>0.26666666666666666</v>
      </c>
    </row>
    <row r="405" spans="2:14" x14ac:dyDescent="0.25">
      <c r="B405" s="246"/>
      <c r="C405" s="247"/>
      <c r="D405" s="247"/>
      <c r="E405" s="247"/>
      <c r="F405" s="247"/>
      <c r="G405" s="247"/>
      <c r="H405" s="247"/>
      <c r="I405" s="247"/>
      <c r="J405" s="247"/>
      <c r="K405" s="247"/>
      <c r="L405" s="247"/>
      <c r="M405" s="247"/>
      <c r="N405" s="247"/>
    </row>
    <row r="406" spans="2:14" ht="15.75" thickBot="1" x14ac:dyDescent="0.3">
      <c r="B406" s="247"/>
      <c r="C406" s="247"/>
      <c r="D406" s="247"/>
      <c r="E406" s="247"/>
      <c r="F406" s="247"/>
      <c r="G406" s="247"/>
      <c r="H406" s="247"/>
      <c r="I406" s="247"/>
      <c r="J406" s="247"/>
      <c r="K406" s="247"/>
      <c r="L406" s="247"/>
      <c r="M406" s="247"/>
      <c r="N406" s="247"/>
    </row>
    <row r="407" spans="2:14" ht="45.75" thickBot="1" x14ac:dyDescent="0.3">
      <c r="B407" s="235" t="s">
        <v>3478</v>
      </c>
      <c r="C407" s="236" t="s">
        <v>3390</v>
      </c>
      <c r="D407" s="236" t="s">
        <v>3391</v>
      </c>
      <c r="E407" s="236" t="s">
        <v>3392</v>
      </c>
      <c r="F407" s="236" t="s">
        <v>3393</v>
      </c>
      <c r="G407" s="236" t="s">
        <v>3394</v>
      </c>
      <c r="H407" s="236" t="s">
        <v>3395</v>
      </c>
      <c r="I407" s="236" t="s">
        <v>3396</v>
      </c>
      <c r="J407" s="236" t="s">
        <v>3397</v>
      </c>
      <c r="K407" s="236" t="s">
        <v>3398</v>
      </c>
      <c r="L407" s="236" t="s">
        <v>3399</v>
      </c>
      <c r="M407" s="236" t="s">
        <v>3400</v>
      </c>
      <c r="N407" s="236" t="s">
        <v>3401</v>
      </c>
    </row>
    <row r="408" spans="2:14" ht="15.75" thickBot="1" x14ac:dyDescent="0.3">
      <c r="B408" s="237" t="s">
        <v>3456</v>
      </c>
      <c r="C408" s="238">
        <v>4.4776119402985072E-2</v>
      </c>
      <c r="D408" s="238">
        <v>1.4925373134328358E-2</v>
      </c>
      <c r="E408" s="238">
        <v>0</v>
      </c>
      <c r="F408" s="238">
        <v>1.4925373134328358E-2</v>
      </c>
      <c r="G408" s="238">
        <v>1.4925373134328358E-2</v>
      </c>
      <c r="H408" s="238">
        <v>4.4776119402985072E-2</v>
      </c>
      <c r="I408" s="238">
        <v>0.11940298507462686</v>
      </c>
      <c r="J408" s="238">
        <v>0.19402985074626866</v>
      </c>
      <c r="K408" s="238">
        <v>0</v>
      </c>
      <c r="L408" s="238">
        <v>2.9850746268656716E-2</v>
      </c>
      <c r="M408" s="238">
        <v>0.11940298507462686</v>
      </c>
      <c r="N408" s="239">
        <v>5.9701492537313432E-2</v>
      </c>
    </row>
    <row r="409" spans="2:14" ht="15.75" thickBot="1" x14ac:dyDescent="0.3">
      <c r="B409" s="191" t="s">
        <v>3457</v>
      </c>
      <c r="C409" s="240">
        <v>0</v>
      </c>
      <c r="D409" s="241">
        <v>0</v>
      </c>
      <c r="E409" s="241">
        <v>2.564102564102564E-2</v>
      </c>
      <c r="F409" s="241">
        <v>5.128205128205128E-2</v>
      </c>
      <c r="G409" s="241">
        <v>0</v>
      </c>
      <c r="H409" s="241">
        <v>0.23076923076923078</v>
      </c>
      <c r="I409" s="241">
        <v>0.33333333333333331</v>
      </c>
      <c r="J409" s="241">
        <v>0.39743589743589741</v>
      </c>
      <c r="K409" s="241">
        <v>6.4102564102564097E-2</v>
      </c>
      <c r="L409" s="241">
        <v>6.4102564102564097E-2</v>
      </c>
      <c r="M409" s="241">
        <v>0.20512820512820512</v>
      </c>
      <c r="N409" s="242">
        <v>3.8461538461538464E-2</v>
      </c>
    </row>
    <row r="410" spans="2:14" ht="15.75" thickBot="1" x14ac:dyDescent="0.3">
      <c r="B410" s="243" t="s">
        <v>3458</v>
      </c>
      <c r="C410" s="244">
        <v>1.282051282051282E-2</v>
      </c>
      <c r="D410" s="244">
        <v>1.282051282051282E-2</v>
      </c>
      <c r="E410" s="244">
        <v>2.564102564102564E-2</v>
      </c>
      <c r="F410" s="244">
        <v>0.10256410256410256</v>
      </c>
      <c r="G410" s="244">
        <v>1.282051282051282E-2</v>
      </c>
      <c r="H410" s="244">
        <v>0.32051282051282054</v>
      </c>
      <c r="I410" s="244">
        <v>0.41025641025641024</v>
      </c>
      <c r="J410" s="244">
        <v>0.4358974358974359</v>
      </c>
      <c r="K410" s="244">
        <v>8.9743589743589744E-2</v>
      </c>
      <c r="L410" s="244">
        <v>1.282051282051282E-2</v>
      </c>
      <c r="M410" s="244">
        <v>0.34615384615384615</v>
      </c>
      <c r="N410" s="245">
        <v>0.10256410256410256</v>
      </c>
    </row>
    <row r="411" spans="2:14" ht="15.75" thickBot="1" x14ac:dyDescent="0.3">
      <c r="B411" s="191" t="s">
        <v>3459</v>
      </c>
      <c r="C411" s="240">
        <v>5.0632911392405063E-2</v>
      </c>
      <c r="D411" s="241">
        <v>3.7974683544303799E-2</v>
      </c>
      <c r="E411" s="241">
        <v>6.3291139240506333E-2</v>
      </c>
      <c r="F411" s="241">
        <v>7.5949367088607597E-2</v>
      </c>
      <c r="G411" s="241">
        <v>5.0632911392405063E-2</v>
      </c>
      <c r="H411" s="241">
        <v>0.59493670886075944</v>
      </c>
      <c r="I411" s="241">
        <v>0.54430379746835444</v>
      </c>
      <c r="J411" s="241">
        <v>0.569620253164557</v>
      </c>
      <c r="K411" s="241">
        <v>0.22784810126582278</v>
      </c>
      <c r="L411" s="241">
        <v>0.11392405063291139</v>
      </c>
      <c r="M411" s="241">
        <v>0.41772151898734178</v>
      </c>
      <c r="N411" s="242">
        <v>0.16455696202531644</v>
      </c>
    </row>
    <row r="412" spans="2:14" ht="15.75" thickBot="1" x14ac:dyDescent="0.3">
      <c r="B412" s="243" t="s">
        <v>3460</v>
      </c>
      <c r="C412" s="244">
        <v>2.3255813953488372E-2</v>
      </c>
      <c r="D412" s="244">
        <v>2.3255813953488372E-2</v>
      </c>
      <c r="E412" s="244">
        <v>6.9767441860465115E-2</v>
      </c>
      <c r="F412" s="244">
        <v>4.6511627906976744E-2</v>
      </c>
      <c r="G412" s="244">
        <v>2.3255813953488372E-2</v>
      </c>
      <c r="H412" s="244">
        <v>0.62790697674418605</v>
      </c>
      <c r="I412" s="244">
        <v>0.58139534883720934</v>
      </c>
      <c r="J412" s="244">
        <v>0.58139534883720934</v>
      </c>
      <c r="K412" s="244">
        <v>0.2558139534883721</v>
      </c>
      <c r="L412" s="244">
        <v>6.9767441860465115E-2</v>
      </c>
      <c r="M412" s="244">
        <v>0.46511627906976744</v>
      </c>
      <c r="N412" s="245">
        <v>0.20930232558139536</v>
      </c>
    </row>
    <row r="413" spans="2:14" ht="15.75" thickBot="1" x14ac:dyDescent="0.3">
      <c r="B413" s="191" t="s">
        <v>3461</v>
      </c>
      <c r="C413" s="240">
        <v>0.2</v>
      </c>
      <c r="D413" s="241">
        <v>0.13333333333333333</v>
      </c>
      <c r="E413" s="241">
        <v>0.28888888888888886</v>
      </c>
      <c r="F413" s="241">
        <v>0.2</v>
      </c>
      <c r="G413" s="241">
        <v>0.15555555555555556</v>
      </c>
      <c r="H413" s="241">
        <v>0.55555555555555558</v>
      </c>
      <c r="I413" s="241">
        <v>0.48888888888888887</v>
      </c>
      <c r="J413" s="241">
        <v>0.53333333333333333</v>
      </c>
      <c r="K413" s="241">
        <v>0.35555555555555557</v>
      </c>
      <c r="L413" s="241">
        <v>0.28888888888888886</v>
      </c>
      <c r="M413" s="241">
        <v>0.42222222222222222</v>
      </c>
      <c r="N413" s="242">
        <v>6.6666666666666666E-2</v>
      </c>
    </row>
  </sheetData>
  <sortState xmlns:xlrd2="http://schemas.microsoft.com/office/spreadsheetml/2017/richdata2" ref="A4:AS393">
    <sortCondition ref="C4:C393"/>
    <sortCondition ref="B4:B393"/>
  </sortState>
  <hyperlinks>
    <hyperlink ref="G1" location="'Table of Contents'!A1" display="Return to Table of Contents" xr:uid="{DC337E20-CE46-41B4-9597-598D968E7723}"/>
  </hyperlinks>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Table of Contents</vt:lpstr>
      <vt:lpstr>Summary and Definitions</vt:lpstr>
      <vt:lpstr>Outlets, Hours and SqFt</vt:lpstr>
      <vt:lpstr>Collections</vt:lpstr>
      <vt:lpstr>Services</vt:lpstr>
      <vt:lpstr>Programs</vt:lpstr>
      <vt:lpstr>Technology</vt:lpstr>
      <vt:lpstr>Millages</vt:lpstr>
      <vt:lpstr>Operating Income</vt:lpstr>
      <vt:lpstr>Operating Expenditure</vt:lpstr>
      <vt:lpstr>Capital Income &amp; Expenditure</vt:lpstr>
      <vt:lpstr>Nonresident Fees</vt:lpstr>
      <vt:lpstr>Staffing</vt:lpstr>
      <vt:lpstr>Director's Salary</vt:lpstr>
      <vt:lpstr>Other Employee Salary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Hamlin, Joseph (MDE)</dc:creator>
  <cp:lastModifiedBy>Hamlin, Joseph (MDE)</cp:lastModifiedBy>
  <dcterms:created xsi:type="dcterms:W3CDTF">2020-07-16T17:52:44Z</dcterms:created>
  <dcterms:modified xsi:type="dcterms:W3CDTF">2020-08-25T16:29:53Z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iteId">
    <vt:lpwstr>d5fb7087-3777-42ad-966a-892ef47225d1</vt:lpwstr>
  </property>
  <property fmtid="{D5CDD505-2E9C-101B-9397-08002B2CF9AE}" pid="4" name="MSIP_Label_3a2fed65-62e7-46ea-af74-187e0c17143a_Owner">
    <vt:lpwstr>HamlinJ2@michigan.gov</vt:lpwstr>
  </property>
  <property fmtid="{D5CDD505-2E9C-101B-9397-08002B2CF9AE}" pid="5" name="MSIP_Label_3a2fed65-62e7-46ea-af74-187e0c17143a_SetDate">
    <vt:lpwstr>2020-07-16T18:09:07.4187522Z</vt:lpwstr>
  </property>
  <property fmtid="{D5CDD505-2E9C-101B-9397-08002B2CF9AE}" pid="6" name="MSIP_Label_3a2fed65-62e7-46ea-af74-187e0c17143a_Name">
    <vt:lpwstr>Internal Data (Standard State Data)</vt:lpwstr>
  </property>
  <property fmtid="{D5CDD505-2E9C-101B-9397-08002B2CF9AE}" pid="7" name="MSIP_Label_3a2fed65-62e7-46ea-af74-187e0c17143a_Application">
    <vt:lpwstr>Microsoft Azure Information Protection</vt:lpwstr>
  </property>
  <property fmtid="{D5CDD505-2E9C-101B-9397-08002B2CF9AE}" pid="8" name="MSIP_Label_3a2fed65-62e7-46ea-af74-187e0c17143a_ActionId">
    <vt:lpwstr>25a0af74-99f2-41fc-b0c1-0aaab0ec1243</vt:lpwstr>
  </property>
  <property fmtid="{D5CDD505-2E9C-101B-9397-08002B2CF9AE}" pid="9" name="MSIP_Label_3a2fed65-62e7-46ea-af74-187e0c17143a_Extended_MSFT_Method">
    <vt:lpwstr>Manual</vt:lpwstr>
  </property>
  <property fmtid="{D5CDD505-2E9C-101B-9397-08002B2CF9AE}" pid="10" name="Sensitivity">
    <vt:lpwstr>Internal Data (Standard State Data)</vt:lpwstr>
  </property>
</Properties>
</file>